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mc:AlternateContent xmlns:mc="http://schemas.openxmlformats.org/markup-compatibility/2006">
    <mc:Choice Requires="x15">
      <x15ac:absPath xmlns:x15ac="http://schemas.microsoft.com/office/spreadsheetml/2010/11/ac" url="C:\Users\91080\Desktop\R8.4\ポール基礎\"/>
    </mc:Choice>
  </mc:AlternateContent>
  <xr:revisionPtr revIDLastSave="0" documentId="8_{B04C8908-CD48-4463-BA33-ECCD2BB0A999}" xr6:coauthVersionLast="47" xr6:coauthVersionMax="47" xr10:uidLastSave="{00000000-0000-0000-0000-000000000000}"/>
  <bookViews>
    <workbookView xWindow="3120" yWindow="900" windowWidth="21180" windowHeight="13485" activeTab="1" xr2:uid="{00000000-000D-0000-FFFF-FFFF00000000}"/>
  </bookViews>
  <sheets>
    <sheet name="入力項目説明" sheetId="11" r:id="rId1"/>
    <sheet name="入力・結果" sheetId="6" r:id="rId2"/>
    <sheet name="基礎（直埋め）" sheetId="7" r:id="rId3"/>
    <sheet name="基礎（根枷）" sheetId="8" r:id="rId4"/>
    <sheet name="基礎（根巻）" sheetId="9" r:id="rId5"/>
    <sheet name="標準的なパターン" sheetId="10" r:id="rId6"/>
    <sheet name="Sheet2" sheetId="3" state="hidden" r:id="rId7"/>
  </sheets>
  <definedNames>
    <definedName name="_xlnm.Print_Area" localSheetId="4">'基礎（根巻）'!$A$1:$L$82</definedName>
    <definedName name="_xlnm.Print_Area" localSheetId="3">'基礎（根枷）'!$A$1:$I$72</definedName>
    <definedName name="_xlnm.Print_Area" localSheetId="2">'基礎（直埋め）'!$A$1:$K$59</definedName>
    <definedName name="_xlnm.Print_Area" localSheetId="1">入力・結果!$A$1:$M$216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9" l="1"/>
  <c r="G23" i="8"/>
  <c r="G23" i="7"/>
  <c r="D54" i="6"/>
  <c r="D9" i="10"/>
  <c r="D7" i="10"/>
  <c r="D5" i="10"/>
  <c r="D4" i="10"/>
  <c r="F22" i="6" l="1"/>
  <c r="I215" i="6" l="1"/>
  <c r="H185" i="6"/>
  <c r="G25" i="8"/>
  <c r="F110" i="6"/>
  <c r="F111" i="6" s="1"/>
  <c r="G112" i="6"/>
  <c r="H67" i="6"/>
  <c r="D16" i="6" l="1"/>
  <c r="G33" i="8" l="1"/>
  <c r="G32" i="8"/>
  <c r="G16" i="9"/>
  <c r="G15" i="9"/>
  <c r="F84" i="6"/>
  <c r="F83" i="6"/>
  <c r="F82" i="6"/>
  <c r="J139" i="6"/>
  <c r="L192" i="6" l="1"/>
  <c r="L189" i="6"/>
  <c r="I150" i="6"/>
  <c r="H143" i="6"/>
  <c r="F135" i="6"/>
  <c r="F136" i="6" s="1"/>
  <c r="K150" i="6" s="1"/>
  <c r="F62" i="6" l="1"/>
  <c r="F63" i="6"/>
  <c r="F64" i="6"/>
  <c r="F65" i="6"/>
  <c r="F66" i="6"/>
  <c r="F61" i="6"/>
  <c r="L62" i="6"/>
  <c r="L61" i="6"/>
  <c r="J62" i="6"/>
  <c r="J61" i="6"/>
  <c r="D67" i="6"/>
  <c r="I67" i="6" s="1"/>
  <c r="I63" i="6"/>
  <c r="I64" i="6"/>
  <c r="I65" i="6"/>
  <c r="I66" i="6"/>
  <c r="J66" i="6" s="1"/>
  <c r="L66" i="6" s="1"/>
  <c r="I62" i="6"/>
  <c r="I61" i="6"/>
  <c r="K67" i="6" l="1"/>
  <c r="I206" i="6" l="1"/>
  <c r="G21" i="7" l="1"/>
  <c r="G21" i="8"/>
  <c r="G23" i="9"/>
  <c r="F42" i="9" s="1"/>
  <c r="I11" i="9"/>
  <c r="I10" i="9"/>
  <c r="I8" i="9"/>
  <c r="G21" i="9" s="1"/>
  <c r="I6" i="9"/>
  <c r="I11" i="8"/>
  <c r="I10" i="8"/>
  <c r="I8" i="8"/>
  <c r="G19" i="8" s="1"/>
  <c r="I6" i="8"/>
  <c r="I11" i="7"/>
  <c r="I10" i="7"/>
  <c r="I8" i="7"/>
  <c r="G19" i="7" s="1"/>
  <c r="I6" i="7"/>
  <c r="H203" i="6"/>
  <c r="F174" i="6"/>
  <c r="F176" i="6" s="1"/>
  <c r="H166" i="6"/>
  <c r="F166" i="6"/>
  <c r="K112" i="6"/>
  <c r="I112" i="6"/>
  <c r="D26" i="6"/>
  <c r="G291" i="6" s="1"/>
  <c r="H295" i="6" s="1"/>
  <c r="F26" i="6"/>
  <c r="F171" i="6" s="1"/>
  <c r="H176" i="6" s="1"/>
  <c r="E26" i="6"/>
  <c r="C26" i="6"/>
  <c r="F167" i="6" s="1"/>
  <c r="H180" i="6" s="1"/>
  <c r="E72" i="6"/>
  <c r="G464" i="6"/>
  <c r="G462" i="6"/>
  <c r="G459" i="6"/>
  <c r="G457" i="6"/>
  <c r="I411" i="6"/>
  <c r="I402" i="6"/>
  <c r="J400" i="6"/>
  <c r="J398" i="6"/>
  <c r="J396" i="6"/>
  <c r="J394" i="6"/>
  <c r="J392" i="6"/>
  <c r="I387" i="6"/>
  <c r="M377" i="6"/>
  <c r="G463" i="6" s="1"/>
  <c r="M375" i="6"/>
  <c r="I406" i="6" s="1"/>
  <c r="G345" i="6"/>
  <c r="I325" i="6"/>
  <c r="M291" i="6"/>
  <c r="I295" i="6" s="1"/>
  <c r="G276" i="6"/>
  <c r="G72" i="6"/>
  <c r="F30" i="6"/>
  <c r="H26" i="6"/>
  <c r="G26" i="6"/>
  <c r="G67" i="6" s="1"/>
  <c r="G47" i="6"/>
  <c r="F113" i="6" l="1"/>
  <c r="G114" i="6" s="1"/>
  <c r="G22" i="8"/>
  <c r="G35" i="8" s="1"/>
  <c r="G43" i="6"/>
  <c r="G42" i="6"/>
  <c r="J67" i="6"/>
  <c r="L67" i="6" s="1"/>
  <c r="K274" i="6"/>
  <c r="K276" i="6" s="1"/>
  <c r="G278" i="6" s="1"/>
  <c r="F130" i="6"/>
  <c r="J64" i="6"/>
  <c r="L64" i="6" s="1"/>
  <c r="J63" i="6"/>
  <c r="J65" i="6"/>
  <c r="L65" i="6" s="1"/>
  <c r="G22" i="7"/>
  <c r="G25" i="7" s="1"/>
  <c r="G24" i="9"/>
  <c r="F43" i="9" s="1"/>
  <c r="F169" i="6"/>
  <c r="G34" i="8"/>
  <c r="F168" i="6"/>
  <c r="H198" i="6" s="1"/>
  <c r="D68" i="6"/>
  <c r="I294" i="6" s="1"/>
  <c r="F68" i="6"/>
  <c r="I408" i="6"/>
  <c r="I390" i="6"/>
  <c r="F177" i="6"/>
  <c r="G304" i="6"/>
  <c r="G308" i="6" s="1"/>
  <c r="I414" i="6"/>
  <c r="J421" i="6"/>
  <c r="G458" i="6"/>
  <c r="G274" i="6"/>
  <c r="J424" i="6"/>
  <c r="J425" i="6"/>
  <c r="K278" i="6" l="1"/>
  <c r="K281" i="6" s="1"/>
  <c r="L63" i="6"/>
  <c r="H124" i="6"/>
  <c r="F160" i="6" s="1"/>
  <c r="F140" i="6"/>
  <c r="F151" i="6" s="1"/>
  <c r="G139" i="6"/>
  <c r="F180" i="6"/>
  <c r="F181" i="6" s="1"/>
  <c r="F185" i="6" s="1"/>
  <c r="G26" i="8"/>
  <c r="G38" i="8" s="1"/>
  <c r="G37" i="8" s="1"/>
  <c r="H117" i="6"/>
  <c r="F159" i="6" s="1"/>
  <c r="I163" i="6" s="1"/>
  <c r="D34" i="9"/>
  <c r="F44" i="9" s="1"/>
  <c r="D46" i="9" s="1"/>
  <c r="G27" i="9"/>
  <c r="F170" i="6"/>
  <c r="K206" i="6" s="1"/>
  <c r="G31" i="8"/>
  <c r="J291" i="6"/>
  <c r="J68" i="6"/>
  <c r="H121" i="6" s="1"/>
  <c r="J423" i="6"/>
  <c r="J426" i="6" s="1"/>
  <c r="J422" i="6"/>
  <c r="G150" i="6" l="1"/>
  <c r="F143" i="6"/>
  <c r="F144" i="6" s="1"/>
  <c r="H192" i="6" s="1"/>
  <c r="L68" i="6"/>
  <c r="H127" i="6" s="1"/>
  <c r="F158" i="6" s="1"/>
  <c r="G115" i="6"/>
  <c r="G39" i="8"/>
  <c r="F206" i="6"/>
  <c r="F207" i="6" s="1"/>
  <c r="I210" i="6" s="1"/>
  <c r="J428" i="6"/>
  <c r="J427" i="6"/>
  <c r="J431" i="6" s="1"/>
  <c r="J185" i="6" l="1"/>
  <c r="E82" i="6"/>
  <c r="G82" i="6" s="1"/>
  <c r="F164" i="6"/>
  <c r="F189" i="6"/>
  <c r="F192" i="6"/>
  <c r="F145" i="6"/>
  <c r="H189" i="6" s="1"/>
  <c r="F155" i="6"/>
  <c r="J189" i="6" s="1"/>
  <c r="F153" i="6"/>
  <c r="J192" i="6" s="1"/>
  <c r="G163" i="6"/>
  <c r="G305" i="6"/>
  <c r="G307" i="6" s="1"/>
  <c r="I324" i="6" s="1"/>
  <c r="J324" i="6" s="1"/>
  <c r="G292" i="6"/>
  <c r="H294" i="6" s="1"/>
  <c r="J294" i="6" s="1"/>
  <c r="K294" i="6" s="1"/>
  <c r="F297" i="6" s="1"/>
  <c r="G185" i="6"/>
  <c r="J448" i="6"/>
  <c r="K448" i="6" s="1"/>
  <c r="F190" i="6" l="1"/>
  <c r="F193" i="6"/>
  <c r="I307" i="6"/>
  <c r="J307" i="6" s="1"/>
  <c r="F310" i="6" s="1"/>
  <c r="G344" i="6"/>
  <c r="I344" i="6"/>
  <c r="J344" i="6" s="1"/>
  <c r="G347" i="6" s="1"/>
  <c r="F195" i="6" l="1"/>
  <c r="F198" i="6" l="1"/>
  <c r="F199" i="6" s="1"/>
  <c r="F203" i="6" s="1"/>
  <c r="G26" i="9"/>
  <c r="G24" i="8"/>
  <c r="G24" i="7"/>
  <c r="D29" i="7" l="1"/>
  <c r="D103" i="6" s="1"/>
  <c r="D105" i="6" s="1"/>
  <c r="D41" i="8"/>
  <c r="F103" i="6" s="1"/>
  <c r="F105" i="6" s="1"/>
  <c r="D50" i="9"/>
  <c r="H50" i="9" s="1"/>
  <c r="G203" i="6"/>
  <c r="E83" i="6"/>
  <c r="G83" i="6" s="1"/>
  <c r="G210" i="6"/>
  <c r="F211" i="6" s="1"/>
  <c r="G215" i="6" s="1"/>
  <c r="J203" i="6"/>
  <c r="H41" i="8" l="1"/>
  <c r="H29" i="7"/>
  <c r="H103" i="6"/>
  <c r="H105" i="6" s="1"/>
  <c r="E50" i="9"/>
  <c r="K215" i="6"/>
  <c r="E84" i="6"/>
  <c r="G84" i="6" s="1"/>
  <c r="H215" i="6"/>
</calcChain>
</file>

<file path=xl/sharedStrings.xml><?xml version="1.0" encoding="utf-8"?>
<sst xmlns="http://schemas.openxmlformats.org/spreadsheetml/2006/main" count="860" uniqueCount="656">
  <si>
    <t>断面積</t>
  </si>
  <si>
    <t>π×(a1^2-a2^2)／4</t>
    <phoneticPr fontId="2"/>
  </si>
  <si>
    <t>断面係数</t>
    <phoneticPr fontId="2"/>
  </si>
  <si>
    <t>π×(a1^4-a2^4)/(32×a1)</t>
    <phoneticPr fontId="2"/>
  </si>
  <si>
    <t>断面２次モーメント：</t>
  </si>
  <si>
    <t>π×(a1^4-a2^4)／64</t>
    <phoneticPr fontId="2"/>
  </si>
  <si>
    <t xml:space="preserve"> a1×b1-a2×b2</t>
    <phoneticPr fontId="2"/>
  </si>
  <si>
    <t xml:space="preserve"> (a1×b1^3-a2×b2^3)/(6×b1)</t>
    <phoneticPr fontId="2"/>
  </si>
  <si>
    <t xml:space="preserve"> (a1×b1^3-a2×b2^3)/12</t>
    <phoneticPr fontId="2"/>
  </si>
  <si>
    <t>器具</t>
    <rPh sb="0" eb="2">
      <t>キグ</t>
    </rPh>
    <phoneticPr fontId="2"/>
  </si>
  <si>
    <t>N</t>
    <phoneticPr fontId="2"/>
  </si>
  <si>
    <t>m</t>
    <phoneticPr fontId="2"/>
  </si>
  <si>
    <t>支柱</t>
    <rPh sb="0" eb="2">
      <t>シチュウ</t>
    </rPh>
    <phoneticPr fontId="2"/>
  </si>
  <si>
    <t>形状</t>
    <rPh sb="0" eb="2">
      <t>ケイジョウ</t>
    </rPh>
    <phoneticPr fontId="2"/>
  </si>
  <si>
    <t>mm</t>
    <phoneticPr fontId="2"/>
  </si>
  <si>
    <t>D</t>
    <phoneticPr fontId="2"/>
  </si>
  <si>
    <t>断面積</t>
    <rPh sb="0" eb="3">
      <t>ダンメンセキ</t>
    </rPh>
    <phoneticPr fontId="2"/>
  </si>
  <si>
    <t>断面係数</t>
    <rPh sb="0" eb="4">
      <t>ダンメンケイスウ</t>
    </rPh>
    <phoneticPr fontId="2"/>
  </si>
  <si>
    <t>断面2次モーメント</t>
    <rPh sb="0" eb="2">
      <t>ダンメン</t>
    </rPh>
    <rPh sb="3" eb="4">
      <t>ジ</t>
    </rPh>
    <phoneticPr fontId="2"/>
  </si>
  <si>
    <t>断面2次半径</t>
    <rPh sb="0" eb="2">
      <t>ダンメン</t>
    </rPh>
    <rPh sb="3" eb="4">
      <t>ジ</t>
    </rPh>
    <rPh sb="4" eb="6">
      <t>ハンケイ</t>
    </rPh>
    <phoneticPr fontId="2"/>
  </si>
  <si>
    <t>cm2</t>
    <phoneticPr fontId="2"/>
  </si>
  <si>
    <t>cm3</t>
  </si>
  <si>
    <t>N/mm2</t>
    <phoneticPr fontId="2"/>
  </si>
  <si>
    <t>円</t>
    <rPh sb="0" eb="1">
      <t>エン</t>
    </rPh>
    <phoneticPr fontId="2"/>
  </si>
  <si>
    <t>角</t>
    <rPh sb="0" eb="1">
      <t>カク</t>
    </rPh>
    <phoneticPr fontId="2"/>
  </si>
  <si>
    <t>＝</t>
    <phoneticPr fontId="2"/>
  </si>
  <si>
    <t>１）固定荷重</t>
    <rPh sb="2" eb="6">
      <t>コテイカジュウ</t>
    </rPh>
    <phoneticPr fontId="2"/>
  </si>
  <si>
    <t>(a)重量</t>
    <rPh sb="3" eb="5">
      <t>ジュウリョウ</t>
    </rPh>
    <phoneticPr fontId="2"/>
  </si>
  <si>
    <t>W2=</t>
    <phoneticPr fontId="2"/>
  </si>
  <si>
    <t>w1＝</t>
    <phoneticPr fontId="2"/>
  </si>
  <si>
    <t>Nx＝</t>
    <phoneticPr fontId="2"/>
  </si>
  <si>
    <t>W1＋W2＝</t>
    <phoneticPr fontId="2"/>
  </si>
  <si>
    <t>Ny＝</t>
    <phoneticPr fontId="2"/>
  </si>
  <si>
    <t>鉛直モーメント</t>
    <rPh sb="0" eb="2">
      <t>エンチョク</t>
    </rPh>
    <phoneticPr fontId="2"/>
  </si>
  <si>
    <t>N・m</t>
    <phoneticPr fontId="2"/>
  </si>
  <si>
    <t>２）風荷重</t>
    <rPh sb="2" eb="5">
      <t>カゼカジュウ</t>
    </rPh>
    <phoneticPr fontId="2"/>
  </si>
  <si>
    <t>(a)水平力</t>
    <rPh sb="3" eb="6">
      <t>スイヘイリョク</t>
    </rPh>
    <phoneticPr fontId="2"/>
  </si>
  <si>
    <t>=</t>
    <phoneticPr fontId="2"/>
  </si>
  <si>
    <t>合計</t>
    <rPh sb="0" eb="2">
      <t>ゴウケイ</t>
    </rPh>
    <phoneticPr fontId="2"/>
  </si>
  <si>
    <t>Hx＝</t>
    <phoneticPr fontId="2"/>
  </si>
  <si>
    <t>(b)ねじりモーメント</t>
    <phoneticPr fontId="2"/>
  </si>
  <si>
    <t>M1=</t>
    <phoneticPr fontId="2"/>
  </si>
  <si>
    <t>m×</t>
    <phoneticPr fontId="2"/>
  </si>
  <si>
    <t>Ma=</t>
    <phoneticPr fontId="2"/>
  </si>
  <si>
    <t>N･ｍ</t>
    <phoneticPr fontId="2"/>
  </si>
  <si>
    <t>１）応力</t>
    <rPh sb="2" eb="4">
      <t>オウリョク</t>
    </rPh>
    <phoneticPr fontId="2"/>
  </si>
  <si>
    <t>曲げモーメント</t>
    <rPh sb="0" eb="1">
      <t>マ</t>
    </rPh>
    <phoneticPr fontId="2"/>
  </si>
  <si>
    <t>ねじりモーメント</t>
    <phoneticPr fontId="2"/>
  </si>
  <si>
    <t>最大曲げモーメント</t>
    <rPh sb="0" eb="3">
      <t>サイダイマ</t>
    </rPh>
    <phoneticPr fontId="2"/>
  </si>
  <si>
    <t>Mmax=</t>
    <phoneticPr fontId="2"/>
  </si>
  <si>
    <t>√（</t>
    <phoneticPr fontId="2"/>
  </si>
  <si>
    <t>＾２＋</t>
    <phoneticPr fontId="2"/>
  </si>
  <si>
    <t>^2）</t>
    <phoneticPr fontId="2"/>
  </si>
  <si>
    <t>２）使用部材</t>
    <rPh sb="2" eb="6">
      <t>シヨウブザイ</t>
    </rPh>
    <phoneticPr fontId="2"/>
  </si>
  <si>
    <t>mm×</t>
    <phoneticPr fontId="2"/>
  </si>
  <si>
    <t>cm</t>
    <phoneticPr fontId="2"/>
  </si>
  <si>
    <t>断面2次極モーメント</t>
    <rPh sb="0" eb="2">
      <t>ダンメン</t>
    </rPh>
    <rPh sb="3" eb="4">
      <t>ジ</t>
    </rPh>
    <rPh sb="4" eb="5">
      <t>キワ</t>
    </rPh>
    <phoneticPr fontId="2"/>
  </si>
  <si>
    <t>Ip＝</t>
    <phoneticPr fontId="2"/>
  </si>
  <si>
    <t>cm4</t>
    <phoneticPr fontId="2"/>
  </si>
  <si>
    <t>i＝</t>
    <phoneticPr fontId="2"/>
  </si>
  <si>
    <t>３）支柱の細長比</t>
    <rPh sb="2" eb="4">
      <t>シチュウ</t>
    </rPh>
    <rPh sb="5" eb="7">
      <t>ホソナガ</t>
    </rPh>
    <rPh sb="7" eb="8">
      <t>ヒ</t>
    </rPh>
    <phoneticPr fontId="2"/>
  </si>
  <si>
    <t>座屈長</t>
    <rPh sb="0" eb="3">
      <t>ザクツチョウ</t>
    </rPh>
    <phoneticPr fontId="2"/>
  </si>
  <si>
    <t>Lk＝</t>
    <phoneticPr fontId="2"/>
  </si>
  <si>
    <t>h1×ｋ</t>
    <phoneticPr fontId="2"/>
  </si>
  <si>
    <t>ｋ＝２</t>
    <phoneticPr fontId="2"/>
  </si>
  <si>
    <t>一端固定他端自由</t>
    <rPh sb="0" eb="2">
      <t>イッタン</t>
    </rPh>
    <rPh sb="2" eb="4">
      <t>コテイ</t>
    </rPh>
    <rPh sb="4" eb="5">
      <t>タ</t>
    </rPh>
    <rPh sb="5" eb="6">
      <t>タン</t>
    </rPh>
    <rPh sb="6" eb="8">
      <t>ジユウ</t>
    </rPh>
    <phoneticPr fontId="2"/>
  </si>
  <si>
    <t>支柱の細長比</t>
    <rPh sb="0" eb="2">
      <t>シチュウ</t>
    </rPh>
    <rPh sb="3" eb="5">
      <t>ホソナガ</t>
    </rPh>
    <rPh sb="5" eb="6">
      <t>ヒ</t>
    </rPh>
    <phoneticPr fontId="2"/>
  </si>
  <si>
    <t>λ=</t>
    <phoneticPr fontId="2"/>
  </si>
  <si>
    <t>Lk／i</t>
    <phoneticPr fontId="2"/>
  </si>
  <si>
    <t>cm×１００</t>
    <phoneticPr fontId="2"/>
  </si>
  <si>
    <t>m／</t>
    <phoneticPr fontId="2"/>
  </si>
  <si>
    <t>N/mm2</t>
  </si>
  <si>
    <t>（４）断面算定</t>
    <rPh sb="3" eb="7">
      <t>ダンメンサンテイ</t>
    </rPh>
    <phoneticPr fontId="2"/>
  </si>
  <si>
    <t>圧縮応力度</t>
    <rPh sb="0" eb="5">
      <t>アッシュクオウリョクド</t>
    </rPh>
    <phoneticPr fontId="2"/>
  </si>
  <si>
    <t>σc＝</t>
    <phoneticPr fontId="2"/>
  </si>
  <si>
    <t>N／</t>
    <phoneticPr fontId="2"/>
  </si>
  <si>
    <t>cm2／100</t>
    <phoneticPr fontId="2"/>
  </si>
  <si>
    <t>曲げ応力度</t>
    <rPh sb="0" eb="1">
      <t>マ</t>
    </rPh>
    <rPh sb="2" eb="5">
      <t>オウリョクド</t>
    </rPh>
    <phoneticPr fontId="2"/>
  </si>
  <si>
    <t>σb＝</t>
    <phoneticPr fontId="2"/>
  </si>
  <si>
    <t>N・m×1000／</t>
    <phoneticPr fontId="2"/>
  </si>
  <si>
    <t>＜</t>
    <phoneticPr fontId="2"/>
  </si>
  <si>
    <t>　であればＯＫ</t>
    <phoneticPr fontId="2"/>
  </si>
  <si>
    <t>σc×1.5</t>
    <phoneticPr fontId="2"/>
  </si>
  <si>
    <t>判定</t>
    <rPh sb="0" eb="2">
      <t>ハンテイ</t>
    </rPh>
    <phoneticPr fontId="2"/>
  </si>
  <si>
    <t>（５）せん断力</t>
    <rPh sb="5" eb="6">
      <t>ダン</t>
    </rPh>
    <rPh sb="6" eb="7">
      <t>リョク</t>
    </rPh>
    <phoneticPr fontId="2"/>
  </si>
  <si>
    <t>ねじりせん断応力</t>
    <rPh sb="5" eb="8">
      <t>ダンオウリョク</t>
    </rPh>
    <phoneticPr fontId="2"/>
  </si>
  <si>
    <t>τ=</t>
    <phoneticPr fontId="2"/>
  </si>
  <si>
    <t>N･m×1000×</t>
    <phoneticPr fontId="2"/>
  </si>
  <si>
    <t>cm4×10000</t>
    <phoneticPr fontId="2"/>
  </si>
  <si>
    <t>最大せん断応力度</t>
    <rPh sb="0" eb="2">
      <t>サイダイ</t>
    </rPh>
    <rPh sb="4" eb="5">
      <t>ダン</t>
    </rPh>
    <rPh sb="5" eb="8">
      <t>オウリョクド</t>
    </rPh>
    <phoneticPr fontId="2"/>
  </si>
  <si>
    <t>τmax=</t>
    <phoneticPr fontId="2"/>
  </si>
  <si>
    <t>1/2×（</t>
    <phoneticPr fontId="2"/>
  </si>
  <si>
    <t>＾２＋4×</t>
    <phoneticPr fontId="2"/>
  </si>
  <si>
    <t>＾２）^0.5</t>
    <phoneticPr fontId="2"/>
  </si>
  <si>
    <t>m</t>
  </si>
  <si>
    <t>kN/m3</t>
  </si>
  <si>
    <t>　</t>
  </si>
  <si>
    <t>○ 計算条件数値　　</t>
  </si>
  <si>
    <t>鋼管ポールメーカーの数値</t>
    <rPh sb="0" eb="2">
      <t>コウカン</t>
    </rPh>
    <phoneticPr fontId="2"/>
  </si>
  <si>
    <t>１．設計風速V</t>
    <rPh sb="2" eb="4">
      <t>セッケイ</t>
    </rPh>
    <phoneticPr fontId="2"/>
  </si>
  <si>
    <t>m/秒（最大瞬間風速)</t>
    <phoneticPr fontId="2"/>
  </si>
  <si>
    <t>変更（案）：付属物を含めたポールの高さが６ｍ以下のものについては設計風速50m/秒とすることも可(JIL１003:2009　照明用ポール強度計算基準）</t>
    <rPh sb="0" eb="2">
      <t>ヘンコウ</t>
    </rPh>
    <rPh sb="3" eb="4">
      <t>アン</t>
    </rPh>
    <rPh sb="6" eb="9">
      <t>フゾクブツ</t>
    </rPh>
    <rPh sb="10" eb="11">
      <t>フク</t>
    </rPh>
    <rPh sb="17" eb="18">
      <t>タカ</t>
    </rPh>
    <rPh sb="22" eb="24">
      <t>イカ</t>
    </rPh>
    <rPh sb="32" eb="36">
      <t>セッケイフウソク</t>
    </rPh>
    <rPh sb="47" eb="48">
      <t>カ</t>
    </rPh>
    <rPh sb="62" eb="65">
      <t>ショウメイヨウ</t>
    </rPh>
    <rPh sb="68" eb="74">
      <t>キョウドケイサンキジュン</t>
    </rPh>
    <phoneticPr fontId="2"/>
  </si>
  <si>
    <t>２．支柱の形状・寸法等</t>
  </si>
  <si>
    <t>ポール形状</t>
    <rPh sb="3" eb="5">
      <t>ケイジョウ</t>
    </rPh>
    <phoneticPr fontId="2"/>
  </si>
  <si>
    <t>根入れ長さ</t>
    <rPh sb="0" eb="2">
      <t>ネイ</t>
    </rPh>
    <rPh sb="3" eb="4">
      <t>ナガ</t>
    </rPh>
    <phoneticPr fontId="2"/>
  </si>
  <si>
    <t>ｈ（ｍ）</t>
    <phoneticPr fontId="2"/>
  </si>
  <si>
    <t>ｈ１（ｍ）</t>
    <phoneticPr fontId="2"/>
  </si>
  <si>
    <t>h0（ｍ）</t>
    <phoneticPr fontId="2"/>
  </si>
  <si>
    <t>ｄ’（ｍｍ）</t>
    <phoneticPr fontId="2"/>
  </si>
  <si>
    <t>ｄ（ｍｍ）</t>
    <phoneticPr fontId="2"/>
  </si>
  <si>
    <t>ｔ’（ｍｍ）</t>
    <phoneticPr fontId="2"/>
  </si>
  <si>
    <t>ｔ（ｍｍ）</t>
    <phoneticPr fontId="2"/>
  </si>
  <si>
    <t>Ｗ1(kg)</t>
    <phoneticPr fontId="2"/>
  </si>
  <si>
    <t>　断面係数</t>
  </si>
  <si>
    <t>見附(受圧)面積</t>
  </si>
  <si>
    <t>　風力係数</t>
  </si>
  <si>
    <t>Ｚ(cm3）</t>
    <phoneticPr fontId="2"/>
  </si>
  <si>
    <t>Ａ1（cm2）</t>
    <phoneticPr fontId="2"/>
  </si>
  <si>
    <t>Ｃ1</t>
    <phoneticPr fontId="2"/>
  </si>
  <si>
    <t>断面係数Z：</t>
    <rPh sb="0" eb="4">
      <t>ダンメンケイスウ</t>
    </rPh>
    <phoneticPr fontId="2"/>
  </si>
  <si>
    <t>添加物や柱の風を受ける面の面積</t>
  </si>
  <si>
    <t>部材の形状による係数（角1.2、パイプ状0.7）</t>
    <rPh sb="11" eb="12">
      <t>カク</t>
    </rPh>
    <phoneticPr fontId="2"/>
  </si>
  <si>
    <t>カタログ等で確認できた場合は変更可</t>
    <rPh sb="4" eb="5">
      <t>トウ</t>
    </rPh>
    <rPh sb="6" eb="8">
      <t>カクニン</t>
    </rPh>
    <rPh sb="11" eb="13">
      <t>バアイ</t>
    </rPh>
    <rPh sb="14" eb="16">
      <t>ヘンコウ</t>
    </rPh>
    <rPh sb="16" eb="17">
      <t>カ</t>
    </rPh>
    <phoneticPr fontId="2"/>
  </si>
  <si>
    <t>h1'(m)</t>
    <phoneticPr fontId="2"/>
  </si>
  <si>
    <t>L１(m)</t>
    <phoneticPr fontId="2"/>
  </si>
  <si>
    <t>架線計算</t>
    <rPh sb="0" eb="2">
      <t>カセン</t>
    </rPh>
    <rPh sb="2" eb="4">
      <t>ケイサン</t>
    </rPh>
    <phoneticPr fontId="2"/>
  </si>
  <si>
    <t>３．取付物の形状・寸法等</t>
    <phoneticPr fontId="2"/>
  </si>
  <si>
    <t>種別</t>
    <rPh sb="0" eb="2">
      <t>シュベツ</t>
    </rPh>
    <phoneticPr fontId="2"/>
  </si>
  <si>
    <t>風力係数</t>
  </si>
  <si>
    <t>街路灯１</t>
    <rPh sb="0" eb="3">
      <t>ガイロトウ</t>
    </rPh>
    <phoneticPr fontId="2"/>
  </si>
  <si>
    <t>街路灯２</t>
    <rPh sb="0" eb="3">
      <t>ガイロトウ</t>
    </rPh>
    <phoneticPr fontId="2"/>
  </si>
  <si>
    <t>防犯カメラ１</t>
    <rPh sb="0" eb="2">
      <t>ボウハン</t>
    </rPh>
    <phoneticPr fontId="2"/>
  </si>
  <si>
    <t>防犯カメラ２</t>
    <rPh sb="0" eb="2">
      <t>ボウハン</t>
    </rPh>
    <phoneticPr fontId="2"/>
  </si>
  <si>
    <t>Σ</t>
    <phoneticPr fontId="2"/>
  </si>
  <si>
    <t>水平距離Ｌ：</t>
  </si>
  <si>
    <t>支柱から添加物がせり出している距離</t>
  </si>
  <si>
    <t>速度圧ｑ1:風速ｖ(m/s)（一般にｖ＝60m/s）から決定される。</t>
    <phoneticPr fontId="2"/>
  </si>
  <si>
    <t>主柱軸周りのねじりモーメント</t>
    <rPh sb="0" eb="2">
      <t>シュチュウ</t>
    </rPh>
    <rPh sb="2" eb="3">
      <t>ジク</t>
    </rPh>
    <rPh sb="3" eb="4">
      <t>マワ</t>
    </rPh>
    <phoneticPr fontId="2"/>
  </si>
  <si>
    <t>アームの水平距離が短い場合は考慮しない</t>
    <rPh sb="4" eb="8">
      <t>スイヘイキョリ</t>
    </rPh>
    <rPh sb="9" eb="10">
      <t>ミジカ</t>
    </rPh>
    <rPh sb="11" eb="13">
      <t>バアイ</t>
    </rPh>
    <rPh sb="14" eb="16">
      <t>コウリョ</t>
    </rPh>
    <phoneticPr fontId="2"/>
  </si>
  <si>
    <t>Ⅰ．柱の確認</t>
  </si>
  <si>
    <t>（４）架線による作用モーメント（柱間の電力線等にかかる力）の算出</t>
  </si>
  <si>
    <t>⑥ 柱間に張られた電線については、互いに引き合う力が生じることから、架線により生じるモーメントの算出を行う。</t>
  </si>
  <si>
    <t>※　風から受ける力を最大で計算するため、架線は垂直に風を受けると仮定する。
　　また、２柱の架線取り付け高さは同一と仮定する。（θ2=0）
　</t>
    <phoneticPr fontId="2"/>
  </si>
  <si>
    <t>架線の風力係数：C＝</t>
    <phoneticPr fontId="2"/>
  </si>
  <si>
    <t>架線の緩み：f＝</t>
    <phoneticPr fontId="2"/>
  </si>
  <si>
    <t>％</t>
    <phoneticPr fontId="2"/>
  </si>
  <si>
    <t>架線の仕上がり外径；dc＝</t>
    <phoneticPr fontId="2"/>
  </si>
  <si>
    <t>ｍ</t>
    <phoneticPr fontId="2"/>
  </si>
  <si>
    <t>単位長さ当たりの重量：W1＝</t>
    <rPh sb="0" eb="3">
      <t>タンイナガ</t>
    </rPh>
    <rPh sb="4" eb="5">
      <t>ア</t>
    </rPh>
    <phoneticPr fontId="2"/>
  </si>
  <si>
    <t>N/m</t>
    <phoneticPr fontId="2"/>
  </si>
  <si>
    <t>N</t>
    <phoneticPr fontId="2"/>
  </si>
  <si>
    <t>よって、架線による作用モーメント：Mcは</t>
  </si>
  <si>
    <t>Mc=</t>
  </si>
  <si>
    <t>T×h1'=</t>
    <phoneticPr fontId="2"/>
  </si>
  <si>
    <t>N・ｍ</t>
  </si>
  <si>
    <t>（５）地際の合計作用モーメントが支持柱の許容応力度以下であることを確認</t>
    <rPh sb="3" eb="5">
      <t>チギワ</t>
    </rPh>
    <phoneticPr fontId="2"/>
  </si>
  <si>
    <t>合計作用モーメント（ΣM)及び固定荷重に対し、支持柱が耐えられるかを確認する。
確認として、合計作用モーメントΣMを断面係数Zで割った応力度と固定荷重に対する軸応力を加算した支持柱に作用する曲げ応力度σを算出し、その値が材料の許容曲げ応力度σa以下であることを確認する。</t>
    <rPh sb="13" eb="14">
      <t>オヨ</t>
    </rPh>
    <rPh sb="15" eb="19">
      <t>コテイカジュウ</t>
    </rPh>
    <rPh sb="67" eb="70">
      <t>オウリョクド</t>
    </rPh>
    <rPh sb="71" eb="75">
      <t>コテイカジュウ</t>
    </rPh>
    <rPh sb="76" eb="77">
      <t>タイ</t>
    </rPh>
    <rPh sb="79" eb="82">
      <t>ジクオウリョク</t>
    </rPh>
    <rPh sb="83" eb="85">
      <t>カサン</t>
    </rPh>
    <phoneticPr fontId="2"/>
  </si>
  <si>
    <t>　　断面係数　　Z=</t>
  </si>
  <si>
    <t>自重　W＝</t>
    <rPh sb="0" eb="2">
      <t>ジジュウ</t>
    </rPh>
    <phoneticPr fontId="2"/>
  </si>
  <si>
    <t>kg</t>
    <phoneticPr fontId="2"/>
  </si>
  <si>
    <t>断面積A’＝</t>
    <rPh sb="0" eb="3">
      <t>ダンメンセキ</t>
    </rPh>
    <phoneticPr fontId="2"/>
  </si>
  <si>
    <t>合計作用モーメント　ΣM＝</t>
    <phoneticPr fontId="2"/>
  </si>
  <si>
    <t>σ=</t>
  </si>
  <si>
    <t>ΣM　　ΣW*9.8</t>
    <phoneticPr fontId="2"/>
  </si>
  <si>
    <t>　Z　　　　　A'　　　　　　</t>
    <phoneticPr fontId="2"/>
  </si>
  <si>
    <t>合計作用モーメント　ΣM＝</t>
    <phoneticPr fontId="2"/>
  </si>
  <si>
    <t>ΣM</t>
  </si>
  <si>
    <t>Z</t>
  </si>
  <si>
    <t>柱を地面に固定している部分（基礎のボルト）は、柱が曲がろうとした場合、同時に引き抜きの力
が作用する。
このため、地盤に接したボルトは引き抜きの力に耐えうる必要がある。</t>
  </si>
  <si>
    <t>Ⅱ．基礎の確認</t>
  </si>
  <si>
    <t>（１）引き抜け力の確認</t>
  </si>
  <si>
    <t>①</t>
  </si>
  <si>
    <t>合計作用モーメントΣMと柱を固定するボルトの距離Lu(m)により、引抜力Pが算出される。</t>
  </si>
  <si>
    <t>Pu＝</t>
  </si>
  <si>
    <t>Lu</t>
  </si>
  <si>
    <t>※ 距離Lは、一般に検討するボルトと、その反対側の支持柱ﾍﾞｰｽﾌﾟﾚｰﾄ端部との距離</t>
  </si>
  <si>
    <t>（２）ボルトの確認</t>
  </si>
  <si>
    <t>②</t>
  </si>
  <si>
    <t>σ＝</t>
  </si>
  <si>
    <t>Pu</t>
  </si>
  <si>
    <t>Au</t>
  </si>
  <si>
    <t>※Pu：①で求めた引抜力：P</t>
  </si>
  <si>
    <t>※Au：ボルトの面積。ボルト径より算出</t>
  </si>
  <si>
    <t>柱を地面に固定するための基礎には、全体の荷重を支え、斜めに傾かない役割が求められる。
このため、全体の重さを地盤面に適切に分散して伝え、横方向に倒れ掛かる力を地盤土砂によって支えられる形状が求められる。</t>
    <rPh sb="68" eb="69">
      <t>ヨコ</t>
    </rPh>
    <phoneticPr fontId="2"/>
  </si>
  <si>
    <t>Ⅲ．基礎形状の確認</t>
    <phoneticPr fontId="2"/>
  </si>
  <si>
    <t>※国土交通省近畿地方整備局　第４章　道路照明設備</t>
    <rPh sb="1" eb="6">
      <t>コクドコウツウショウ</t>
    </rPh>
    <rPh sb="6" eb="8">
      <t>キンキ</t>
    </rPh>
    <rPh sb="8" eb="13">
      <t>チホウセイビキョク</t>
    </rPh>
    <rPh sb="14" eb="15">
      <t>ダイ</t>
    </rPh>
    <rPh sb="16" eb="17">
      <t>ショウ</t>
    </rPh>
    <rPh sb="18" eb="20">
      <t>ドウロ</t>
    </rPh>
    <rPh sb="20" eb="22">
      <t>ショウメイ</t>
    </rPh>
    <rPh sb="22" eb="24">
      <t>セツビ</t>
    </rPh>
    <phoneticPr fontId="2"/>
  </si>
  <si>
    <t>※建設省土木研究所資料第1035号「ポール基礎の安定計算法」</t>
    <rPh sb="1" eb="11">
      <t>ケンセツショウドボクケンキュウショシリョウ</t>
    </rPh>
    <rPh sb="11" eb="12">
      <t>ダイ</t>
    </rPh>
    <rPh sb="16" eb="17">
      <t>ゴウ</t>
    </rPh>
    <rPh sb="21" eb="23">
      <t>キソ</t>
    </rPh>
    <rPh sb="24" eb="29">
      <t>アンテイケイサンホウ</t>
    </rPh>
    <phoneticPr fontId="2"/>
  </si>
  <si>
    <t>（１）前提条件の確認</t>
  </si>
  <si>
    <t>※道路標識設置基準・同解説</t>
    <rPh sb="1" eb="9">
      <t>ドウロヒョウシキセッチキジュン</t>
    </rPh>
    <rPh sb="10" eb="11">
      <t>ドウ</t>
    </rPh>
    <rPh sb="11" eb="13">
      <t>カイセツ</t>
    </rPh>
    <phoneticPr fontId="2"/>
  </si>
  <si>
    <t>標準的な土質・地盤の状況として、地盤の傾きがない、N値10の普通砂質土地盤を想定する。</t>
  </si>
  <si>
    <t>（※明らかに地盤条件が異なる際は別途検討を行うこと。）</t>
  </si>
  <si>
    <t>普通砂質土単位体積荷重</t>
  </si>
  <si>
    <t>γ＝</t>
  </si>
  <si>
    <t>N値</t>
  </si>
  <si>
    <t>N＝</t>
    <phoneticPr fontId="2"/>
  </si>
  <si>
    <t>受動土圧係数</t>
    <rPh sb="0" eb="6">
      <t>ジュドウドアツケイスウ</t>
    </rPh>
    <phoneticPr fontId="2"/>
  </si>
  <si>
    <t>Ｋｐ＝</t>
    <phoneticPr fontId="2"/>
  </si>
  <si>
    <t>地表面と水平面のなす角</t>
  </si>
  <si>
    <t>α＝</t>
  </si>
  <si>
    <t>rad</t>
  </si>
  <si>
    <t>（２）基礎形状の仮定</t>
    <rPh sb="3" eb="5">
      <t>キソ</t>
    </rPh>
    <rPh sb="5" eb="7">
      <t>ケイジョウ</t>
    </rPh>
    <rPh sb="8" eb="10">
      <t>カテイ</t>
    </rPh>
    <phoneticPr fontId="2"/>
  </si>
  <si>
    <t>：入力セル</t>
    <rPh sb="1" eb="3">
      <t>ニュウリョク</t>
    </rPh>
    <phoneticPr fontId="2"/>
  </si>
  <si>
    <t>基礎形状を仮定する。</t>
    <rPh sb="5" eb="7">
      <t>カテイ</t>
    </rPh>
    <phoneticPr fontId="2"/>
  </si>
  <si>
    <t>偏芯のない矩形ｺﾝｸﾘｰﾄ基礎（平面形が正方形）の計算とし、</t>
    <rPh sb="0" eb="2">
      <t>ヘンシン</t>
    </rPh>
    <rPh sb="5" eb="7">
      <t>クケイ</t>
    </rPh>
    <rPh sb="13" eb="15">
      <t>キソ</t>
    </rPh>
    <rPh sb="25" eb="27">
      <t>ケイサン</t>
    </rPh>
    <phoneticPr fontId="2"/>
  </si>
  <si>
    <t>矩形ｺﾝｸﾘｰﾄ
基礎(計算値)</t>
    <rPh sb="12" eb="15">
      <t>ケイサンチ</t>
    </rPh>
    <phoneticPr fontId="2"/>
  </si>
  <si>
    <t>前面幅</t>
  </si>
  <si>
    <t>ｍ</t>
  </si>
  <si>
    <t>幅/高さが1/2以下のケーソン基礎を対象とする。</t>
    <rPh sb="15" eb="17">
      <t>キソ</t>
    </rPh>
    <rPh sb="18" eb="20">
      <t>タイショウ</t>
    </rPh>
    <phoneticPr fontId="2"/>
  </si>
  <si>
    <t>側面長</t>
  </si>
  <si>
    <t>L</t>
  </si>
  <si>
    <t>幅/高さが1/2より大きい直接基礎型の基礎や、</t>
    <rPh sb="0" eb="1">
      <t>ハバ</t>
    </rPh>
    <rPh sb="2" eb="3">
      <t>タカ</t>
    </rPh>
    <rPh sb="10" eb="11">
      <t>オオ</t>
    </rPh>
    <rPh sb="13" eb="18">
      <t>チョクセツキソガタ</t>
    </rPh>
    <rPh sb="19" eb="21">
      <t>キソ</t>
    </rPh>
    <phoneticPr fontId="2"/>
  </si>
  <si>
    <t>深さ</t>
    <rPh sb="0" eb="1">
      <t>フカ</t>
    </rPh>
    <phoneticPr fontId="2"/>
  </si>
  <si>
    <t>H</t>
  </si>
  <si>
    <t>ｍ</t>
    <phoneticPr fontId="2"/>
  </si>
  <si>
    <t>極端な細形の基礎の場合は、別途検討を行う。</t>
    <rPh sb="0" eb="2">
      <t>キョクタン</t>
    </rPh>
    <rPh sb="3" eb="5">
      <t>ホソガタ</t>
    </rPh>
    <rPh sb="6" eb="8">
      <t>キソ</t>
    </rPh>
    <rPh sb="9" eb="11">
      <t>バアイ</t>
    </rPh>
    <rPh sb="13" eb="17">
      <t>ベットケントウ</t>
    </rPh>
    <rPh sb="18" eb="19">
      <t>オコナ</t>
    </rPh>
    <phoneticPr fontId="2"/>
  </si>
  <si>
    <t>舗装ありなし</t>
    <rPh sb="0" eb="2">
      <t>ホソウ</t>
    </rPh>
    <phoneticPr fontId="2"/>
  </si>
  <si>
    <t>あり</t>
    <phoneticPr fontId="2"/>
  </si>
  <si>
    <t>※円形断面を用いる場合は、円の直径を正方形の</t>
    <rPh sb="1" eb="5">
      <t>エンケイダンメン</t>
    </rPh>
    <rPh sb="13" eb="14">
      <t>エン</t>
    </rPh>
    <rPh sb="15" eb="17">
      <t>チョッケイ</t>
    </rPh>
    <rPh sb="18" eb="21">
      <t>セイホウケイ</t>
    </rPh>
    <phoneticPr fontId="2"/>
  </si>
  <si>
    <t>単位体積荷重</t>
    <rPh sb="0" eb="2">
      <t>タンイ</t>
    </rPh>
    <rPh sb="2" eb="4">
      <t>タイセキ</t>
    </rPh>
    <rPh sb="4" eb="6">
      <t>カジュウ</t>
    </rPh>
    <phoneticPr fontId="2"/>
  </si>
  <si>
    <t>γｃ</t>
    <phoneticPr fontId="2"/>
  </si>
  <si>
    <t>ｋN/m3</t>
    <phoneticPr fontId="2"/>
  </si>
  <si>
    <t>　一辺として設計してもよい。</t>
    <phoneticPr fontId="2"/>
  </si>
  <si>
    <t>一般的な無筋ｺﾝｸﾘｰﾄ</t>
    <rPh sb="0" eb="2">
      <t>イッパン</t>
    </rPh>
    <rPh sb="2" eb="3">
      <t>テキ</t>
    </rPh>
    <rPh sb="4" eb="6">
      <t>ムキン</t>
    </rPh>
    <phoneticPr fontId="2"/>
  </si>
  <si>
    <t>kN/m3</t>
    <phoneticPr fontId="2"/>
  </si>
  <si>
    <t>※基礎上部の拘束条件として、周囲の舗装のありなしを入力。</t>
    <rPh sb="1" eb="5">
      <t>キソジョウブ</t>
    </rPh>
    <rPh sb="6" eb="10">
      <t>コウソクジョウケン</t>
    </rPh>
    <rPh sb="14" eb="16">
      <t>シュウイ</t>
    </rPh>
    <rPh sb="25" eb="27">
      <t>ニュウリョク</t>
    </rPh>
    <phoneticPr fontId="2"/>
  </si>
  <si>
    <t>（３）基礎上面にかかる鉛直応力、水平応力、合計作用モーメント等の確認</t>
    <rPh sb="3" eb="5">
      <t>キソ</t>
    </rPh>
    <rPh sb="5" eb="7">
      <t>ジョウメン</t>
    </rPh>
    <rPh sb="11" eb="13">
      <t>エンチョク</t>
    </rPh>
    <rPh sb="13" eb="15">
      <t>オウリョク</t>
    </rPh>
    <rPh sb="16" eb="18">
      <t>スイヘイ</t>
    </rPh>
    <rPh sb="18" eb="19">
      <t>オウ</t>
    </rPh>
    <rPh sb="19" eb="20">
      <t>リョク</t>
    </rPh>
    <rPh sb="21" eb="25">
      <t>ゴウケイサヨウ</t>
    </rPh>
    <rPh sb="30" eb="31">
      <t>トウ</t>
    </rPh>
    <rPh sb="32" eb="34">
      <t>カクニン</t>
    </rPh>
    <phoneticPr fontId="2"/>
  </si>
  <si>
    <t>Ⅰ．で求めた内容から、基礎上面にかかる鉛直応力、水平応力、曲げモーメントを整理する。</t>
    <rPh sb="3" eb="4">
      <t>モト</t>
    </rPh>
    <rPh sb="6" eb="8">
      <t>ナイヨウ</t>
    </rPh>
    <rPh sb="11" eb="15">
      <t>キソジョウメン</t>
    </rPh>
    <rPh sb="19" eb="23">
      <t>エンチョクオウリョク</t>
    </rPh>
    <rPh sb="24" eb="28">
      <t>スイヘイオウリョク</t>
    </rPh>
    <rPh sb="29" eb="30">
      <t>マ</t>
    </rPh>
    <rPh sb="37" eb="39">
      <t>セイリ</t>
    </rPh>
    <phoneticPr fontId="2"/>
  </si>
  <si>
    <t>①</t>
    <phoneticPr fontId="2"/>
  </si>
  <si>
    <t>鉛直応力ΣV＝W1+W2+W3+W4+W5=</t>
    <rPh sb="0" eb="4">
      <t>エンチョクオウリョク</t>
    </rPh>
    <phoneticPr fontId="2"/>
  </si>
  <si>
    <t>kN</t>
    <phoneticPr fontId="2"/>
  </si>
  <si>
    <t>※W5：架線の荷重　　W５＝W×L/2</t>
    <rPh sb="4" eb="6">
      <t>カセン</t>
    </rPh>
    <rPh sb="7" eb="9">
      <t>カジュウ</t>
    </rPh>
    <phoneticPr fontId="2"/>
  </si>
  <si>
    <t>②</t>
    <phoneticPr fontId="2"/>
  </si>
  <si>
    <t>水平応力ΣH＝H2+H3+H4+Hp+T=</t>
    <rPh sb="0" eb="4">
      <t>スイヘイオウリョク</t>
    </rPh>
    <phoneticPr fontId="2"/>
  </si>
  <si>
    <t xml:space="preserve">H2＝C2 × q 1 × A2 </t>
    <phoneticPr fontId="2"/>
  </si>
  <si>
    <t>　　＝C2×（ｑ１×１０００）×（A2÷１００００）</t>
    <phoneticPr fontId="2"/>
  </si>
  <si>
    <t>N</t>
    <phoneticPr fontId="2"/>
  </si>
  <si>
    <t xml:space="preserve">H3＝C3 × q 1 × A3 </t>
    <phoneticPr fontId="2"/>
  </si>
  <si>
    <t>　　＝C3×（ｑ１×１０００）×（A3÷１００００）</t>
    <phoneticPr fontId="2"/>
  </si>
  <si>
    <t xml:space="preserve">H4＝C4 × q 1 × A4 </t>
    <phoneticPr fontId="2"/>
  </si>
  <si>
    <t>　　＝C4×（ｑ１×１０００）×（A4÷１００００）</t>
    <phoneticPr fontId="2"/>
  </si>
  <si>
    <t>Hp＝C1 × ｑ1 × A1</t>
    <phoneticPr fontId="2"/>
  </si>
  <si>
    <t>　　＝C1×（ｑ１×１０００）×（A1÷１００００）</t>
    <phoneticPr fontId="2"/>
  </si>
  <si>
    <t>T=</t>
    <phoneticPr fontId="2"/>
  </si>
  <si>
    <t>③</t>
    <phoneticPr fontId="2"/>
  </si>
  <si>
    <t>合計作用モーメントΣM＝</t>
    <rPh sb="0" eb="4">
      <t>ゴウケイサヨウ</t>
    </rPh>
    <phoneticPr fontId="2"/>
  </si>
  <si>
    <t>kN・ｍ</t>
    <phoneticPr fontId="2"/>
  </si>
  <si>
    <t>④</t>
    <phoneticPr fontId="2"/>
  </si>
  <si>
    <t>ケーソン基礎の諸係数を確認する。</t>
    <rPh sb="4" eb="6">
      <t>キソ</t>
    </rPh>
    <rPh sb="7" eb="10">
      <t>ショケイスウ</t>
    </rPh>
    <rPh sb="11" eb="13">
      <t>カクニン</t>
    </rPh>
    <phoneticPr fontId="2"/>
  </si>
  <si>
    <t>・基礎自重W=γc×D×L×H＝</t>
    <rPh sb="1" eb="5">
      <t>キソジジュウ</t>
    </rPh>
    <phoneticPr fontId="2"/>
  </si>
  <si>
    <t>kN</t>
    <phoneticPr fontId="2"/>
  </si>
  <si>
    <t>・基礎底面に作用する鉛直応力ΣP</t>
    <rPh sb="1" eb="5">
      <t>キソテイメン</t>
    </rPh>
    <rPh sb="6" eb="8">
      <t>サヨウ</t>
    </rPh>
    <rPh sb="10" eb="14">
      <t>エンチョクオウリョク</t>
    </rPh>
    <phoneticPr fontId="2"/>
  </si>
  <si>
    <t>ΣP＝ΣV＋W＝</t>
    <phoneticPr fontId="2"/>
  </si>
  <si>
    <t>・水平方向地盤反力係数Ｋb=12.8×KH0×(D×H)^(-3/8)</t>
    <rPh sb="1" eb="11">
      <t>スイヘイホウコウジバンハンリョクケイスウ</t>
    </rPh>
    <phoneticPr fontId="2"/>
  </si>
  <si>
    <t>・鉛直方向地盤反力係数Ｋv=12.8×Kv0×(D×L)^(-3/8)</t>
    <rPh sb="1" eb="11">
      <t>エンチョクホウコウジバンハンリョクケイスウ</t>
    </rPh>
    <phoneticPr fontId="2"/>
  </si>
  <si>
    <t>（４）安定条件式を満たす係数βの算出</t>
    <rPh sb="3" eb="5">
      <t>アンテイ</t>
    </rPh>
    <rPh sb="5" eb="7">
      <t>ジョウケン</t>
    </rPh>
    <rPh sb="7" eb="8">
      <t>シキ</t>
    </rPh>
    <rPh sb="9" eb="10">
      <t>ミ</t>
    </rPh>
    <rPh sb="12" eb="14">
      <t>ケイスウ</t>
    </rPh>
    <rPh sb="16" eb="18">
      <t>サンシュツ</t>
    </rPh>
    <phoneticPr fontId="2"/>
  </si>
  <si>
    <t>安定計算係数βを仮定する。β＝</t>
    <rPh sb="0" eb="4">
      <t>アンテイケイサン</t>
    </rPh>
    <rPh sb="4" eb="6">
      <t>ケイスウ</t>
    </rPh>
    <rPh sb="8" eb="10">
      <t>カテイ</t>
    </rPh>
    <phoneticPr fontId="2"/>
  </si>
  <si>
    <t>°</t>
    <phoneticPr fontId="2"/>
  </si>
  <si>
    <t>：入力・変化させるセル</t>
    <rPh sb="1" eb="3">
      <t>ニュウリョク</t>
    </rPh>
    <rPh sb="4" eb="6">
      <t>ヘンカ</t>
    </rPh>
    <phoneticPr fontId="2"/>
  </si>
  <si>
    <t>各係数の算出</t>
    <rPh sb="0" eb="3">
      <t>カクケイスウ</t>
    </rPh>
    <rPh sb="4" eb="6">
      <t>サンシュツ</t>
    </rPh>
    <phoneticPr fontId="2"/>
  </si>
  <si>
    <t>n＝D/L＝</t>
    <phoneticPr fontId="2"/>
  </si>
  <si>
    <t>ν1＝n×(1+n×cotβ)^2＝</t>
    <phoneticPr fontId="2"/>
  </si>
  <si>
    <t>ν2＝n/3×(2-n×cotβ)(1+n×cotβ)^2＝</t>
    <phoneticPr fontId="2"/>
  </si>
  <si>
    <t>K1＝L/2×Kb×H＝</t>
    <phoneticPr fontId="2"/>
  </si>
  <si>
    <t>K2＝2/3×L/2×Kb×H^2＝</t>
    <phoneticPr fontId="2"/>
  </si>
  <si>
    <t>K3＝1/2×L/2×Kb×H^3＋Kv×(D/2)^4×ν2＝</t>
    <phoneticPr fontId="2"/>
  </si>
  <si>
    <t>θ＝（ΣM×K1＋ΣH×K2）/（K1×K3－K2＾2）＝</t>
    <phoneticPr fontId="2"/>
  </si>
  <si>
    <t>ｈ＝（ΣM×K2＋ΣH×K3）/（ΣM×K1＋ΣH×K2）＝</t>
    <phoneticPr fontId="2"/>
  </si>
  <si>
    <t>条件式を収束させる係数βとして決定する。</t>
    <rPh sb="0" eb="3">
      <t>ジョウケンシキ</t>
    </rPh>
    <rPh sb="4" eb="6">
      <t>シュウソク</t>
    </rPh>
    <rPh sb="9" eb="11">
      <t>ケイスウ</t>
    </rPh>
    <rPh sb="15" eb="17">
      <t>ケッテイ</t>
    </rPh>
    <phoneticPr fontId="2"/>
  </si>
  <si>
    <t>ΣP－Ｋv×(D/2)^3×θ×ν1＝</t>
    <phoneticPr fontId="2"/>
  </si>
  <si>
    <t>≒0となるようなβを探す</t>
    <rPh sb="10" eb="11">
      <t>サガ</t>
    </rPh>
    <phoneticPr fontId="2"/>
  </si>
  <si>
    <t>手法１　黄セルに数値を手入力し、赤枠セルがほぼ0になる値を探す</t>
    <rPh sb="0" eb="2">
      <t>シュホウ</t>
    </rPh>
    <rPh sb="4" eb="5">
      <t>キ</t>
    </rPh>
    <rPh sb="8" eb="10">
      <t>スウチ</t>
    </rPh>
    <rPh sb="11" eb="14">
      <t>テニュウリョク</t>
    </rPh>
    <rPh sb="16" eb="18">
      <t>アカワク</t>
    </rPh>
    <rPh sb="27" eb="28">
      <t>アタイ</t>
    </rPh>
    <rPh sb="29" eb="30">
      <t>サガ</t>
    </rPh>
    <phoneticPr fontId="2"/>
  </si>
  <si>
    <t>手法２　「ゴールシーク」機能で値を探す</t>
    <rPh sb="0" eb="2">
      <t>シュホウ</t>
    </rPh>
    <rPh sb="12" eb="14">
      <t>キノウ</t>
    </rPh>
    <rPh sb="15" eb="16">
      <t>アタイ</t>
    </rPh>
    <rPh sb="17" eb="18">
      <t>サガ</t>
    </rPh>
    <phoneticPr fontId="2"/>
  </si>
  <si>
    <t>　　　　　　※Excelでは、「データ」「What-If分析」下に</t>
    <rPh sb="28" eb="30">
      <t>ブンセキ</t>
    </rPh>
    <rPh sb="31" eb="32">
      <t>シタ</t>
    </rPh>
    <phoneticPr fontId="2"/>
  </si>
  <si>
    <t>　　　　【1】赤枠セルを「数式入力セル」に設定</t>
    <rPh sb="7" eb="8">
      <t>アカ</t>
    </rPh>
    <rPh sb="8" eb="9">
      <t>ワク</t>
    </rPh>
    <rPh sb="13" eb="15">
      <t>スウシキ</t>
    </rPh>
    <rPh sb="15" eb="17">
      <t>ニュウリョク</t>
    </rPh>
    <rPh sb="21" eb="23">
      <t>セッテイ</t>
    </rPh>
    <phoneticPr fontId="2"/>
  </si>
  <si>
    <t>　　　　【2】目標値を0と入力</t>
    <rPh sb="7" eb="10">
      <t>モクヒョウチ</t>
    </rPh>
    <rPh sb="13" eb="15">
      <t>ニュウリョク</t>
    </rPh>
    <phoneticPr fontId="2"/>
  </si>
  <si>
    <t>　　　　【3】黄セルを「変化させるセル」に設定</t>
    <rPh sb="7" eb="8">
      <t>キ</t>
    </rPh>
    <rPh sb="12" eb="14">
      <t>ヘンカ</t>
    </rPh>
    <rPh sb="21" eb="23">
      <t>セッテイ</t>
    </rPh>
    <phoneticPr fontId="2"/>
  </si>
  <si>
    <t>　　　　【4】計算実行</t>
    <rPh sb="7" eb="11">
      <t>ケイサンジッコウ</t>
    </rPh>
    <phoneticPr fontId="2"/>
  </si>
  <si>
    <t>（５）ケーソン基礎の安定計算</t>
    <rPh sb="7" eb="9">
      <t>キソ</t>
    </rPh>
    <rPh sb="10" eb="14">
      <t>アンテイケイサン</t>
    </rPh>
    <phoneticPr fontId="2"/>
  </si>
  <si>
    <t>安定計算係数βによる条件式が（≒）０であり、かつ</t>
    <rPh sb="10" eb="13">
      <t>ジョウケンシキ</t>
    </rPh>
    <phoneticPr fontId="2"/>
  </si>
  <si>
    <t>ケーソン基礎の安定式　2.4×H×γ×（Ｋp／Ｋb）－ｈ×θ≧０で安定。</t>
    <rPh sb="4" eb="6">
      <t>キソ</t>
    </rPh>
    <rPh sb="7" eb="10">
      <t>アンテイシキ</t>
    </rPh>
    <rPh sb="33" eb="35">
      <t>アンテイ</t>
    </rPh>
    <phoneticPr fontId="2"/>
  </si>
  <si>
    <t>※判定が”ＮＧ”の場合や、より経済的な基礎構造を検討する場合は、</t>
    <rPh sb="1" eb="3">
      <t>ハンテイ</t>
    </rPh>
    <rPh sb="9" eb="11">
      <t>バアイ</t>
    </rPh>
    <rPh sb="15" eb="18">
      <t>ケイザイテキ</t>
    </rPh>
    <rPh sb="19" eb="23">
      <t>キソコウゾウ</t>
    </rPh>
    <rPh sb="24" eb="26">
      <t>ケントウ</t>
    </rPh>
    <rPh sb="28" eb="30">
      <t>バアイ</t>
    </rPh>
    <phoneticPr fontId="2"/>
  </si>
  <si>
    <t>　【（２）基礎形状の仮定】に戻って基礎形状を変更し、計算を繰り返す。</t>
    <rPh sb="17" eb="21">
      <t>キソケイジョウ</t>
    </rPh>
    <rPh sb="22" eb="24">
      <t>ヘンコウ</t>
    </rPh>
    <phoneticPr fontId="2"/>
  </si>
  <si>
    <t>（５）ケーソン基礎の決定</t>
    <rPh sb="7" eb="9">
      <t>キソ</t>
    </rPh>
    <rPh sb="10" eb="12">
      <t>ケッテイ</t>
    </rPh>
    <phoneticPr fontId="2"/>
  </si>
  <si>
    <t>矩形基礎の場合</t>
    <rPh sb="0" eb="2">
      <t>クケイ</t>
    </rPh>
    <rPh sb="2" eb="4">
      <t>キソ</t>
    </rPh>
    <rPh sb="5" eb="7">
      <t>バアイ</t>
    </rPh>
    <phoneticPr fontId="2"/>
  </si>
  <si>
    <t>平面形</t>
    <rPh sb="0" eb="2">
      <t>ヘイメン</t>
    </rPh>
    <rPh sb="2" eb="3">
      <t>カタチ</t>
    </rPh>
    <phoneticPr fontId="2"/>
  </si>
  <si>
    <t>□</t>
    <phoneticPr fontId="2"/>
  </si>
  <si>
    <t>※最低限の大きさ</t>
    <rPh sb="1" eb="4">
      <t>サイテイゲン</t>
    </rPh>
    <rPh sb="5" eb="6">
      <t>オオ</t>
    </rPh>
    <phoneticPr fontId="2"/>
  </si>
  <si>
    <t>※上部舗装拘束</t>
    <rPh sb="1" eb="3">
      <t>ジョウブ</t>
    </rPh>
    <rPh sb="3" eb="5">
      <t>ホソウ</t>
    </rPh>
    <rPh sb="5" eb="7">
      <t>コウソク</t>
    </rPh>
    <phoneticPr fontId="2"/>
  </si>
  <si>
    <t>円形基礎の場合</t>
    <rPh sb="0" eb="2">
      <t>エンケイ</t>
    </rPh>
    <rPh sb="2" eb="4">
      <t>キソ</t>
    </rPh>
    <rPh sb="5" eb="7">
      <t>バアイ</t>
    </rPh>
    <phoneticPr fontId="2"/>
  </si>
  <si>
    <t>Φ</t>
    <phoneticPr fontId="2"/>
  </si>
  <si>
    <t>※周囲を舗装している箇所に設置する際の基礎深さは、基礎上部が固定されるため70％浅くしてよい</t>
    <rPh sb="1" eb="3">
      <t>シュウイ</t>
    </rPh>
    <rPh sb="19" eb="22">
      <t>キソフカ</t>
    </rPh>
    <rPh sb="30" eb="32">
      <t>コテイ</t>
    </rPh>
    <rPh sb="40" eb="41">
      <t>アサ</t>
    </rPh>
    <phoneticPr fontId="2"/>
  </si>
  <si>
    <t>Ａ(cm3)</t>
    <phoneticPr fontId="2"/>
  </si>
  <si>
    <t>Ｉ(cm4）</t>
    <phoneticPr fontId="2"/>
  </si>
  <si>
    <t>i(cm)</t>
    <phoneticPr fontId="2"/>
  </si>
  <si>
    <t>短期(許容応力度)</t>
    <rPh sb="0" eb="2">
      <t>タンキ</t>
    </rPh>
    <rPh sb="5" eb="7">
      <t>オウリョク</t>
    </rPh>
    <phoneticPr fontId="2"/>
  </si>
  <si>
    <t>断面積Ａ:</t>
    <rPh sb="0" eb="3">
      <t>ダンメンセキ</t>
    </rPh>
    <phoneticPr fontId="2"/>
  </si>
  <si>
    <t>断面2次半径i：</t>
    <rPh sb="0" eb="2">
      <t>ダンメン</t>
    </rPh>
    <rPh sb="3" eb="6">
      <t>ジハンケイ</t>
    </rPh>
    <phoneticPr fontId="2"/>
  </si>
  <si>
    <t>断面2次モーメントI：</t>
    <rPh sb="0" eb="2">
      <t>ダンメン</t>
    </rPh>
    <rPh sb="3" eb="4">
      <t>ジ</t>
    </rPh>
    <phoneticPr fontId="2"/>
  </si>
  <si>
    <t>π/4×(d'^2-(d'-2t')^2）</t>
    <phoneticPr fontId="2"/>
  </si>
  <si>
    <t>（1/16×(d'^2+(d'-2×t')^2))^0.5</t>
    <phoneticPr fontId="2"/>
  </si>
  <si>
    <t>π/64×(d'^4-(d'-2×t')^4）/（d'/2）＝π/32×(d'^4-(d'-2×t')^4）</t>
    <phoneticPr fontId="2"/>
  </si>
  <si>
    <t>π/64×(d'^4-(d'-2×t')^4）</t>
    <phoneticPr fontId="2"/>
  </si>
  <si>
    <t>見附面積Ａ１：</t>
    <phoneticPr fontId="2"/>
  </si>
  <si>
    <t>風力係数C１：</t>
    <phoneticPr fontId="2"/>
  </si>
  <si>
    <t>h1×W1/h＝</t>
    <phoneticPr fontId="2"/>
  </si>
  <si>
    <t>Mｗ１=</t>
    <phoneticPr fontId="2"/>
  </si>
  <si>
    <t>長期(許容応力度)</t>
    <rPh sb="0" eb="2">
      <t>チョウキ</t>
    </rPh>
    <rPh sb="5" eb="7">
      <t>オウリョク</t>
    </rPh>
    <phoneticPr fontId="2"/>
  </si>
  <si>
    <t>長期許容せん断力</t>
    <rPh sb="0" eb="2">
      <t>チョウキ</t>
    </rPh>
    <rPh sb="6" eb="7">
      <t>ダン</t>
    </rPh>
    <rPh sb="7" eb="8">
      <t>リョク</t>
    </rPh>
    <phoneticPr fontId="2"/>
  </si>
  <si>
    <t>σb</t>
    <phoneticPr fontId="2"/>
  </si>
  <si>
    <t>基礎の検討</t>
    <rPh sb="0" eb="2">
      <t>キソ</t>
    </rPh>
    <rPh sb="3" eb="5">
      <t>ケントウ</t>
    </rPh>
    <phoneticPr fontId="2"/>
  </si>
  <si>
    <t>（直埋め）</t>
    <rPh sb="1" eb="2">
      <t>スナオ</t>
    </rPh>
    <rPh sb="2" eb="3">
      <t>ウ</t>
    </rPh>
    <phoneticPr fontId="2"/>
  </si>
  <si>
    <t>（１）土質条件</t>
    <rPh sb="3" eb="7">
      <t>ドシツジョウケン</t>
    </rPh>
    <phoneticPr fontId="2"/>
  </si>
  <si>
    <t>土質の種類</t>
  </si>
  <si>
    <t>普通土質</t>
  </si>
  <si>
    <t>〔A〕固まっている土又は砂、多数の砂利、石塊まじりの土などで硬い土の部類に属するもの。</t>
  </si>
  <si>
    <t>〔B〕固まっている土又は砂、多数の砂利、石塊まじりの土などで軟らかい土の部類に属するもの。</t>
  </si>
  <si>
    <t>軟弱土質</t>
  </si>
  <si>
    <t>〔C〕流砂（土がまじらないもの。）</t>
  </si>
  <si>
    <t>〔D〕水分の多い粘土、腐植土、盛土など軟弱な土（深田を除く。）</t>
    <phoneticPr fontId="2"/>
  </si>
  <si>
    <t>（２）基礎の検討</t>
    <rPh sb="3" eb="5">
      <t>キソ</t>
    </rPh>
    <rPh sb="6" eb="8">
      <t>ケントウ</t>
    </rPh>
    <phoneticPr fontId="2"/>
  </si>
  <si>
    <t>ｆ＝</t>
    <phoneticPr fontId="2"/>
  </si>
  <si>
    <t>f</t>
    <phoneticPr fontId="2"/>
  </si>
  <si>
    <t>基礎安全率（≧2.0）</t>
    <rPh sb="0" eb="5">
      <t>キソアンゼンリツ</t>
    </rPh>
    <phoneticPr fontId="2"/>
  </si>
  <si>
    <t>地際の直径（ｍ）</t>
    <rPh sb="0" eb="2">
      <t>チギワ</t>
    </rPh>
    <rPh sb="3" eb="5">
      <t>チョッケイ</t>
    </rPh>
    <phoneticPr fontId="2"/>
  </si>
  <si>
    <t>根入れ深さ（ｍ）</t>
    <rPh sb="0" eb="2">
      <t>ネイ</t>
    </rPh>
    <rPh sb="3" eb="4">
      <t>フカ</t>
    </rPh>
    <phoneticPr fontId="2"/>
  </si>
  <si>
    <t>集中荷重作用点高さ（ｍ）</t>
    <rPh sb="0" eb="4">
      <t>シュウチュウカジュウ</t>
    </rPh>
    <rPh sb="4" eb="8">
      <t>サヨウテンタカ</t>
    </rPh>
    <phoneticPr fontId="2"/>
  </si>
  <si>
    <t>P</t>
    <phoneticPr fontId="2"/>
  </si>
  <si>
    <t>頂点集中換算荷重（ｋN）</t>
    <rPh sb="0" eb="2">
      <t>チョウテン</t>
    </rPh>
    <rPh sb="2" eb="8">
      <t>シュウチュウカンサンカジュウ</t>
    </rPh>
    <phoneticPr fontId="2"/>
  </si>
  <si>
    <t>ｔ0</t>
    <phoneticPr fontId="2"/>
  </si>
  <si>
    <t>地表面から回転中心までの高さ（ｍ）</t>
    <rPh sb="0" eb="3">
      <t>チヒョウメン</t>
    </rPh>
    <rPh sb="5" eb="9">
      <t>カイテンチュウシン</t>
    </rPh>
    <rPh sb="12" eb="13">
      <t>タカ</t>
    </rPh>
    <phoneticPr fontId="2"/>
  </si>
  <si>
    <t>K</t>
    <phoneticPr fontId="2"/>
  </si>
  <si>
    <t>ｆ＝</t>
    <phoneticPr fontId="2"/>
  </si>
  <si>
    <t>・・・・</t>
    <phoneticPr fontId="2"/>
  </si>
  <si>
    <t>（根枷）</t>
    <rPh sb="1" eb="3">
      <t>ネカセ</t>
    </rPh>
    <phoneticPr fontId="2"/>
  </si>
  <si>
    <t>〔D〕水分の多い粘土、腐植土、盛土など軟弱な土（深田を除く。）</t>
    <phoneticPr fontId="2"/>
  </si>
  <si>
    <t>f</t>
    <phoneticPr fontId="2"/>
  </si>
  <si>
    <t>地表面から根枷中心までの深さ（ｍ）</t>
    <rPh sb="0" eb="3">
      <t>チヒョウメン</t>
    </rPh>
    <rPh sb="5" eb="9">
      <t>ネカセチュウシン</t>
    </rPh>
    <rPh sb="12" eb="13">
      <t>フカ</t>
    </rPh>
    <phoneticPr fontId="2"/>
  </si>
  <si>
    <t>＝</t>
    <phoneticPr fontId="2"/>
  </si>
  <si>
    <t>n=</t>
    <phoneticPr fontId="2"/>
  </si>
  <si>
    <t>根枷の幅</t>
    <rPh sb="0" eb="1">
      <t>ネカセ</t>
    </rPh>
    <rPh sb="2" eb="3">
      <t>ハバ</t>
    </rPh>
    <phoneticPr fontId="2"/>
  </si>
  <si>
    <t>根枷の高さ</t>
    <rPh sb="0" eb="1">
      <t>ネカセ</t>
    </rPh>
    <rPh sb="2" eb="3">
      <t>タカ</t>
    </rPh>
    <phoneticPr fontId="2"/>
  </si>
  <si>
    <t>A</t>
    <phoneticPr fontId="2"/>
  </si>
  <si>
    <t>＜</t>
    <phoneticPr fontId="2"/>
  </si>
  <si>
    <t>（根巻き）</t>
    <rPh sb="1" eb="2">
      <t>ネ</t>
    </rPh>
    <rPh sb="2" eb="3">
      <t>マキ</t>
    </rPh>
    <phoneticPr fontId="2"/>
  </si>
  <si>
    <t>土質係数　(N/m4)</t>
  </si>
  <si>
    <t>ｔ0''</t>
    <phoneticPr fontId="2"/>
  </si>
  <si>
    <t>根巻後の回転中心までの深さ</t>
    <rPh sb="0" eb="2">
      <t>ネマキゴ</t>
    </rPh>
    <rPh sb="3" eb="5">
      <t>カイテン</t>
    </rPh>
    <rPh sb="5" eb="7">
      <t>チュウシン</t>
    </rPh>
    <rPh sb="10" eb="11">
      <t>フカ</t>
    </rPh>
    <phoneticPr fontId="2"/>
  </si>
  <si>
    <t>ｔ0''＝</t>
    <phoneticPr fontId="2"/>
  </si>
  <si>
    <t>２／３×ｔ×</t>
    <phoneticPr fontId="2"/>
  </si>
  <si>
    <t>K</t>
    <phoneticPr fontId="2"/>
  </si>
  <si>
    <t>ρ</t>
    <phoneticPr fontId="2"/>
  </si>
  <si>
    <t>根巻による基礎の抵抗モーメントの増加係数</t>
    <rPh sb="0" eb="2">
      <t>ネマキ</t>
    </rPh>
    <rPh sb="5" eb="7">
      <t>キソ</t>
    </rPh>
    <rPh sb="8" eb="10">
      <t>テイコウ</t>
    </rPh>
    <rPh sb="16" eb="20">
      <t>ゾウカケイスウ</t>
    </rPh>
    <phoneticPr fontId="2"/>
  </si>
  <si>
    <t>＝３６×</t>
    <phoneticPr fontId="2"/>
  </si>
  <si>
    <t>-</t>
    <phoneticPr fontId="2"/>
  </si>
  <si>
    <t>+</t>
    <phoneticPr fontId="2"/>
  </si>
  <si>
    <t>α＝</t>
    <phoneticPr fontId="2"/>
  </si>
  <si>
    <t>β＝</t>
    <phoneticPr fontId="2"/>
  </si>
  <si>
    <t>γ＝</t>
    <phoneticPr fontId="2"/>
  </si>
  <si>
    <t>=</t>
    <phoneticPr fontId="2"/>
  </si>
  <si>
    <t>Dc</t>
    <phoneticPr fontId="2"/>
  </si>
  <si>
    <t>根巻幅（ｍ）</t>
    <rPh sb="0" eb="2">
      <t>ネマキ</t>
    </rPh>
    <rPh sb="2" eb="3">
      <t>ハバ</t>
    </rPh>
    <phoneticPr fontId="2"/>
  </si>
  <si>
    <t>根巻深さ（ｍ）</t>
    <rPh sb="0" eb="2">
      <t>ネマキ</t>
    </rPh>
    <rPh sb="2" eb="3">
      <t>フカ</t>
    </rPh>
    <phoneticPr fontId="2"/>
  </si>
  <si>
    <t>ｆ</t>
    <phoneticPr fontId="2"/>
  </si>
  <si>
    <t>kg×9.8</t>
    <phoneticPr fontId="2"/>
  </si>
  <si>
    <t>kg/</t>
    <phoneticPr fontId="2"/>
  </si>
  <si>
    <t>m×9.8</t>
    <phoneticPr fontId="2"/>
  </si>
  <si>
    <t>mm/2/</t>
    <phoneticPr fontId="2"/>
  </si>
  <si>
    <t>―</t>
    <phoneticPr fontId="2"/>
  </si>
  <si>
    <t>３）架線張力の計算</t>
    <rPh sb="2" eb="4">
      <t>カセン</t>
    </rPh>
    <rPh sb="4" eb="6">
      <t>チョウリョク</t>
    </rPh>
    <rPh sb="7" eb="9">
      <t>ケイサン</t>
    </rPh>
    <phoneticPr fontId="2"/>
  </si>
  <si>
    <t>a)風圧力</t>
    <rPh sb="2" eb="3">
      <t>カゼ</t>
    </rPh>
    <rPh sb="3" eb="5">
      <t>アツリョク</t>
    </rPh>
    <phoneticPr fontId="2"/>
  </si>
  <si>
    <t>N/m</t>
    <phoneticPr fontId="2"/>
  </si>
  <si>
    <t>m</t>
    <phoneticPr fontId="2"/>
  </si>
  <si>
    <t>高低差なしとして仮定</t>
    <rPh sb="0" eb="3">
      <t>コウテイサ</t>
    </rPh>
    <rPh sb="8" eb="10">
      <t>カテイ</t>
    </rPh>
    <phoneticPr fontId="2"/>
  </si>
  <si>
    <t>＝</t>
    <phoneticPr fontId="2"/>
  </si>
  <si>
    <t>1.0×</t>
    <phoneticPr fontId="2"/>
  </si>
  <si>
    <t>）</t>
    <phoneticPr fontId="2"/>
  </si>
  <si>
    <t>＝</t>
    <phoneticPr fontId="2"/>
  </si>
  <si>
    <t>N</t>
    <phoneticPr fontId="2"/>
  </si>
  <si>
    <t>N/m2×1000×0.0092m/COS(</t>
    <phoneticPr fontId="2"/>
  </si>
  <si>
    <t>Pkxmax＝</t>
    <phoneticPr fontId="2"/>
  </si>
  <si>
    <t>N/m×</t>
    <phoneticPr fontId="2"/>
  </si>
  <si>
    <t>m×1/2/2^0.5</t>
    <phoneticPr fontId="2"/>
  </si>
  <si>
    <t>=</t>
    <phoneticPr fontId="2"/>
  </si>
  <si>
    <t>Pkymax＝</t>
    <phoneticPr fontId="2"/>
  </si>
  <si>
    <t>ｂ）架線の張力</t>
    <rPh sb="2" eb="4">
      <t>カセン</t>
    </rPh>
    <rPh sb="5" eb="7">
      <t>チョウリョク</t>
    </rPh>
    <phoneticPr fontId="2"/>
  </si>
  <si>
    <t>T＝</t>
    <phoneticPr fontId="2"/>
  </si>
  <si>
    <t>＝</t>
    <phoneticPr fontId="2"/>
  </si>
  <si>
    <t>W＝</t>
    <phoneticPr fontId="2"/>
  </si>
  <si>
    <t>（（1.23N/m^2+（</t>
    <phoneticPr fontId="2"/>
  </si>
  <si>
    <t>Tx=</t>
    <phoneticPr fontId="2"/>
  </si>
  <si>
    <t>T×cos（45）</t>
    <phoneticPr fontId="2"/>
  </si>
  <si>
    <t>＝</t>
    <phoneticPr fontId="2"/>
  </si>
  <si>
    <t>Ty=</t>
    <phoneticPr fontId="2"/>
  </si>
  <si>
    <t>-T×cos(45)</t>
    <phoneticPr fontId="2"/>
  </si>
  <si>
    <t>m^2/（8×</t>
    <phoneticPr fontId="2"/>
  </si>
  <si>
    <t>m)</t>
    <phoneticPr fontId="2"/>
  </si>
  <si>
    <t>＝</t>
    <phoneticPr fontId="2"/>
  </si>
  <si>
    <t>Mx＝</t>
    <phoneticPr fontId="2"/>
  </si>
  <si>
    <t>N･m/2^0.5+（</t>
    <phoneticPr fontId="2"/>
  </si>
  <si>
    <t>N　+</t>
    <phoneticPr fontId="2"/>
  </si>
  <si>
    <t>m</t>
    <phoneticPr fontId="2"/>
  </si>
  <si>
    <t>N･m</t>
    <phoneticPr fontId="2"/>
  </si>
  <si>
    <t>Mｙ＝</t>
    <phoneticPr fontId="2"/>
  </si>
  <si>
    <t>N　）×</t>
    <phoneticPr fontId="2"/>
  </si>
  <si>
    <t>Mv＝</t>
    <phoneticPr fontId="2"/>
  </si>
  <si>
    <t>（Mx^2＋My^2）＾0.5</t>
    <phoneticPr fontId="2"/>
  </si>
  <si>
    <t>＝</t>
    <phoneticPr fontId="2"/>
  </si>
  <si>
    <t>　</t>
    <phoneticPr fontId="2"/>
  </si>
  <si>
    <t>強度計算結果</t>
    <rPh sb="0" eb="6">
      <t>キョウドケイサンケッカ</t>
    </rPh>
    <phoneticPr fontId="2"/>
  </si>
  <si>
    <t>圧縮応力度</t>
    <rPh sb="0" eb="2">
      <t>アッシュク</t>
    </rPh>
    <rPh sb="2" eb="4">
      <t>オウリョク</t>
    </rPh>
    <rPh sb="4" eb="5">
      <t>ド</t>
    </rPh>
    <phoneticPr fontId="2"/>
  </si>
  <si>
    <t>せん断応力度</t>
    <rPh sb="2" eb="6">
      <t>ダンオウリョクド</t>
    </rPh>
    <phoneticPr fontId="2"/>
  </si>
  <si>
    <t>基準</t>
    <rPh sb="0" eb="2">
      <t>キジュン</t>
    </rPh>
    <phoneticPr fontId="2"/>
  </si>
  <si>
    <t>基準　N/mm^2</t>
    <rPh sb="0" eb="2">
      <t>キジュン</t>
    </rPh>
    <phoneticPr fontId="2"/>
  </si>
  <si>
    <t>計算結果 N/mm^2</t>
    <rPh sb="0" eb="4">
      <t>ケイサンケッカ</t>
    </rPh>
    <phoneticPr fontId="2"/>
  </si>
  <si>
    <t>基礎の判定</t>
    <rPh sb="0" eb="2">
      <t>キソ</t>
    </rPh>
    <rPh sb="3" eb="5">
      <t>ハンテイ</t>
    </rPh>
    <phoneticPr fontId="2"/>
  </si>
  <si>
    <t>直埋め式</t>
    <rPh sb="0" eb="1">
      <t>チョク</t>
    </rPh>
    <rPh sb="1" eb="2">
      <t>ウ</t>
    </rPh>
    <rPh sb="3" eb="4">
      <t>シキ</t>
    </rPh>
    <phoneticPr fontId="2"/>
  </si>
  <si>
    <t>根枷式</t>
    <rPh sb="0" eb="3">
      <t>ネカセシキ</t>
    </rPh>
    <phoneticPr fontId="2"/>
  </si>
  <si>
    <t>根巻式</t>
    <rPh sb="0" eb="3">
      <t>ネマキシキ</t>
    </rPh>
    <phoneticPr fontId="2"/>
  </si>
  <si>
    <t>安全率</t>
    <rPh sb="0" eb="3">
      <t>アンゼンリツ</t>
    </rPh>
    <phoneticPr fontId="2"/>
  </si>
  <si>
    <t>※　柱に架線がある場合</t>
    <phoneticPr fontId="2"/>
  </si>
  <si>
    <t>基礎の形状</t>
    <rPh sb="0" eb="2">
      <t>キソ</t>
    </rPh>
    <rPh sb="3" eb="5">
      <t>ケイジョウ</t>
    </rPh>
    <phoneticPr fontId="2"/>
  </si>
  <si>
    <t>根巻式</t>
    <rPh sb="0" eb="2">
      <t>ネマキ</t>
    </rPh>
    <rPh sb="2" eb="3">
      <t>シキ</t>
    </rPh>
    <phoneticPr fontId="2"/>
  </si>
  <si>
    <t>根枷式</t>
    <rPh sb="0" eb="2">
      <t>ネカセ</t>
    </rPh>
    <rPh sb="2" eb="3">
      <t>シキ</t>
    </rPh>
    <phoneticPr fontId="2"/>
  </si>
  <si>
    <t>直埋式</t>
    <rPh sb="0" eb="2">
      <t>チョクウ</t>
    </rPh>
    <rPh sb="2" eb="3">
      <t>シキ</t>
    </rPh>
    <phoneticPr fontId="2"/>
  </si>
  <si>
    <t>根入長</t>
    <rPh sb="0" eb="2">
      <t>ネイ</t>
    </rPh>
    <rPh sb="2" eb="3">
      <t>ナガ</t>
    </rPh>
    <phoneticPr fontId="2"/>
  </si>
  <si>
    <t>≧２</t>
    <phoneticPr fontId="2"/>
  </si>
  <si>
    <t>参考：配電規定JEAC7001　205-7　支持物の基礎</t>
    <rPh sb="0" eb="2">
      <t>サンコウ</t>
    </rPh>
    <rPh sb="3" eb="7">
      <t>ハイデンキテイ</t>
    </rPh>
    <rPh sb="22" eb="25">
      <t>シジブツ</t>
    </rPh>
    <rPh sb="26" eb="28">
      <t>キソ</t>
    </rPh>
    <phoneticPr fontId="2"/>
  </si>
  <si>
    <t>申請場所</t>
    <rPh sb="0" eb="4">
      <t>シンセイバショ</t>
    </rPh>
    <phoneticPr fontId="2"/>
  </si>
  <si>
    <t>福岡市</t>
    <rPh sb="0" eb="3">
      <t>フクオカシ</t>
    </rPh>
    <phoneticPr fontId="2"/>
  </si>
  <si>
    <t>中央区</t>
    <rPh sb="0" eb="3">
      <t>チュウオウク</t>
    </rPh>
    <phoneticPr fontId="2"/>
  </si>
  <si>
    <t>ｈｘ(m)</t>
    <phoneticPr fontId="2"/>
  </si>
  <si>
    <t>テーパ率</t>
    <phoneticPr fontId="2"/>
  </si>
  <si>
    <t>1/α</t>
    <phoneticPr fontId="2"/>
  </si>
  <si>
    <t>Aｘ(cm2)</t>
    <phoneticPr fontId="2"/>
  </si>
  <si>
    <t>Lｘ(m)</t>
    <phoneticPr fontId="2"/>
  </si>
  <si>
    <t>ΣWｈ×Lx</t>
    <phoneticPr fontId="2"/>
  </si>
  <si>
    <t>Ｃｘ</t>
    <phoneticPr fontId="2"/>
  </si>
  <si>
    <t>Σ（Cx×q1×Ax）</t>
    <phoneticPr fontId="2"/>
  </si>
  <si>
    <t>Σ（Hx×Lx）</t>
    <phoneticPr fontId="2"/>
  </si>
  <si>
    <t>＝</t>
    <phoneticPr fontId="2"/>
  </si>
  <si>
    <t>Σmax</t>
    <phoneticPr fontId="2"/>
  </si>
  <si>
    <t>Max(N･m)</t>
    <phoneticPr fontId="2"/>
  </si>
  <si>
    <t>速度圧　ｑ1＝</t>
    <rPh sb="0" eb="3">
      <t>ソクドアツ</t>
    </rPh>
    <phoneticPr fontId="2"/>
  </si>
  <si>
    <t>架線のゆるみ(dk)=</t>
    <rPh sb="0" eb="2">
      <t>カセン</t>
    </rPh>
    <phoneticPr fontId="2"/>
  </si>
  <si>
    <t>σfa’</t>
    <phoneticPr fontId="2"/>
  </si>
  <si>
    <t>σfa</t>
    <phoneticPr fontId="2"/>
  </si>
  <si>
    <t>τmax／１．５＜σfｓで安全</t>
    <rPh sb="13" eb="15">
      <t>アンゼン</t>
    </rPh>
    <phoneticPr fontId="2"/>
  </si>
  <si>
    <t>この計算によりがたい場合は、別途詳細な構造計算書（支柱・基礎）が必要となります。</t>
    <rPh sb="2" eb="4">
      <t>ケイサン</t>
    </rPh>
    <rPh sb="10" eb="12">
      <t>バアイ</t>
    </rPh>
    <rPh sb="14" eb="16">
      <t>ベット</t>
    </rPh>
    <rPh sb="16" eb="18">
      <t>ショウサイ</t>
    </rPh>
    <rPh sb="19" eb="24">
      <t>コウゾウケイサンショ</t>
    </rPh>
    <rPh sb="25" eb="27">
      <t>シチュウ</t>
    </rPh>
    <rPh sb="28" eb="30">
      <t>キソ</t>
    </rPh>
    <rPh sb="32" eb="34">
      <t>ヒツヨウ</t>
    </rPh>
    <phoneticPr fontId="2"/>
  </si>
  <si>
    <t>本強度計算において、鋼管ポール及び各付属物に作用する自重、風荷重及び架線張力による負荷が、鋼材の許容応力度σfa'以下となる必要があります。</t>
    <rPh sb="0" eb="1">
      <t>ホン</t>
    </rPh>
    <rPh sb="10" eb="12">
      <t>コウカン</t>
    </rPh>
    <rPh sb="57" eb="59">
      <t>イカ</t>
    </rPh>
    <rPh sb="62" eb="64">
      <t>ヒツヨウ</t>
    </rPh>
    <phoneticPr fontId="2"/>
  </si>
  <si>
    <t>柱にカメラを付けたり、風があたったりすると、柱自体が曲がろうとするが、柱に作用する力に対して、柱は曲がらないことの確認が必要です。</t>
    <rPh sb="57" eb="59">
      <t>カクニン</t>
    </rPh>
    <phoneticPr fontId="2"/>
  </si>
  <si>
    <t>下記の支柱及び各取付物の形状・寸法等を入力することで、簡易的な強度計算の結果が算出されます。</t>
    <rPh sb="27" eb="30">
      <t>カンイテキ</t>
    </rPh>
    <rPh sb="31" eb="33">
      <t>キョウド</t>
    </rPh>
    <phoneticPr fontId="2"/>
  </si>
  <si>
    <t>〇強度計算結果</t>
    <rPh sb="1" eb="7">
      <t>キョウドケイサンケッカ</t>
    </rPh>
    <phoneticPr fontId="2"/>
  </si>
  <si>
    <t>２．支柱の断面算定</t>
    <rPh sb="2" eb="4">
      <t>シチュウ</t>
    </rPh>
    <rPh sb="5" eb="7">
      <t>ダンメン</t>
    </rPh>
    <rPh sb="7" eb="9">
      <t>サンテイ</t>
    </rPh>
    <phoneticPr fontId="2"/>
  </si>
  <si>
    <t>１．荷重の算定</t>
    <rPh sb="2" eb="4">
      <t>カジュウ</t>
    </rPh>
    <rPh sb="5" eb="7">
      <t>サンテイ</t>
    </rPh>
    <phoneticPr fontId="2"/>
  </si>
  <si>
    <t>〇強度計算</t>
    <rPh sb="1" eb="5">
      <t>キョウドケイサン</t>
    </rPh>
    <phoneticPr fontId="2"/>
  </si>
  <si>
    <t>根巻基礎の詳細</t>
    <rPh sb="0" eb="2">
      <t>ネマキ</t>
    </rPh>
    <rPh sb="2" eb="4">
      <t>キソ</t>
    </rPh>
    <rPh sb="5" eb="7">
      <t>ショウサイ</t>
    </rPh>
    <phoneticPr fontId="2"/>
  </si>
  <si>
    <t>根枷基礎の詳細</t>
    <rPh sb="0" eb="2">
      <t>ネカセ</t>
    </rPh>
    <rPh sb="2" eb="4">
      <t>キソ</t>
    </rPh>
    <rPh sb="5" eb="7">
      <t>ショウサイ</t>
    </rPh>
    <phoneticPr fontId="2"/>
  </si>
  <si>
    <t>ベクトル和</t>
    <rPh sb="4" eb="5">
      <t>ワ</t>
    </rPh>
    <phoneticPr fontId="2"/>
  </si>
  <si>
    <t>風圧力：P＝C×q×dc</t>
    <phoneticPr fontId="2"/>
  </si>
  <si>
    <t>P＝σ・Aより、ボルトに作用する応力σを算出する。</t>
  </si>
  <si>
    <t>判定</t>
    <rPh sb="0" eb="2">
      <t>ハンテイ</t>
    </rPh>
    <phoneticPr fontId="2"/>
  </si>
  <si>
    <t>※申請地区名を入力</t>
    <rPh sb="1" eb="3">
      <t>シンセイ</t>
    </rPh>
    <rPh sb="3" eb="6">
      <t>チクメイ</t>
    </rPh>
    <rPh sb="7" eb="9">
      <t>ニュウリョク</t>
    </rPh>
    <phoneticPr fontId="2"/>
  </si>
  <si>
    <t>支持物（鋼管ポール）の計算</t>
    <rPh sb="0" eb="3">
      <t>シジブツ</t>
    </rPh>
    <rPh sb="4" eb="6">
      <t>コウカン</t>
    </rPh>
    <rPh sb="11" eb="13">
      <t>ケイサン</t>
    </rPh>
    <phoneticPr fontId="2"/>
  </si>
  <si>
    <t>JIL1003：2009照明用ポール強度計算基準</t>
    <phoneticPr fontId="2"/>
  </si>
  <si>
    <t>基礎の計算</t>
    <rPh sb="0" eb="2">
      <t>キソ</t>
    </rPh>
    <rPh sb="3" eb="5">
      <t>ケイサン</t>
    </rPh>
    <phoneticPr fontId="2"/>
  </si>
  <si>
    <t>配電規定JEAC7001　205-7　支持物の基礎</t>
    <rPh sb="23" eb="25">
      <t>キソ</t>
    </rPh>
    <phoneticPr fontId="2"/>
  </si>
  <si>
    <t>強度計算の規定等</t>
    <rPh sb="0" eb="4">
      <t>キョウドケイサン</t>
    </rPh>
    <rPh sb="5" eb="7">
      <t>キテイ</t>
    </rPh>
    <rPh sb="7" eb="8">
      <t>トウ</t>
    </rPh>
    <phoneticPr fontId="2"/>
  </si>
  <si>
    <t>参考：JIL1003:2009　照明用ポール強度計算基準</t>
    <rPh sb="0" eb="2">
      <t>サンコウ</t>
    </rPh>
    <rPh sb="16" eb="19">
      <t>ショウメイヨウ</t>
    </rPh>
    <rPh sb="22" eb="28">
      <t>キョウドケイサンキジュン</t>
    </rPh>
    <phoneticPr fontId="2"/>
  </si>
  <si>
    <t>※通常は、普通土質〔B〕を採用して計算する。</t>
    <rPh sb="1" eb="3">
      <t>ツウジョウ</t>
    </rPh>
    <rPh sb="13" eb="15">
      <t>サイヨウ</t>
    </rPh>
    <rPh sb="17" eb="19">
      <t>ケイサン</t>
    </rPh>
    <phoneticPr fontId="2"/>
  </si>
  <si>
    <t>※植栽帯等状況により変更可能</t>
    <rPh sb="1" eb="3">
      <t>ショクサイ</t>
    </rPh>
    <rPh sb="3" eb="4">
      <t>タイ</t>
    </rPh>
    <rPh sb="4" eb="5">
      <t>トウ</t>
    </rPh>
    <rPh sb="5" eb="7">
      <t>ジョウキョウ</t>
    </rPh>
    <rPh sb="10" eb="12">
      <t>ヘンコウ</t>
    </rPh>
    <rPh sb="12" eb="14">
      <t>カノウ</t>
    </rPh>
    <phoneticPr fontId="2"/>
  </si>
  <si>
    <t>σfa'(N/mm2)</t>
    <phoneticPr fontId="2"/>
  </si>
  <si>
    <t>σfa(N/mm2)</t>
    <phoneticPr fontId="2"/>
  </si>
  <si>
    <t>σfs(N/mm2)</t>
    <phoneticPr fontId="2"/>
  </si>
  <si>
    <r>
      <t>短期許容応力度：通常235N/mm</t>
    </r>
    <r>
      <rPr>
        <vertAlign val="superscript"/>
        <sz val="11"/>
        <rFont val="メイリオ"/>
        <family val="3"/>
        <charset val="128"/>
      </rPr>
      <t>２</t>
    </r>
    <r>
      <rPr>
        <sz val="11"/>
        <rFont val="メイリオ"/>
        <family val="3"/>
        <charset val="128"/>
      </rPr>
      <t>(SS400等）</t>
    </r>
    <rPh sb="0" eb="2">
      <t>タンキ</t>
    </rPh>
    <rPh sb="4" eb="6">
      <t>オウリョク</t>
    </rPh>
    <rPh sb="8" eb="10">
      <t>ツウジョウ</t>
    </rPh>
    <rPh sb="24" eb="25">
      <t>トウ</t>
    </rPh>
    <phoneticPr fontId="2"/>
  </si>
  <si>
    <r>
      <t>ｑ１＝ 1.23×V</t>
    </r>
    <r>
      <rPr>
        <vertAlign val="superscript"/>
        <sz val="11"/>
        <rFont val="メイリオ"/>
        <family val="3"/>
        <charset val="128"/>
      </rPr>
      <t>２</t>
    </r>
    <r>
      <rPr>
        <sz val="11"/>
        <rFont val="メイリオ"/>
        <family val="3"/>
        <charset val="128"/>
      </rPr>
      <t>／２ ＝</t>
    </r>
    <phoneticPr fontId="2"/>
  </si>
  <si>
    <r>
      <t>kN/m</t>
    </r>
    <r>
      <rPr>
        <vertAlign val="superscript"/>
        <sz val="11"/>
        <rFont val="メイリオ"/>
        <family val="3"/>
        <charset val="128"/>
      </rPr>
      <t>2</t>
    </r>
  </si>
  <si>
    <r>
      <t>単位長さ当たりの水平力と自重の合力：W=√（W</t>
    </r>
    <r>
      <rPr>
        <vertAlign val="subscript"/>
        <sz val="11"/>
        <rFont val="メイリオ"/>
        <family val="3"/>
        <charset val="128"/>
      </rPr>
      <t>1</t>
    </r>
    <r>
      <rPr>
        <vertAlign val="superscript"/>
        <sz val="11"/>
        <rFont val="メイリオ"/>
        <family val="3"/>
        <charset val="128"/>
      </rPr>
      <t>2</t>
    </r>
    <r>
      <rPr>
        <sz val="11"/>
        <rFont val="メイリオ"/>
        <family val="3"/>
        <charset val="128"/>
      </rPr>
      <t>＋P</t>
    </r>
    <r>
      <rPr>
        <vertAlign val="superscript"/>
        <sz val="11"/>
        <rFont val="メイリオ"/>
        <family val="3"/>
        <charset val="128"/>
      </rPr>
      <t>2</t>
    </r>
    <r>
      <rPr>
        <sz val="11"/>
        <rFont val="メイリオ"/>
        <family val="3"/>
        <charset val="128"/>
      </rPr>
      <t>）</t>
    </r>
    <rPh sb="0" eb="3">
      <t>タンイナガ</t>
    </rPh>
    <rPh sb="4" eb="5">
      <t>ア</t>
    </rPh>
    <phoneticPr fontId="2"/>
  </si>
  <si>
    <r>
      <t>架線張力：T(N)=W×L</t>
    </r>
    <r>
      <rPr>
        <vertAlign val="superscript"/>
        <sz val="11"/>
        <rFont val="メイリオ"/>
        <family val="3"/>
        <charset val="128"/>
      </rPr>
      <t>２</t>
    </r>
    <r>
      <rPr>
        <sz val="11"/>
        <rFont val="メイリオ"/>
        <family val="3"/>
        <charset val="128"/>
      </rPr>
      <t>／（８×ｆ×L）＝W×L/（8×ｆ）</t>
    </r>
    <phoneticPr fontId="2"/>
  </si>
  <si>
    <r>
      <t>㎝</t>
    </r>
    <r>
      <rPr>
        <vertAlign val="superscript"/>
        <sz val="11"/>
        <rFont val="メイリオ"/>
        <family val="3"/>
        <charset val="128"/>
      </rPr>
      <t>3</t>
    </r>
  </si>
  <si>
    <r>
      <t>mm</t>
    </r>
    <r>
      <rPr>
        <vertAlign val="superscript"/>
        <sz val="11"/>
        <rFont val="メイリオ"/>
        <family val="3"/>
        <charset val="128"/>
      </rPr>
      <t>２</t>
    </r>
    <phoneticPr fontId="2"/>
  </si>
  <si>
    <r>
      <t>σa　（＝235N/mm</t>
    </r>
    <r>
      <rPr>
        <b/>
        <vertAlign val="superscript"/>
        <sz val="11"/>
        <rFont val="メイリオ"/>
        <family val="3"/>
        <charset val="128"/>
      </rPr>
      <t>2</t>
    </r>
    <r>
      <rPr>
        <b/>
        <sz val="11"/>
        <rFont val="メイリオ"/>
        <family val="3"/>
        <charset val="128"/>
      </rPr>
      <t>）</t>
    </r>
  </si>
  <si>
    <r>
      <rPr>
        <sz val="11"/>
        <color indexed="10"/>
        <rFont val="メイリオ"/>
        <family val="3"/>
        <charset val="128"/>
      </rPr>
      <t>照明占用ポール及び付属物の取付数量が少ない場合は、固定荷重を考慮しないことができる。</t>
    </r>
    <r>
      <rPr>
        <sz val="11"/>
        <rFont val="メイリオ"/>
        <family val="3"/>
        <charset val="128"/>
      </rPr>
      <t xml:space="preserve">
（４）で求めた合計作用モーメント（ΣM)に対し、支持柱が耐えられるかを確認する。確認として、合計作用モーメントΣMを③で確認した断面係数Zで割り、支持柱に作用する曲げ応力度σ※４を算出し、その値が③-1で確認した材料の許容曲げ応力度σa※５以下であることを確認する。</t>
    </r>
    <rPh sb="7" eb="8">
      <t>オヨ</t>
    </rPh>
    <rPh sb="9" eb="12">
      <t>フゾクブツ</t>
    </rPh>
    <rPh sb="13" eb="15">
      <t>トリツケ</t>
    </rPh>
    <rPh sb="15" eb="17">
      <t>スウリョウ</t>
    </rPh>
    <rPh sb="18" eb="19">
      <t>スク</t>
    </rPh>
    <rPh sb="21" eb="23">
      <t>バアイ</t>
    </rPh>
    <rPh sb="25" eb="29">
      <t>コテイカジュウ</t>
    </rPh>
    <rPh sb="30" eb="32">
      <t>コウリョ</t>
    </rPh>
    <phoneticPr fontId="2"/>
  </si>
  <si>
    <r>
      <t>≦σa　（＝235N/mm</t>
    </r>
    <r>
      <rPr>
        <b/>
        <vertAlign val="superscript"/>
        <sz val="11"/>
        <rFont val="メイリオ"/>
        <family val="3"/>
        <charset val="128"/>
      </rPr>
      <t>2</t>
    </r>
    <r>
      <rPr>
        <b/>
        <sz val="11"/>
        <rFont val="メイリオ"/>
        <family val="3"/>
        <charset val="128"/>
      </rPr>
      <t>）
　ボルトが持っている耐えうる力</t>
    </r>
  </si>
  <si>
    <r>
      <t>：</t>
    </r>
    <r>
      <rPr>
        <b/>
        <sz val="11"/>
        <rFont val="メイリオ"/>
        <family val="3"/>
        <charset val="128"/>
      </rPr>
      <t>条件式を変更しない（自動計算）</t>
    </r>
    <rPh sb="1" eb="3">
      <t>ジョウケン</t>
    </rPh>
    <rPh sb="3" eb="4">
      <t>シキ</t>
    </rPh>
    <rPh sb="5" eb="7">
      <t>ヘンコウ</t>
    </rPh>
    <rPh sb="11" eb="15">
      <t>ジドウケイサン</t>
    </rPh>
    <phoneticPr fontId="2"/>
  </si>
  <si>
    <r>
      <t>土質係数k</t>
    </r>
    <r>
      <rPr>
        <vertAlign val="subscript"/>
        <sz val="11"/>
        <rFont val="メイリオ"/>
        <family val="3"/>
        <charset val="128"/>
      </rPr>
      <t>H</t>
    </r>
    <r>
      <rPr>
        <sz val="11"/>
        <rFont val="メイリオ"/>
        <family val="3"/>
        <charset val="128"/>
      </rPr>
      <t xml:space="preserve">
　(ｋN/m4)</t>
    </r>
    <phoneticPr fontId="2"/>
  </si>
  <si>
    <r>
      <t>土質係数＝k</t>
    </r>
    <r>
      <rPr>
        <vertAlign val="subscript"/>
        <sz val="11"/>
        <rFont val="メイリオ"/>
        <family val="3"/>
        <charset val="128"/>
      </rPr>
      <t>H</t>
    </r>
    <r>
      <rPr>
        <sz val="11"/>
        <rFont val="メイリオ"/>
        <family val="3"/>
        <charset val="128"/>
      </rPr>
      <t>/1.0（ｍ）</t>
    </r>
    <rPh sb="0" eb="4">
      <t>ドシツケイスウ</t>
    </rPh>
    <phoneticPr fontId="2"/>
  </si>
  <si>
    <r>
      <t>土質係数k</t>
    </r>
    <r>
      <rPr>
        <vertAlign val="subscript"/>
        <sz val="11"/>
        <rFont val="メイリオ"/>
        <family val="3"/>
        <charset val="128"/>
      </rPr>
      <t>H</t>
    </r>
    <r>
      <rPr>
        <sz val="11"/>
        <rFont val="メイリオ"/>
        <family val="3"/>
        <charset val="128"/>
      </rPr>
      <t xml:space="preserve">
　(ｋN/m4)</t>
    </r>
    <phoneticPr fontId="2"/>
  </si>
  <si>
    <r>
      <t>ｔ</t>
    </r>
    <r>
      <rPr>
        <vertAlign val="subscript"/>
        <sz val="11"/>
        <rFont val="メイリオ"/>
        <family val="3"/>
        <charset val="128"/>
      </rPr>
      <t>0</t>
    </r>
    <r>
      <rPr>
        <sz val="11"/>
        <rFont val="メイリオ"/>
        <family val="3"/>
        <charset val="128"/>
      </rPr>
      <t>’</t>
    </r>
    <phoneticPr fontId="2"/>
  </si>
  <si>
    <r>
      <t>２ 　　ｔ</t>
    </r>
    <r>
      <rPr>
        <vertAlign val="superscript"/>
        <sz val="11"/>
        <rFont val="メイリオ"/>
        <family val="3"/>
        <charset val="128"/>
      </rPr>
      <t>２</t>
    </r>
    <r>
      <rPr>
        <sz val="11"/>
        <rFont val="メイリオ"/>
        <family val="3"/>
        <charset val="128"/>
      </rPr>
      <t>＋3nt</t>
    </r>
    <r>
      <rPr>
        <vertAlign val="subscript"/>
        <sz val="11"/>
        <rFont val="メイリオ"/>
        <family val="3"/>
        <charset val="128"/>
      </rPr>
      <t>c</t>
    </r>
    <r>
      <rPr>
        <vertAlign val="superscript"/>
        <sz val="11"/>
        <rFont val="メイリオ"/>
        <family val="3"/>
        <charset val="128"/>
      </rPr>
      <t>2</t>
    </r>
    <phoneticPr fontId="2"/>
  </si>
  <si>
    <r>
      <t>３　 　　t+2nt</t>
    </r>
    <r>
      <rPr>
        <vertAlign val="subscript"/>
        <sz val="11"/>
        <rFont val="メイリオ"/>
        <family val="3"/>
        <charset val="128"/>
      </rPr>
      <t>c</t>
    </r>
    <phoneticPr fontId="2"/>
  </si>
  <si>
    <r>
      <t>A/A</t>
    </r>
    <r>
      <rPr>
        <vertAlign val="subscript"/>
        <sz val="11"/>
        <rFont val="メイリオ"/>
        <family val="3"/>
        <charset val="128"/>
      </rPr>
      <t>t</t>
    </r>
    <phoneticPr fontId="2"/>
  </si>
  <si>
    <r>
      <t>A</t>
    </r>
    <r>
      <rPr>
        <vertAlign val="subscript"/>
        <sz val="11"/>
        <rFont val="メイリオ"/>
        <family val="3"/>
        <charset val="128"/>
      </rPr>
      <t>t</t>
    </r>
    <phoneticPr fontId="2"/>
  </si>
  <si>
    <r>
      <t>Q＝１／１２×（6m</t>
    </r>
    <r>
      <rPr>
        <vertAlign val="superscript"/>
        <sz val="11"/>
        <rFont val="メイリオ"/>
        <family val="3"/>
        <charset val="128"/>
      </rPr>
      <t>2</t>
    </r>
    <r>
      <rPr>
        <sz val="11"/>
        <rFont val="メイリオ"/>
        <family val="3"/>
        <charset val="128"/>
      </rPr>
      <t>-8m+3)</t>
    </r>
    <phoneticPr fontId="2"/>
  </si>
  <si>
    <r>
      <t>　1＋β</t>
    </r>
    <r>
      <rPr>
        <vertAlign val="superscript"/>
        <sz val="11"/>
        <rFont val="メイリオ"/>
        <family val="3"/>
        <charset val="128"/>
      </rPr>
      <t>３</t>
    </r>
    <r>
      <rPr>
        <sz val="11"/>
        <rFont val="メイリオ"/>
        <family val="3"/>
        <charset val="128"/>
      </rPr>
      <t>（α-1）</t>
    </r>
    <phoneticPr fontId="2"/>
  </si>
  <si>
    <r>
      <t>　1＋β</t>
    </r>
    <r>
      <rPr>
        <vertAlign val="superscript"/>
        <sz val="11"/>
        <rFont val="メイリオ"/>
        <family val="3"/>
        <charset val="128"/>
      </rPr>
      <t>２</t>
    </r>
    <r>
      <rPr>
        <sz val="11"/>
        <rFont val="メイリオ"/>
        <family val="3"/>
        <charset val="128"/>
      </rPr>
      <t>（α-1）</t>
    </r>
    <phoneticPr fontId="2"/>
  </si>
  <si>
    <r>
      <t>γ</t>
    </r>
    <r>
      <rPr>
        <vertAlign val="superscript"/>
        <sz val="11"/>
        <rFont val="メイリオ"/>
        <family val="3"/>
        <charset val="128"/>
      </rPr>
      <t>２</t>
    </r>
    <r>
      <rPr>
        <sz val="11"/>
        <rFont val="メイリオ"/>
        <family val="3"/>
        <charset val="128"/>
      </rPr>
      <t>｛１＋β</t>
    </r>
    <r>
      <rPr>
        <vertAlign val="superscript"/>
        <sz val="11"/>
        <rFont val="メイリオ"/>
        <family val="3"/>
        <charset val="128"/>
      </rPr>
      <t>２</t>
    </r>
    <r>
      <rPr>
        <sz val="11"/>
        <rFont val="メイリオ"/>
        <family val="3"/>
        <charset val="128"/>
      </rPr>
      <t>（α-１）｝</t>
    </r>
    <phoneticPr fontId="2"/>
  </si>
  <si>
    <r>
      <t>２γ｛１＋β</t>
    </r>
    <r>
      <rPr>
        <vertAlign val="superscript"/>
        <sz val="11"/>
        <rFont val="メイリオ"/>
        <family val="3"/>
        <charset val="128"/>
      </rPr>
      <t>３</t>
    </r>
    <r>
      <rPr>
        <sz val="11"/>
        <rFont val="メイリオ"/>
        <family val="3"/>
        <charset val="128"/>
      </rPr>
      <t>（α-１）｝</t>
    </r>
    <phoneticPr fontId="2"/>
  </si>
  <si>
    <r>
      <t>｛１＋β</t>
    </r>
    <r>
      <rPr>
        <vertAlign val="superscript"/>
        <sz val="11"/>
        <rFont val="メイリオ"/>
        <family val="3"/>
        <charset val="128"/>
      </rPr>
      <t>４</t>
    </r>
    <r>
      <rPr>
        <sz val="11"/>
        <rFont val="メイリオ"/>
        <family val="3"/>
        <charset val="128"/>
      </rPr>
      <t>（α-１）｝</t>
    </r>
    <phoneticPr fontId="2"/>
  </si>
  <si>
    <t>単位：m</t>
    <rPh sb="0" eb="2">
      <t>タンイ</t>
    </rPh>
    <phoneticPr fontId="2"/>
  </si>
  <si>
    <t>根入長(t)</t>
    <rPh sb="0" eb="2">
      <t>ネイ</t>
    </rPh>
    <rPh sb="2" eb="3">
      <t>ナガ</t>
    </rPh>
    <phoneticPr fontId="2"/>
  </si>
  <si>
    <t>Wｈx(N･m)</t>
    <phoneticPr fontId="2"/>
  </si>
  <si>
    <t>Wx(kg）</t>
    <phoneticPr fontId="2"/>
  </si>
  <si>
    <t>風荷重</t>
    <rPh sb="0" eb="3">
      <t>カゼカジュウ</t>
    </rPh>
    <phoneticPr fontId="2"/>
  </si>
  <si>
    <t>Pｘ(N)</t>
    <phoneticPr fontId="2"/>
  </si>
  <si>
    <t>モーメントMax(N・m)＝風荷重Px(N)×距離ｈx(m)</t>
    <rPh sb="14" eb="15">
      <t>カゼ</t>
    </rPh>
    <phoneticPr fontId="2"/>
  </si>
  <si>
    <r>
      <t>風荷重Px(N)＝風力係数Cx×速度圧ｑ1(kN/m</t>
    </r>
    <r>
      <rPr>
        <vertAlign val="superscript"/>
        <sz val="11"/>
        <rFont val="メイリオ"/>
        <family val="3"/>
        <charset val="128"/>
      </rPr>
      <t>2</t>
    </r>
    <r>
      <rPr>
        <sz val="11"/>
        <rFont val="メイリオ"/>
        <family val="3"/>
        <charset val="128"/>
      </rPr>
      <t>)×受圧面積Ax（cm</t>
    </r>
    <r>
      <rPr>
        <vertAlign val="superscript"/>
        <sz val="11"/>
        <rFont val="メイリオ"/>
        <family val="3"/>
        <charset val="128"/>
      </rPr>
      <t>2</t>
    </r>
    <r>
      <rPr>
        <sz val="11"/>
        <rFont val="メイリオ"/>
        <family val="3"/>
        <charset val="128"/>
      </rPr>
      <t>）</t>
    </r>
    <rPh sb="9" eb="11">
      <t>フウリョク</t>
    </rPh>
    <phoneticPr fontId="2"/>
  </si>
  <si>
    <t>距離hx(m)・・・支持柱の基準点（地際）から荷重の作用位置までの距離</t>
    <rPh sb="18" eb="20">
      <t>チギワ</t>
    </rPh>
    <phoneticPr fontId="2"/>
  </si>
  <si>
    <t>主柱の軸周りモーメントMt(N･m)＝アーム及び付属物に作用する風荷重Px(N)×水平距離Lx(m)</t>
    <rPh sb="0" eb="2">
      <t>シュチュウ</t>
    </rPh>
    <rPh sb="3" eb="5">
      <t>ジクマワ</t>
    </rPh>
    <rPh sb="22" eb="23">
      <t>オヨ</t>
    </rPh>
    <rPh sb="24" eb="27">
      <t>フゾクブツ</t>
    </rPh>
    <rPh sb="28" eb="30">
      <t>サヨウ</t>
    </rPh>
    <rPh sb="32" eb="33">
      <t>カゼ</t>
    </rPh>
    <rPh sb="33" eb="35">
      <t>カジュウ</t>
    </rPh>
    <rPh sb="41" eb="45">
      <t>スイヘイキョリ</t>
    </rPh>
    <phoneticPr fontId="2"/>
  </si>
  <si>
    <t>架線風力係数　C＝</t>
    <rPh sb="0" eb="2">
      <t>カセン</t>
    </rPh>
    <rPh sb="2" eb="6">
      <t>フウリョクケイスウ</t>
    </rPh>
    <phoneticPr fontId="2"/>
  </si>
  <si>
    <t>架線高低差角θ2＝</t>
    <rPh sb="0" eb="2">
      <t>カセン</t>
    </rPh>
    <rPh sb="2" eb="6">
      <t>コウテイ</t>
    </rPh>
    <phoneticPr fontId="2"/>
  </si>
  <si>
    <t>架線外径　dc＝</t>
    <rPh sb="0" eb="2">
      <t>カセン</t>
    </rPh>
    <rPh sb="2" eb="4">
      <t>ガイケイ</t>
    </rPh>
    <phoneticPr fontId="2"/>
  </si>
  <si>
    <t>架線重量　Wk＝</t>
    <rPh sb="0" eb="2">
      <t>カセン</t>
    </rPh>
    <rPh sb="2" eb="4">
      <t>ジュウリョウ</t>
    </rPh>
    <phoneticPr fontId="2"/>
  </si>
  <si>
    <t>スパン長　L1＝</t>
    <rPh sb="3" eb="4">
      <t>チョウ</t>
    </rPh>
    <phoneticPr fontId="2"/>
  </si>
  <si>
    <t>m        弛度    f=</t>
    <rPh sb="9" eb="10">
      <t>ユル</t>
    </rPh>
    <rPh sb="10" eb="11">
      <t>ド</t>
    </rPh>
    <phoneticPr fontId="2"/>
  </si>
  <si>
    <t>1.0×q1×ｄｃ／cos（θ2)</t>
    <phoneticPr fontId="2"/>
  </si>
  <si>
    <t>Ｐk＝</t>
    <phoneticPr fontId="2"/>
  </si>
  <si>
    <t>Pk×L1×sin（90）/2/2^0.5</t>
    <phoneticPr fontId="2"/>
  </si>
  <si>
    <t>風荷重と自重の合力</t>
    <rPh sb="0" eb="3">
      <t>カゼカジュウ</t>
    </rPh>
    <rPh sb="4" eb="6">
      <t>ジジュウ</t>
    </rPh>
    <rPh sb="7" eb="9">
      <t>ゴウリョク</t>
    </rPh>
    <phoneticPr fontId="2"/>
  </si>
  <si>
    <t>（（W1^2＋（Pk×sin（90））^2）＾0.5</t>
    <phoneticPr fontId="2"/>
  </si>
  <si>
    <t>Wk×L1^2／（8×ｆ）</t>
    <phoneticPr fontId="2"/>
  </si>
  <si>
    <t>N/m×1)^2)^0.5×</t>
    <phoneticPr fontId="2"/>
  </si>
  <si>
    <t>Mw1=</t>
    <phoneticPr fontId="2"/>
  </si>
  <si>
    <t>M1=</t>
    <phoneticPr fontId="2"/>
  </si>
  <si>
    <t>√（Ma^2＋Mw1^2）</t>
    <phoneticPr fontId="2"/>
  </si>
  <si>
    <t>A＝</t>
    <phoneticPr fontId="2"/>
  </si>
  <si>
    <t>Z＝</t>
    <phoneticPr fontId="2"/>
  </si>
  <si>
    <t>I=</t>
    <phoneticPr fontId="2"/>
  </si>
  <si>
    <t>Nx／A</t>
    <phoneticPr fontId="2"/>
  </si>
  <si>
    <t>Ma/2^0.5+（Pkymax+Ty)×H1’</t>
    <phoneticPr fontId="2"/>
  </si>
  <si>
    <t>Ma/2^0.5+（Pkxmax+Tx)×H1’</t>
    <phoneticPr fontId="2"/>
  </si>
  <si>
    <t>Mｖ／Z</t>
    <phoneticPr fontId="2"/>
  </si>
  <si>
    <t>T/Ip＝M1×D/2/Ip</t>
    <phoneticPr fontId="2"/>
  </si>
  <si>
    <t>１／２×（σb＾２＋４×τ＾２）^0.5</t>
    <phoneticPr fontId="2"/>
  </si>
  <si>
    <t>(ｃ)風曲げモーメント</t>
    <rPh sb="3" eb="4">
      <t>カゼ</t>
    </rPh>
    <rPh sb="4" eb="5">
      <t>マ</t>
    </rPh>
    <phoneticPr fontId="2"/>
  </si>
  <si>
    <t>h0</t>
    <phoneticPr fontId="2"/>
  </si>
  <si>
    <t>h1'</t>
    <phoneticPr fontId="2"/>
  </si>
  <si>
    <r>
      <t>120P（h1'＋ｔ</t>
    </r>
    <r>
      <rPr>
        <vertAlign val="subscript"/>
        <sz val="11"/>
        <rFont val="メイリオ"/>
        <family val="3"/>
        <charset val="128"/>
      </rPr>
      <t>0</t>
    </r>
    <r>
      <rPr>
        <sz val="11"/>
        <rFont val="メイリオ"/>
        <family val="3"/>
        <charset val="128"/>
      </rPr>
      <t>）</t>
    </r>
    <r>
      <rPr>
        <vertAlign val="superscript"/>
        <sz val="11"/>
        <rFont val="メイリオ"/>
        <family val="3"/>
        <charset val="128"/>
      </rPr>
      <t>２</t>
    </r>
    <phoneticPr fontId="2"/>
  </si>
  <si>
    <t>d'</t>
    <phoneticPr fontId="2"/>
  </si>
  <si>
    <r>
      <t>Ｋd'h0</t>
    </r>
    <r>
      <rPr>
        <vertAlign val="superscript"/>
        <sz val="11"/>
        <rFont val="メイリオ"/>
        <family val="3"/>
        <charset val="128"/>
      </rPr>
      <t>４</t>
    </r>
    <phoneticPr fontId="2"/>
  </si>
  <si>
    <t>h0</t>
    <phoneticPr fontId="2"/>
  </si>
  <si>
    <t>h1'</t>
    <phoneticPr fontId="2"/>
  </si>
  <si>
    <t>tck2</t>
    <phoneticPr fontId="2"/>
  </si>
  <si>
    <t>Lk2</t>
    <phoneticPr fontId="2"/>
  </si>
  <si>
    <t>根枷の面積＝（Lk2－d'）×ｄk2</t>
    <rPh sb="0" eb="1">
      <t>ネカセ</t>
    </rPh>
    <rPh sb="2" eb="4">
      <t>メンセキ</t>
    </rPh>
    <phoneticPr fontId="2"/>
  </si>
  <si>
    <t>dk2</t>
    <phoneticPr fontId="2"/>
  </si>
  <si>
    <t>基礎部の面積＝d'× h0</t>
    <rPh sb="0" eb="2">
      <t>キソブ</t>
    </rPh>
    <rPh sb="3" eb="5">
      <t>メンセキ</t>
    </rPh>
    <phoneticPr fontId="2"/>
  </si>
  <si>
    <r>
      <t>ｍ＝t</t>
    </r>
    <r>
      <rPr>
        <vertAlign val="subscript"/>
        <sz val="11"/>
        <rFont val="メイリオ"/>
        <family val="3"/>
        <charset val="128"/>
      </rPr>
      <t>0</t>
    </r>
    <r>
      <rPr>
        <sz val="11"/>
        <rFont val="メイリオ"/>
        <family val="3"/>
        <charset val="128"/>
      </rPr>
      <t>'/h0</t>
    </r>
    <phoneticPr fontId="2"/>
  </si>
  <si>
    <t>J=(t0'-tck2)2tck2</t>
    <phoneticPr fontId="2"/>
  </si>
  <si>
    <r>
      <t>0.3Ｋ（d'Qh0</t>
    </r>
    <r>
      <rPr>
        <vertAlign val="superscript"/>
        <sz val="11"/>
        <rFont val="メイリオ"/>
        <family val="3"/>
        <charset val="128"/>
      </rPr>
      <t>４</t>
    </r>
    <r>
      <rPr>
        <sz val="11"/>
        <rFont val="メイリオ"/>
        <family val="3"/>
        <charset val="128"/>
      </rPr>
      <t>+AJ）</t>
    </r>
    <phoneticPr fontId="2"/>
  </si>
  <si>
    <r>
      <t>P（h1'＋ｔ</t>
    </r>
    <r>
      <rPr>
        <vertAlign val="subscript"/>
        <sz val="11"/>
        <rFont val="メイリオ"/>
        <family val="3"/>
        <charset val="128"/>
      </rPr>
      <t>0</t>
    </r>
    <r>
      <rPr>
        <sz val="11"/>
        <rFont val="メイリオ"/>
        <family val="3"/>
        <charset val="128"/>
      </rPr>
      <t>’）</t>
    </r>
    <r>
      <rPr>
        <vertAlign val="superscript"/>
        <sz val="11"/>
        <rFont val="メイリオ"/>
        <family val="3"/>
        <charset val="128"/>
      </rPr>
      <t>２</t>
    </r>
    <phoneticPr fontId="2"/>
  </si>
  <si>
    <t>d'</t>
    <phoneticPr fontId="2"/>
  </si>
  <si>
    <r>
      <t>ρKd'h0</t>
    </r>
    <r>
      <rPr>
        <vertAlign val="superscript"/>
        <sz val="11"/>
        <rFont val="メイリオ"/>
        <family val="3"/>
        <charset val="128"/>
      </rPr>
      <t>４</t>
    </r>
    <phoneticPr fontId="2"/>
  </si>
  <si>
    <t>h0</t>
    <phoneticPr fontId="2"/>
  </si>
  <si>
    <t>h1'</t>
    <phoneticPr fontId="2"/>
  </si>
  <si>
    <r>
      <t>120P（h1'＋ｔ</t>
    </r>
    <r>
      <rPr>
        <vertAlign val="subscript"/>
        <sz val="11"/>
        <rFont val="メイリオ"/>
        <family val="3"/>
        <charset val="128"/>
      </rPr>
      <t>0</t>
    </r>
    <r>
      <rPr>
        <sz val="11"/>
        <rFont val="メイリオ"/>
        <family val="3"/>
        <charset val="128"/>
      </rPr>
      <t>）</t>
    </r>
    <r>
      <rPr>
        <vertAlign val="superscript"/>
        <sz val="11"/>
        <rFont val="メイリオ"/>
        <family val="3"/>
        <charset val="128"/>
      </rPr>
      <t>２</t>
    </r>
    <phoneticPr fontId="2"/>
  </si>
  <si>
    <t>DＣk3／d'</t>
    <phoneticPr fontId="2"/>
  </si>
  <si>
    <t>ｔ0''／h0</t>
    <phoneticPr fontId="2"/>
  </si>
  <si>
    <t>ｔｃ／h0</t>
    <phoneticPr fontId="2"/>
  </si>
  <si>
    <t>＝2/3×h0</t>
    <phoneticPr fontId="2"/>
  </si>
  <si>
    <t>＝2/3×ｈ0</t>
    <phoneticPr fontId="2"/>
  </si>
  <si>
    <t>角</t>
    <rPh sb="0" eb="1">
      <t>カク</t>
    </rPh>
    <phoneticPr fontId="2"/>
  </si>
  <si>
    <t>標準パターン</t>
    <rPh sb="0" eb="2">
      <t>ヒョウジュン</t>
    </rPh>
    <phoneticPr fontId="23"/>
  </si>
  <si>
    <t>ポール長</t>
    <rPh sb="3" eb="4">
      <t>ナガ</t>
    </rPh>
    <phoneticPr fontId="23"/>
  </si>
  <si>
    <t>高さ</t>
    <rPh sb="0" eb="1">
      <t>タカ</t>
    </rPh>
    <phoneticPr fontId="23"/>
  </si>
  <si>
    <t>根入れ</t>
    <rPh sb="0" eb="2">
      <t>ネイ</t>
    </rPh>
    <phoneticPr fontId="23"/>
  </si>
  <si>
    <t>口径</t>
    <rPh sb="0" eb="2">
      <t>コウケイ</t>
    </rPh>
    <phoneticPr fontId="23"/>
  </si>
  <si>
    <t>板厚</t>
    <rPh sb="0" eb="2">
      <t>イタアツ</t>
    </rPh>
    <phoneticPr fontId="23"/>
  </si>
  <si>
    <t>根巻幅</t>
    <rPh sb="0" eb="3">
      <t>ネマキハバ</t>
    </rPh>
    <phoneticPr fontId="23"/>
  </si>
  <si>
    <t>根巻深さ</t>
    <rPh sb="0" eb="2">
      <t>ネマキ</t>
    </rPh>
    <rPh sb="2" eb="3">
      <t>フカ</t>
    </rPh>
    <phoneticPr fontId="23"/>
  </si>
  <si>
    <t>ｍ</t>
    <phoneticPr fontId="23"/>
  </si>
  <si>
    <t>ｍ</t>
    <phoneticPr fontId="23"/>
  </si>
  <si>
    <t>mm</t>
    <phoneticPr fontId="23"/>
  </si>
  <si>
    <t>歩道用</t>
    <rPh sb="0" eb="3">
      <t>ホドウヨウ</t>
    </rPh>
    <phoneticPr fontId="23"/>
  </si>
  <si>
    <t>車道用</t>
    <rPh sb="0" eb="3">
      <t>シャドウヨウ</t>
    </rPh>
    <phoneticPr fontId="23"/>
  </si>
  <si>
    <t>※防犯カメラ２機</t>
    <rPh sb="1" eb="3">
      <t>ボウハン</t>
    </rPh>
    <rPh sb="7" eb="8">
      <t>キ</t>
    </rPh>
    <phoneticPr fontId="23"/>
  </si>
  <si>
    <t>※引込線　５ｍ</t>
    <rPh sb="1" eb="4">
      <t>ヒキコミセン</t>
    </rPh>
    <phoneticPr fontId="23"/>
  </si>
  <si>
    <t>※収納BOX　400mm×500mm　１機</t>
    <rPh sb="1" eb="3">
      <t>シュウノウ</t>
    </rPh>
    <rPh sb="20" eb="21">
      <t>キ</t>
    </rPh>
    <phoneticPr fontId="23"/>
  </si>
  <si>
    <t>①　　長さ</t>
    <rPh sb="3" eb="4">
      <t>ナガ</t>
    </rPh>
    <phoneticPr fontId="2"/>
  </si>
  <si>
    <t>②　　 高さ</t>
    <phoneticPr fontId="2"/>
  </si>
  <si>
    <t>③　径(根元)</t>
    <phoneticPr fontId="2"/>
  </si>
  <si>
    <t>④　径(先端)</t>
    <phoneticPr fontId="2"/>
  </si>
  <si>
    <t>⑤　板厚(根元)</t>
    <phoneticPr fontId="2"/>
  </si>
  <si>
    <t>⑥　板厚(先端)</t>
    <phoneticPr fontId="2"/>
  </si>
  <si>
    <t xml:space="preserve">  ⑦　形状(円or角)</t>
    <rPh sb="7" eb="8">
      <t>エン</t>
    </rPh>
    <rPh sb="10" eb="11">
      <t>カク</t>
    </rPh>
    <phoneticPr fontId="2"/>
  </si>
  <si>
    <t>⑧　全体重量</t>
    <rPh sb="2" eb="4">
      <t>ゼンタイ</t>
    </rPh>
    <phoneticPr fontId="2"/>
  </si>
  <si>
    <t>録画装置BOX１</t>
    <rPh sb="0" eb="4">
      <t>ロクガソウチ</t>
    </rPh>
    <phoneticPr fontId="2"/>
  </si>
  <si>
    <t>⑨　　重量</t>
    <phoneticPr fontId="2"/>
  </si>
  <si>
    <t>⑩中心までの水平距離</t>
    <rPh sb="1" eb="3">
      <t>チュウシン</t>
    </rPh>
    <phoneticPr fontId="2"/>
  </si>
  <si>
    <t>⑪見附(受圧)面積</t>
    <phoneticPr fontId="2"/>
  </si>
  <si>
    <t xml:space="preserve"> ⑫形状(円or角)</t>
    <rPh sb="5" eb="6">
      <t>エン</t>
    </rPh>
    <rPh sb="8" eb="9">
      <t>カク</t>
    </rPh>
    <phoneticPr fontId="2"/>
  </si>
  <si>
    <t>⑬取付高さ</t>
    <rPh sb="1" eb="3">
      <t>トリツケ</t>
    </rPh>
    <phoneticPr fontId="2"/>
  </si>
  <si>
    <t>⑲　架線取付位置</t>
    <phoneticPr fontId="2"/>
  </si>
  <si>
    <t>⑳　柱間の距離</t>
    <phoneticPr fontId="2"/>
  </si>
  <si>
    <t>⑭根枷幅(Lk2)</t>
    <rPh sb="1" eb="4">
      <t>ネカセハバ</t>
    </rPh>
    <phoneticPr fontId="2"/>
  </si>
  <si>
    <t>⑯根枷中心深さ(tck2)</t>
    <rPh sb="1" eb="3">
      <t>ネカセ</t>
    </rPh>
    <rPh sb="3" eb="5">
      <t>チュウシン</t>
    </rPh>
    <rPh sb="5" eb="6">
      <t>フカ</t>
    </rPh>
    <phoneticPr fontId="2"/>
  </si>
  <si>
    <t>⑰根巻幅(Dck3)</t>
    <rPh sb="1" eb="3">
      <t>ネマキ</t>
    </rPh>
    <rPh sb="3" eb="4">
      <t>ハバ</t>
    </rPh>
    <phoneticPr fontId="2"/>
  </si>
  <si>
    <t>⑱根巻深さ(dk3)</t>
    <rPh sb="1" eb="3">
      <t>ネマキ</t>
    </rPh>
    <rPh sb="3" eb="4">
      <t>フカ</t>
    </rPh>
    <phoneticPr fontId="2"/>
  </si>
  <si>
    <t>入力項目</t>
    <rPh sb="0" eb="4">
      <t>ニュウリョクコウモク</t>
    </rPh>
    <phoneticPr fontId="2"/>
  </si>
  <si>
    <t>②</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</si>
  <si>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</si>
  <si>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</si>
  <si>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</si>
  <si>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</si>
  <si>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</si>
  <si>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</si>
  <si>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</si>
  <si>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</si>
  <si>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</si>
  <si>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</si>
  <si>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</si>
  <si>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</si>
  <si>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</si>
  <si>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</si>
  <si>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</si>
  <si>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</si>
  <si>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</si>
  <si>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参考書類</t>
    <rPh sb="0" eb="2">
      <t>サンコウ</t>
    </rPh>
    <rPh sb="2" eb="4">
      <t>ショルイ</t>
    </rPh>
    <phoneticPr fontId="2"/>
  </si>
  <si>
    <t>カタログ</t>
  </si>
  <si>
    <t>カタログ</t>
    <phoneticPr fontId="2"/>
  </si>
  <si>
    <t>カタログ、計画図</t>
    <rPh sb="5" eb="7">
      <t>ケイカク</t>
    </rPh>
    <rPh sb="7" eb="8">
      <t>ズ</t>
    </rPh>
    <phoneticPr fontId="2"/>
  </si>
  <si>
    <t>名称</t>
    <rPh sb="0" eb="2">
      <t>メイショウ</t>
    </rPh>
    <phoneticPr fontId="2"/>
  </si>
  <si>
    <t>鋼管ポール全長</t>
    <rPh sb="0" eb="2">
      <t>コウカン</t>
    </rPh>
    <rPh sb="5" eb="7">
      <t>ゼンチョウ</t>
    </rPh>
    <phoneticPr fontId="2"/>
  </si>
  <si>
    <t>備考</t>
    <rPh sb="0" eb="2">
      <t>ビコウ</t>
    </rPh>
    <phoneticPr fontId="2"/>
  </si>
  <si>
    <t>鋼管ポール設置高さ</t>
    <rPh sb="0" eb="2">
      <t>コウカン</t>
    </rPh>
    <rPh sb="5" eb="7">
      <t>セッチ</t>
    </rPh>
    <rPh sb="7" eb="8">
      <t>タカ</t>
    </rPh>
    <phoneticPr fontId="2"/>
  </si>
  <si>
    <t>計画図</t>
    <rPh sb="0" eb="3">
      <t>ケイカクズ</t>
    </rPh>
    <phoneticPr fontId="2"/>
  </si>
  <si>
    <t>ポール口径（根本）</t>
    <rPh sb="3" eb="5">
      <t>コウケイ</t>
    </rPh>
    <rPh sb="6" eb="8">
      <t>ネモト</t>
    </rPh>
    <phoneticPr fontId="2"/>
  </si>
  <si>
    <t>ポール口径（先端）</t>
    <rPh sb="3" eb="5">
      <t>コウケイ</t>
    </rPh>
    <rPh sb="6" eb="8">
      <t>センタン</t>
    </rPh>
    <phoneticPr fontId="2"/>
  </si>
  <si>
    <t>同一口径（直管）の場合も入力</t>
    <rPh sb="0" eb="4">
      <t>ドウイツコウケイ</t>
    </rPh>
    <rPh sb="5" eb="7">
      <t>チョクカン</t>
    </rPh>
    <rPh sb="9" eb="11">
      <t>バアイ</t>
    </rPh>
    <rPh sb="12" eb="14">
      <t>ニュウリョク</t>
    </rPh>
    <phoneticPr fontId="2"/>
  </si>
  <si>
    <t>根入れ深さは全長の1/6、最低1mが基本</t>
    <rPh sb="0" eb="2">
      <t>ネイ</t>
    </rPh>
    <rPh sb="3" eb="4">
      <t>フカ</t>
    </rPh>
    <rPh sb="6" eb="8">
      <t>ゼンチョウ</t>
    </rPh>
    <rPh sb="13" eb="15">
      <t>サイテイ</t>
    </rPh>
    <rPh sb="18" eb="20">
      <t>キホン</t>
    </rPh>
    <phoneticPr fontId="2"/>
  </si>
  <si>
    <t>板厚（根本）</t>
    <rPh sb="0" eb="2">
      <t>イタアツ</t>
    </rPh>
    <rPh sb="3" eb="5">
      <t>ネモト</t>
    </rPh>
    <phoneticPr fontId="2"/>
  </si>
  <si>
    <t>板厚（先端）</t>
    <rPh sb="0" eb="2">
      <t>イタアツ</t>
    </rPh>
    <rPh sb="3" eb="5">
      <t>センタン</t>
    </rPh>
    <phoneticPr fontId="2"/>
  </si>
  <si>
    <t>重量</t>
    <rPh sb="0" eb="2">
      <t>ジュウリョウ</t>
    </rPh>
    <phoneticPr fontId="2"/>
  </si>
  <si>
    <t>単位に注意、kg　Nの場合は1/9.8</t>
    <rPh sb="0" eb="2">
      <t>タンイ</t>
    </rPh>
    <rPh sb="3" eb="5">
      <t>チュウイ</t>
    </rPh>
    <rPh sb="11" eb="13">
      <t>バアイ</t>
    </rPh>
    <phoneticPr fontId="2"/>
  </si>
  <si>
    <t>取付物重量</t>
    <rPh sb="0" eb="3">
      <t>トリツケブツ</t>
    </rPh>
    <rPh sb="3" eb="5">
      <t>ジュウリョウ</t>
    </rPh>
    <phoneticPr fontId="2"/>
  </si>
  <si>
    <t>中心までの水平距離</t>
    <rPh sb="0" eb="2">
      <t>チュウシン</t>
    </rPh>
    <rPh sb="5" eb="9">
      <t>スイヘイキョリ</t>
    </rPh>
    <phoneticPr fontId="2"/>
  </si>
  <si>
    <t>ポールから取付物の中心までの距離</t>
    <rPh sb="5" eb="8">
      <t>トリツケブツ</t>
    </rPh>
    <rPh sb="9" eb="11">
      <t>チュウシン</t>
    </rPh>
    <rPh sb="14" eb="16">
      <t>キョリ</t>
    </rPh>
    <phoneticPr fontId="2"/>
  </si>
  <si>
    <t>見附面積</t>
    <rPh sb="0" eb="4">
      <t>ミツケメンセキ</t>
    </rPh>
    <phoneticPr fontId="2"/>
  </si>
  <si>
    <t>BOXは角</t>
    <rPh sb="4" eb="5">
      <t>カク</t>
    </rPh>
    <phoneticPr fontId="2"/>
  </si>
  <si>
    <t>ポールは円</t>
    <rPh sb="4" eb="5">
      <t>エン</t>
    </rPh>
    <phoneticPr fontId="2"/>
  </si>
  <si>
    <t>取付高さ</t>
    <rPh sb="0" eb="3">
      <t>トリツケタカ</t>
    </rPh>
    <phoneticPr fontId="2"/>
  </si>
  <si>
    <t>地上から取付物中心までの距離</t>
    <rPh sb="0" eb="2">
      <t>チジョウ</t>
    </rPh>
    <rPh sb="4" eb="7">
      <t>トリツケブツ</t>
    </rPh>
    <rPh sb="7" eb="9">
      <t>チュウシン</t>
    </rPh>
    <rPh sb="12" eb="14">
      <t>キョリ</t>
    </rPh>
    <phoneticPr fontId="2"/>
  </si>
  <si>
    <r>
      <t>風が当たる面積　</t>
    </r>
    <r>
      <rPr>
        <sz val="11"/>
        <color rgb="FFFF0000"/>
        <rFont val="ＭＳ Ｐゴシック"/>
        <family val="3"/>
        <charset val="128"/>
      </rPr>
      <t>単位に注意cm２</t>
    </r>
    <rPh sb="0" eb="1">
      <t>カゼ</t>
    </rPh>
    <rPh sb="2" eb="3">
      <t>ア</t>
    </rPh>
    <rPh sb="5" eb="7">
      <t>メンセキ</t>
    </rPh>
    <rPh sb="8" eb="10">
      <t>タンイ</t>
    </rPh>
    <rPh sb="11" eb="13">
      <t>チュウイ</t>
    </rPh>
    <phoneticPr fontId="2"/>
  </si>
  <si>
    <t>⑮根枷厚(dk2)　　　</t>
    <rPh sb="1" eb="3">
      <t>ネカセ</t>
    </rPh>
    <rPh sb="3" eb="4">
      <t>アツ</t>
    </rPh>
    <phoneticPr fontId="2"/>
  </si>
  <si>
    <t>根枷幅</t>
    <rPh sb="0" eb="3">
      <t>ネカセハバ</t>
    </rPh>
    <phoneticPr fontId="2"/>
  </si>
  <si>
    <t>根枷厚　　　</t>
    <rPh sb="0" eb="2">
      <t>ネカセ</t>
    </rPh>
    <rPh sb="2" eb="3">
      <t>アツ</t>
    </rPh>
    <phoneticPr fontId="2"/>
  </si>
  <si>
    <t>根枷中心深さ</t>
    <rPh sb="0" eb="2">
      <t>ネカセ</t>
    </rPh>
    <rPh sb="2" eb="4">
      <t>チュウシン</t>
    </rPh>
    <rPh sb="4" eb="5">
      <t>フカ</t>
    </rPh>
    <phoneticPr fontId="2"/>
  </si>
  <si>
    <t>基礎図</t>
    <rPh sb="0" eb="3">
      <t>キソズ</t>
    </rPh>
    <phoneticPr fontId="2"/>
  </si>
  <si>
    <t>根巻幅</t>
    <rPh sb="0" eb="2">
      <t>ネマキ</t>
    </rPh>
    <rPh sb="2" eb="3">
      <t>ハバ</t>
    </rPh>
    <phoneticPr fontId="2"/>
  </si>
  <si>
    <t>根巻深さ</t>
    <rPh sb="0" eb="2">
      <t>ネマキ</t>
    </rPh>
    <rPh sb="2" eb="3">
      <t>フカ</t>
    </rPh>
    <phoneticPr fontId="2"/>
  </si>
  <si>
    <t>架線取付位置</t>
    <phoneticPr fontId="2"/>
  </si>
  <si>
    <t>電源架空線の取付高さ</t>
    <rPh sb="0" eb="2">
      <t>デンゲン</t>
    </rPh>
    <rPh sb="2" eb="5">
      <t>カクウセン</t>
    </rPh>
    <rPh sb="6" eb="9">
      <t>トリツケタカ</t>
    </rPh>
    <phoneticPr fontId="2"/>
  </si>
  <si>
    <t>柱間の距離</t>
    <phoneticPr fontId="2"/>
  </si>
  <si>
    <t>電源架空線の距離</t>
    <rPh sb="0" eb="2">
      <t>デンゲン</t>
    </rPh>
    <rPh sb="2" eb="4">
      <t>カクウ</t>
    </rPh>
    <rPh sb="4" eb="5">
      <t>セン</t>
    </rPh>
    <rPh sb="6" eb="8">
      <t>キョリ</t>
    </rPh>
    <phoneticPr fontId="2"/>
  </si>
  <si>
    <t>根巻の場合は空欄で可</t>
    <rPh sb="0" eb="2">
      <t>ネマキ</t>
    </rPh>
    <rPh sb="3" eb="5">
      <t>バアイ</t>
    </rPh>
    <rPh sb="6" eb="8">
      <t>クウラン</t>
    </rPh>
    <rPh sb="9" eb="10">
      <t>カ</t>
    </rPh>
    <phoneticPr fontId="2"/>
  </si>
  <si>
    <t>根枷の場合は空欄で可</t>
    <rPh sb="0" eb="2">
      <t>ネカセ</t>
    </rPh>
    <rPh sb="3" eb="5">
      <t>バアイ</t>
    </rPh>
    <rPh sb="6" eb="8">
      <t>クウラン</t>
    </rPh>
    <rPh sb="9" eb="10">
      <t>カ</t>
    </rPh>
    <phoneticPr fontId="2"/>
  </si>
  <si>
    <t>今泉1丁目2区</t>
    <rPh sb="0" eb="2">
      <t>イマイズミ</t>
    </rPh>
    <rPh sb="3" eb="5">
      <t>チョウメ</t>
    </rPh>
    <rPh sb="6" eb="7">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</si>
</sst>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000"/>
    <numFmt numFmtId="178" formatCode="0.0000"/>
    <numFmt numFmtId="179" formatCode="#,##0_ "/>
    <numFmt numFmtId="180" formatCode="0.00_ "/>
    <numFmt numFmtId="181" formatCode="0.0_ "/>
    <numFmt numFmtId="182" formatCode="0_ "/>
    <numFmt numFmtId="183" formatCode="#,##0_ ;[Red]\-#,##0\ "/>
    <numFmt numFmtId="184" formatCode="0.000000"/>
    <numFmt numFmtId="185" formatCode="0.000000_ "/>
    <numFmt numFmtId="186" formatCode="0.0000000_);[Red]\(0.0000000\)"/>
    <numFmt numFmtId="187" formatCode="0.00_);[Red]\(0.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明朝"/>
      <family val="1"/>
      <charset val="128"/>
    </font>
    <font>
      <sz val="10"/>
      <name val="ＭＳ Ｐゴシック"/>
      <family val="3"/>
      <charset val="128"/>
    </font>
    <font>
      <sz val="10"/>
      <name val="ＭＳ Ｐ明朝"/>
      <family val="1"/>
      <charset val="128"/>
    </font>
    <font>
      <sz val="11"/>
      <name val="ＭＳ 明朝"/>
      <family val="1"/>
      <charset val="128"/>
    </font>
    <font>
      <sz val="11"/>
      <name val="メイリオ"/>
      <family val="3"/>
      <charset val="128"/>
    </font>
    <font>
      <b/>
      <sz val="11"/>
      <name val="メイリオ"/>
      <family val="3"/>
      <charset val="128"/>
    </font>
    <font>
      <sz val="11"/>
      <color rgb="FFFF0000"/>
      <name val="メイリオ"/>
      <family val="3"/>
      <charset val="128"/>
    </font>
    <font>
      <vertAlign val="superscript"/>
      <sz val="11"/>
      <name val="メイリオ"/>
      <family val="3"/>
      <charset val="128"/>
    </font>
    <font>
      <sz val="11"/>
      <color rgb="FF000000"/>
      <name val="メイリオ"/>
      <family val="3"/>
      <charset val="128"/>
    </font>
    <font>
      <b/>
      <sz val="11"/>
      <color theme="1"/>
      <name val="メイリオ"/>
      <family val="3"/>
      <charset val="128"/>
    </font>
    <font>
      <sz val="11"/>
      <color theme="1"/>
      <name val="メイリオ"/>
      <family val="3"/>
      <charset val="128"/>
    </font>
    <font>
      <b/>
      <sz val="11"/>
      <color rgb="FFFF0000"/>
      <name val="メイリオ"/>
      <family val="3"/>
      <charset val="128"/>
    </font>
    <font>
      <vertAlign val="subscript"/>
      <sz val="11"/>
      <name val="メイリオ"/>
      <family val="3"/>
      <charset val="128"/>
    </font>
    <font>
      <i/>
      <sz val="11"/>
      <name val="メイリオ"/>
      <family val="3"/>
      <charset val="128"/>
    </font>
    <font>
      <b/>
      <vertAlign val="superscript"/>
      <sz val="11"/>
      <name val="メイリオ"/>
      <family val="3"/>
      <charset val="128"/>
    </font>
    <font>
      <sz val="11"/>
      <color indexed="10"/>
      <name val="メイリオ"/>
      <family val="3"/>
      <charset val="128"/>
    </font>
    <font>
      <sz val="11"/>
      <color indexed="9"/>
      <name val="メイリオ"/>
      <family val="3"/>
      <charset val="128"/>
    </font>
    <font>
      <sz val="10"/>
      <name val="メイリオ"/>
      <family val="3"/>
      <charset val="128"/>
    </font>
    <font>
      <sz val="11"/>
      <color theme="0"/>
      <name val="メイリオ"/>
      <family val="3"/>
      <charset val="128"/>
    </font>
    <font>
      <sz val="6"/>
      <name val="ＭＳ Ｐゴシック"/>
      <family val="2"/>
      <charset val="128"/>
      <scheme val="minor"/>
    </font>
    <font>
      <sz val="11"/>
      <color rgb="FFFF0000"/>
      <name val="ＭＳ Ｐゴシック"/>
      <family val="3"/>
      <charset val="128"/>
    </font>
  </fonts>
  <fills count="14">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5" tint="0.3999450666829432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8"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double">
        <color rgb="FFFF0000"/>
      </left>
      <right style="double">
        <color rgb="FFFF0000"/>
      </right>
      <top style="double">
        <color rgb="FFFF0000"/>
      </top>
      <bottom style="double">
        <color rgb="FFFF0000"/>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ill="0" applyBorder="0" applyProtection="0">
      <alignment vertical="center"/>
    </xf>
  </cellStyleXfs>
  <cellXfs count="25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7" fillId="0" borderId="0" xfId="0" applyFont="1">
      <alignment vertical="center"/>
    </xf>
    <xf numFmtId="0" fontId="6" fillId="0" borderId="0" xfId="0" applyFont="1">
      <alignment vertical="center"/>
    </xf>
    <xf numFmtId="0" fontId="8" fillId="5" borderId="3" xfId="0" applyFont="1" applyFill="1" applyBorder="1" applyAlignment="1">
      <alignment horizontal="center" vertical="center"/>
    </xf>
    <xf numFmtId="0" fontId="9" fillId="0" borderId="0" xfId="0" applyFont="1" applyAlignment="1">
      <alignment vertical="center"/>
    </xf>
    <xf numFmtId="0" fontId="9" fillId="0" borderId="0" xfId="0" applyFont="1">
      <alignment vertical="center"/>
    </xf>
    <xf numFmtId="0" fontId="8" fillId="0" borderId="0" xfId="0" applyFont="1">
      <alignment vertical="center"/>
    </xf>
    <xf numFmtId="0" fontId="9" fillId="0" borderId="0" xfId="0" applyFont="1" applyBorder="1" applyAlignment="1">
      <alignment vertical="center" wrapText="1" shrinkToFit="1"/>
    </xf>
    <xf numFmtId="0" fontId="9" fillId="0" borderId="0" xfId="0" applyFont="1" applyBorder="1" applyAlignment="1">
      <alignment horizontal="left" vertical="center" wrapText="1" shrinkToFit="1"/>
    </xf>
    <xf numFmtId="0" fontId="8" fillId="0" borderId="1" xfId="0" applyFont="1" applyBorder="1">
      <alignment vertical="center"/>
    </xf>
    <xf numFmtId="0" fontId="8" fillId="0" borderId="13" xfId="0" applyFont="1" applyBorder="1">
      <alignment vertical="center"/>
    </xf>
    <xf numFmtId="0" fontId="8" fillId="13" borderId="15" xfId="0" applyFont="1" applyFill="1" applyBorder="1">
      <alignment vertical="center"/>
    </xf>
    <xf numFmtId="0" fontId="8" fillId="13" borderId="14" xfId="0" applyFont="1" applyFill="1" applyBorder="1">
      <alignment vertical="center"/>
    </xf>
    <xf numFmtId="0" fontId="9" fillId="0" borderId="0" xfId="0" applyFont="1" applyAlignment="1">
      <alignment vertical="center" shrinkToFit="1"/>
    </xf>
    <xf numFmtId="0" fontId="8" fillId="5" borderId="0" xfId="0" applyFont="1" applyFill="1">
      <alignment vertical="center"/>
    </xf>
    <xf numFmtId="0" fontId="8" fillId="0" borderId="0" xfId="0" applyFont="1" applyFill="1">
      <alignment vertical="center"/>
    </xf>
    <xf numFmtId="0" fontId="8" fillId="4" borderId="0" xfId="0" applyFont="1" applyFill="1">
      <alignment vertical="center"/>
    </xf>
    <xf numFmtId="0" fontId="10" fillId="0" borderId="0" xfId="0" applyFont="1">
      <alignment vertical="center"/>
    </xf>
    <xf numFmtId="0" fontId="8" fillId="5" borderId="2"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5" borderId="1" xfId="0" applyFont="1" applyFill="1" applyBorder="1">
      <alignment vertical="center"/>
    </xf>
    <xf numFmtId="0" fontId="8" fillId="4" borderId="1" xfId="0" applyFont="1" applyFill="1" applyBorder="1">
      <alignment vertical="center"/>
    </xf>
    <xf numFmtId="0" fontId="8" fillId="5" borderId="1" xfId="0" applyFont="1" applyFill="1" applyBorder="1" applyAlignment="1">
      <alignment horizontal="right" vertical="center"/>
    </xf>
    <xf numFmtId="0" fontId="8" fillId="4" borderId="2" xfId="0" applyFont="1" applyFill="1" applyBorder="1" applyAlignment="1">
      <alignment horizontal="center" vertical="center" shrinkToFit="1"/>
    </xf>
    <xf numFmtId="0" fontId="8" fillId="5" borderId="2" xfId="0" applyFont="1" applyFill="1" applyBorder="1" applyAlignment="1">
      <alignment horizontal="center" vertical="center" shrinkToFit="1"/>
    </xf>
    <xf numFmtId="0" fontId="8" fillId="0" borderId="0" xfId="0" applyFont="1" applyAlignment="1">
      <alignment horizontal="righ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shrinkToFit="1"/>
    </xf>
    <xf numFmtId="0" fontId="8" fillId="0" borderId="0"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12" fillId="0" borderId="0" xfId="0" applyFont="1" applyFill="1" applyAlignment="1">
      <alignment horizontal="left" vertical="center" readingOrder="1"/>
    </xf>
    <xf numFmtId="0" fontId="8" fillId="5" borderId="2" xfId="0" applyFont="1" applyFill="1" applyBorder="1" applyAlignment="1">
      <alignment horizontal="center" vertical="center" wrapText="1"/>
    </xf>
    <xf numFmtId="0" fontId="8" fillId="0" borderId="1" xfId="0" applyFont="1" applyFill="1" applyBorder="1">
      <alignment vertical="center"/>
    </xf>
    <xf numFmtId="0" fontId="8" fillId="0" borderId="0" xfId="0" applyFont="1" applyAlignment="1">
      <alignment vertical="center" textRotation="255" shrinkToFit="1"/>
    </xf>
    <xf numFmtId="0" fontId="8" fillId="4" borderId="2" xfId="0" applyFont="1" applyFill="1" applyBorder="1" applyAlignment="1">
      <alignment horizontal="center" vertical="center" wrapText="1" shrinkToFit="1"/>
    </xf>
    <xf numFmtId="0" fontId="8" fillId="5" borderId="1" xfId="0" applyFont="1" applyFill="1" applyBorder="1" applyAlignment="1">
      <alignment horizontal="center" vertical="center"/>
    </xf>
    <xf numFmtId="0" fontId="8" fillId="4" borderId="1" xfId="0" applyFont="1" applyFill="1" applyBorder="1" applyAlignment="1">
      <alignment vertical="center" shrinkToFit="1"/>
    </xf>
    <xf numFmtId="0" fontId="8" fillId="4" borderId="1" xfId="0" applyFont="1" applyFill="1" applyBorder="1" applyAlignment="1">
      <alignment horizontal="center" vertical="center"/>
    </xf>
    <xf numFmtId="0" fontId="8" fillId="0" borderId="0" xfId="0" applyFont="1" applyAlignment="1">
      <alignment horizontal="left" vertical="center"/>
    </xf>
    <xf numFmtId="0" fontId="14" fillId="7" borderId="52" xfId="0" applyFont="1" applyFill="1" applyBorder="1" applyAlignment="1">
      <alignment horizontal="center" vertical="center"/>
    </xf>
    <xf numFmtId="0" fontId="10" fillId="7" borderId="52" xfId="0" applyFont="1" applyFill="1" applyBorder="1" applyAlignment="1">
      <alignment horizontal="center" vertical="center"/>
    </xf>
    <xf numFmtId="0" fontId="14" fillId="7" borderId="52" xfId="0" applyFont="1" applyFill="1" applyBorder="1">
      <alignment vertical="center"/>
    </xf>
    <xf numFmtId="0" fontId="15" fillId="7" borderId="52"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1" xfId="0" applyFont="1" applyFill="1" applyBorder="1">
      <alignment vertical="center"/>
    </xf>
    <xf numFmtId="176" fontId="8" fillId="0" borderId="0" xfId="0" applyNumberFormat="1" applyFont="1">
      <alignment vertical="center"/>
    </xf>
    <xf numFmtId="9" fontId="8" fillId="0" borderId="0" xfId="0" applyNumberFormat="1" applyFont="1">
      <alignment vertical="center"/>
    </xf>
    <xf numFmtId="0" fontId="8" fillId="0" borderId="0" xfId="0" quotePrefix="1" applyFont="1" applyFill="1">
      <alignment vertical="center"/>
    </xf>
    <xf numFmtId="0" fontId="8" fillId="0" borderId="0" xfId="0" quotePrefix="1" applyFont="1">
      <alignment vertical="center"/>
    </xf>
    <xf numFmtId="0" fontId="8" fillId="2" borderId="13" xfId="0" applyFont="1" applyFill="1" applyBorder="1">
      <alignment vertical="center"/>
    </xf>
    <xf numFmtId="0" fontId="8" fillId="2" borderId="15" xfId="0" applyFont="1" applyFill="1" applyBorder="1">
      <alignment vertical="center"/>
    </xf>
    <xf numFmtId="0" fontId="9" fillId="2" borderId="15" xfId="0" applyFont="1" applyFill="1" applyBorder="1" applyAlignment="1">
      <alignment horizontal="center" vertical="center"/>
    </xf>
    <xf numFmtId="0" fontId="8" fillId="2" borderId="14" xfId="0" applyFont="1" applyFill="1" applyBorder="1">
      <alignment vertical="center"/>
    </xf>
    <xf numFmtId="0" fontId="9" fillId="0" borderId="0" xfId="0" applyFont="1" applyAlignment="1">
      <alignment horizontal="center" vertical="center"/>
    </xf>
    <xf numFmtId="176" fontId="8" fillId="2" borderId="15" xfId="0" applyNumberFormat="1" applyFont="1" applyFill="1" applyBorder="1">
      <alignment vertical="center"/>
    </xf>
    <xf numFmtId="0" fontId="8" fillId="0" borderId="0" xfId="0" applyFont="1" applyAlignment="1">
      <alignment horizontal="left" vertical="top" wrapText="1"/>
    </xf>
    <xf numFmtId="0" fontId="8" fillId="0" borderId="0" xfId="0" applyFont="1" applyAlignment="1">
      <alignment horizontal="left" vertical="top"/>
    </xf>
    <xf numFmtId="176" fontId="8" fillId="4" borderId="0" xfId="0" applyNumberFormat="1" applyFont="1" applyFill="1" applyAlignment="1">
      <alignment horizontal="right" vertical="center" wrapText="1"/>
    </xf>
    <xf numFmtId="176" fontId="8" fillId="4" borderId="0" xfId="0" applyNumberFormat="1" applyFont="1" applyFill="1" applyAlignment="1">
      <alignment horizontal="right" vertical="top" wrapText="1"/>
    </xf>
    <xf numFmtId="178" fontId="8" fillId="4" borderId="0" xfId="0" applyNumberFormat="1" applyFont="1" applyFill="1" applyAlignment="1">
      <alignment horizontal="right" vertical="center" wrapText="1"/>
    </xf>
    <xf numFmtId="0" fontId="8" fillId="4" borderId="0" xfId="0" applyFont="1" applyFill="1" applyAlignment="1">
      <alignment horizontal="right" vertical="center"/>
    </xf>
    <xf numFmtId="2" fontId="8" fillId="4" borderId="0" xfId="0" applyNumberFormat="1" applyFont="1" applyFill="1">
      <alignment vertical="center"/>
    </xf>
    <xf numFmtId="2" fontId="8" fillId="0" borderId="0" xfId="0" applyNumberFormat="1" applyFont="1">
      <alignment vertical="center"/>
    </xf>
    <xf numFmtId="0" fontId="9" fillId="0" borderId="0" xfId="0" applyFont="1" applyAlignment="1">
      <alignment horizontal="right" vertical="center"/>
    </xf>
    <xf numFmtId="179" fontId="9" fillId="4" borderId="0" xfId="0" applyNumberFormat="1" applyFont="1" applyFill="1">
      <alignment vertical="center"/>
    </xf>
    <xf numFmtId="179" fontId="9" fillId="0" borderId="0" xfId="0" applyNumberFormat="1" applyFont="1">
      <alignment vertical="center"/>
    </xf>
    <xf numFmtId="180" fontId="8" fillId="0" borderId="0" xfId="0" applyNumberFormat="1" applyFont="1">
      <alignment vertical="center"/>
    </xf>
    <xf numFmtId="0" fontId="8" fillId="0" borderId="0" xfId="0" applyFont="1" applyAlignment="1">
      <alignment vertical="center" shrinkToFit="1"/>
    </xf>
    <xf numFmtId="0" fontId="17" fillId="0" borderId="0" xfId="0" applyFont="1">
      <alignment vertical="center"/>
    </xf>
    <xf numFmtId="0" fontId="9" fillId="6" borderId="0" xfId="0" applyFont="1" applyFill="1" applyAlignment="1">
      <alignment horizontal="left" vertical="center"/>
    </xf>
    <xf numFmtId="0" fontId="8" fillId="7" borderId="0" xfId="0" applyFont="1" applyFill="1">
      <alignment vertical="center"/>
    </xf>
    <xf numFmtId="38" fontId="9" fillId="6" borderId="0" xfId="0" applyNumberFormat="1" applyFont="1" applyFill="1" applyAlignment="1">
      <alignment horizontal="center" vertical="center"/>
    </xf>
    <xf numFmtId="181" fontId="9" fillId="6" borderId="0" xfId="0" applyNumberFormat="1" applyFont="1" applyFill="1" applyAlignment="1">
      <alignment horizontal="center" vertical="center"/>
    </xf>
    <xf numFmtId="2" fontId="9" fillId="6" borderId="0" xfId="0" applyNumberFormat="1" applyFont="1" applyFill="1" applyAlignment="1">
      <alignment horizontal="center" vertical="center"/>
    </xf>
    <xf numFmtId="0" fontId="8" fillId="6" borderId="0" xfId="0" applyFont="1" applyFill="1">
      <alignment vertical="center"/>
    </xf>
    <xf numFmtId="0" fontId="9" fillId="6" borderId="0" xfId="0" applyFont="1" applyFill="1">
      <alignment vertical="center"/>
    </xf>
    <xf numFmtId="182" fontId="8" fillId="0" borderId="0" xfId="0" applyNumberFormat="1" applyFont="1">
      <alignment vertical="center"/>
    </xf>
    <xf numFmtId="0" fontId="9" fillId="6" borderId="0" xfId="0" applyFont="1" applyFill="1" applyAlignment="1">
      <alignment horizontal="center" vertical="center"/>
    </xf>
    <xf numFmtId="0" fontId="8" fillId="0" borderId="0" xfId="0" applyFont="1" applyAlignment="1">
      <alignment horizontal="right" vertical="center"/>
    </xf>
    <xf numFmtId="38" fontId="8" fillId="0" borderId="0" xfId="0" applyNumberFormat="1" applyFont="1" applyAlignment="1">
      <alignment horizontal="center" vertical="center"/>
    </xf>
    <xf numFmtId="0" fontId="20" fillId="0" borderId="0" xfId="0" applyFont="1">
      <alignment vertical="center"/>
    </xf>
    <xf numFmtId="181" fontId="8" fillId="0" borderId="0" xfId="0" applyNumberFormat="1" applyFont="1" applyAlignment="1">
      <alignment horizontal="right" vertical="center"/>
    </xf>
    <xf numFmtId="0" fontId="8" fillId="0" borderId="17" xfId="0" applyFont="1" applyBorder="1" applyAlignment="1">
      <alignment horizontal="left" vertical="center"/>
    </xf>
    <xf numFmtId="0" fontId="8" fillId="0" borderId="18" xfId="0" applyFont="1" applyBorder="1" applyAlignment="1">
      <alignment horizontal="center" vertical="center"/>
    </xf>
    <xf numFmtId="0" fontId="8" fillId="0" borderId="18" xfId="0" applyFont="1" applyBorder="1">
      <alignment vertical="center"/>
    </xf>
    <xf numFmtId="0" fontId="8" fillId="0" borderId="19" xfId="0" applyFont="1" applyBorder="1" applyAlignment="1">
      <alignment horizontal="right" vertical="center"/>
    </xf>
    <xf numFmtId="4" fontId="8" fillId="0" borderId="19" xfId="0" applyNumberFormat="1" applyFont="1" applyBorder="1" applyAlignment="1">
      <alignment horizontal="right" vertical="center"/>
    </xf>
    <xf numFmtId="181" fontId="8" fillId="0" borderId="20" xfId="0" applyNumberFormat="1" applyFont="1" applyBorder="1" applyAlignment="1">
      <alignment horizontal="left" vertical="center"/>
    </xf>
    <xf numFmtId="0" fontId="8" fillId="0" borderId="21" xfId="0" applyFont="1" applyBorder="1">
      <alignment vertical="center"/>
    </xf>
    <xf numFmtId="0" fontId="8" fillId="0" borderId="22" xfId="0" applyFont="1" applyBorder="1">
      <alignment vertical="center"/>
    </xf>
    <xf numFmtId="0" fontId="8" fillId="0" borderId="23" xfId="0" applyFont="1" applyBorder="1" applyAlignment="1">
      <alignment horizontal="righ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pplyAlignment="1">
      <alignment horizontal="right"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1" xfId="0" applyFont="1" applyBorder="1" applyAlignment="1">
      <alignment horizontal="right" vertical="center"/>
    </xf>
    <xf numFmtId="0" fontId="8" fillId="0" borderId="32" xfId="0" applyFont="1" applyBorder="1">
      <alignment vertical="center"/>
    </xf>
    <xf numFmtId="0" fontId="8" fillId="8" borderId="0" xfId="0" applyFont="1" applyFill="1">
      <alignment vertical="center"/>
    </xf>
    <xf numFmtId="0" fontId="8" fillId="0" borderId="34" xfId="0" applyFont="1" applyBorder="1">
      <alignment vertical="center"/>
    </xf>
    <xf numFmtId="0" fontId="8" fillId="0" borderId="34" xfId="0" applyFont="1" applyBorder="1" applyAlignment="1">
      <alignment horizontal="center" vertical="center"/>
    </xf>
    <xf numFmtId="0" fontId="9" fillId="9" borderId="35" xfId="0" applyFont="1" applyFill="1" applyBorder="1">
      <alignment vertical="center"/>
    </xf>
    <xf numFmtId="0" fontId="9" fillId="9" borderId="36" xfId="0" applyFont="1" applyFill="1" applyBorder="1">
      <alignment vertical="center"/>
    </xf>
    <xf numFmtId="0" fontId="8" fillId="0" borderId="16" xfId="0" applyFont="1" applyBorder="1">
      <alignment vertical="center"/>
    </xf>
    <xf numFmtId="0" fontId="8" fillId="0" borderId="16" xfId="0" applyFont="1" applyBorder="1" applyAlignment="1">
      <alignment horizontal="center" vertical="center"/>
    </xf>
    <xf numFmtId="0" fontId="9" fillId="0" borderId="38" xfId="0" applyFont="1" applyBorder="1">
      <alignment vertical="center"/>
    </xf>
    <xf numFmtId="0" fontId="9" fillId="0" borderId="39" xfId="0" applyFont="1" applyBorder="1">
      <alignment vertical="center"/>
    </xf>
    <xf numFmtId="0" fontId="8" fillId="0" borderId="16" xfId="0" applyFont="1" applyBorder="1" applyAlignment="1">
      <alignment vertical="center" shrinkToFit="1"/>
    </xf>
    <xf numFmtId="0" fontId="9" fillId="9" borderId="38" xfId="0" applyFont="1" applyFill="1" applyBorder="1">
      <alignment vertical="center"/>
    </xf>
    <xf numFmtId="0" fontId="9" fillId="9" borderId="39" xfId="0" applyFont="1" applyFill="1" applyBorder="1">
      <alignment vertical="center"/>
    </xf>
    <xf numFmtId="0" fontId="9" fillId="8" borderId="16" xfId="0" applyFont="1" applyFill="1" applyBorder="1" applyAlignment="1">
      <alignment horizontal="center" vertical="center"/>
    </xf>
    <xf numFmtId="0" fontId="8" fillId="0" borderId="41" xfId="0" applyFont="1" applyBorder="1">
      <alignment vertical="center"/>
    </xf>
    <xf numFmtId="0" fontId="8" fillId="0" borderId="41" xfId="0" applyFont="1" applyBorder="1" applyAlignment="1">
      <alignment horizontal="center" vertical="center"/>
    </xf>
    <xf numFmtId="0" fontId="9" fillId="0" borderId="42" xfId="0" applyFont="1" applyBorder="1">
      <alignment vertical="center"/>
    </xf>
    <xf numFmtId="0" fontId="9" fillId="0" borderId="43" xfId="0" applyFont="1" applyBorder="1">
      <alignment vertical="center"/>
    </xf>
    <xf numFmtId="181" fontId="9" fillId="0" borderId="0" xfId="0" applyNumberFormat="1" applyFont="1" applyAlignment="1">
      <alignment horizontal="center" vertical="center"/>
    </xf>
    <xf numFmtId="180" fontId="9" fillId="0" borderId="0" xfId="0" applyNumberFormat="1" applyFont="1" applyAlignment="1">
      <alignment horizontal="right" vertical="center"/>
    </xf>
    <xf numFmtId="0" fontId="9" fillId="0" borderId="0" xfId="0" applyFont="1" applyAlignment="1">
      <alignment horizontal="left" vertical="center"/>
    </xf>
    <xf numFmtId="0" fontId="9" fillId="0" borderId="0" xfId="0" applyFont="1" applyAlignment="1">
      <alignment horizontal="left" vertical="center" wrapText="1"/>
    </xf>
    <xf numFmtId="181" fontId="9" fillId="0" borderId="0" xfId="0" applyNumberFormat="1" applyFont="1" applyAlignment="1">
      <alignment horizontal="right" vertical="center"/>
    </xf>
    <xf numFmtId="49" fontId="8" fillId="0" borderId="0" xfId="0" applyNumberFormat="1" applyFont="1">
      <alignment vertical="center"/>
    </xf>
    <xf numFmtId="183" fontId="9" fillId="0" borderId="0" xfId="0" applyNumberFormat="1" applyFont="1">
      <alignment vertical="center"/>
    </xf>
    <xf numFmtId="181" fontId="8" fillId="0" borderId="0" xfId="0" applyNumberFormat="1" applyFont="1">
      <alignment vertical="center"/>
    </xf>
    <xf numFmtId="38" fontId="8" fillId="0" borderId="0" xfId="1" applyFont="1">
      <alignment vertical="center"/>
    </xf>
    <xf numFmtId="0" fontId="8" fillId="10" borderId="0" xfId="0" applyFont="1" applyFill="1">
      <alignment vertical="center"/>
    </xf>
    <xf numFmtId="177" fontId="8" fillId="0" borderId="0" xfId="0" applyNumberFormat="1" applyFont="1">
      <alignment vertical="center"/>
    </xf>
    <xf numFmtId="177" fontId="8" fillId="0" borderId="0" xfId="1" applyNumberFormat="1" applyFont="1">
      <alignment vertical="center"/>
    </xf>
    <xf numFmtId="0" fontId="8" fillId="11" borderId="0" xfId="0" applyFont="1" applyFill="1">
      <alignment vertical="center"/>
    </xf>
    <xf numFmtId="184" fontId="14" fillId="11" borderId="47" xfId="0" applyNumberFormat="1" applyFont="1" applyFill="1" applyBorder="1">
      <alignment vertical="center"/>
    </xf>
    <xf numFmtId="0" fontId="8" fillId="12" borderId="0" xfId="0" applyFont="1" applyFill="1">
      <alignment vertical="center"/>
    </xf>
    <xf numFmtId="185" fontId="15" fillId="12" borderId="47" xfId="0" applyNumberFormat="1" applyFont="1" applyFill="1" applyBorder="1">
      <alignment vertical="center"/>
    </xf>
    <xf numFmtId="0" fontId="15" fillId="12" borderId="47" xfId="0" applyFont="1" applyFill="1" applyBorder="1" applyAlignment="1">
      <alignment horizontal="center" vertical="center"/>
    </xf>
    <xf numFmtId="0" fontId="8" fillId="3" borderId="48" xfId="0" applyFont="1" applyFill="1" applyBorder="1">
      <alignment vertical="center"/>
    </xf>
    <xf numFmtId="0" fontId="8" fillId="3" borderId="34" xfId="0" applyFont="1" applyFill="1" applyBorder="1" applyAlignment="1">
      <alignment horizontal="center" vertical="center"/>
    </xf>
    <xf numFmtId="0" fontId="9" fillId="3" borderId="35" xfId="0" applyFont="1" applyFill="1" applyBorder="1">
      <alignment vertical="center"/>
    </xf>
    <xf numFmtId="0" fontId="9" fillId="3" borderId="36" xfId="0" applyFont="1" applyFill="1" applyBorder="1">
      <alignment vertical="center"/>
    </xf>
    <xf numFmtId="0" fontId="8" fillId="3" borderId="49" xfId="0" applyFont="1" applyFill="1" applyBorder="1" applyAlignment="1">
      <alignment vertical="center" shrinkToFit="1"/>
    </xf>
    <xf numFmtId="0" fontId="8" fillId="3" borderId="16" xfId="0" applyFont="1" applyFill="1" applyBorder="1" applyAlignment="1">
      <alignment horizontal="center" vertical="center"/>
    </xf>
    <xf numFmtId="2" fontId="9" fillId="3" borderId="38" xfId="0" applyNumberFormat="1" applyFont="1" applyFill="1" applyBorder="1">
      <alignment vertical="center"/>
    </xf>
    <xf numFmtId="0" fontId="9" fillId="3" borderId="39" xfId="0" applyFont="1" applyFill="1" applyBorder="1">
      <alignment vertical="center"/>
    </xf>
    <xf numFmtId="0" fontId="8" fillId="3" borderId="50" xfId="0" applyFont="1" applyFill="1" applyBorder="1">
      <alignment vertical="center"/>
    </xf>
    <xf numFmtId="0" fontId="8" fillId="3" borderId="51" xfId="0" applyFont="1" applyFill="1" applyBorder="1" applyAlignment="1">
      <alignment horizontal="center" vertical="center"/>
    </xf>
    <xf numFmtId="0" fontId="9" fillId="3" borderId="42" xfId="0" applyFont="1" applyFill="1" applyBorder="1">
      <alignment vertical="center"/>
    </xf>
    <xf numFmtId="0" fontId="9" fillId="3" borderId="43" xfId="0" applyFont="1" applyFill="1" applyBorder="1">
      <alignment vertical="center"/>
    </xf>
    <xf numFmtId="0" fontId="21" fillId="0" borderId="0" xfId="0" applyFont="1">
      <alignment vertical="center"/>
    </xf>
    <xf numFmtId="38" fontId="8" fillId="0" borderId="1" xfId="2" applyFont="1" applyBorder="1" applyAlignment="1">
      <alignment horizontal="right" vertical="center"/>
    </xf>
    <xf numFmtId="38" fontId="8" fillId="13" borderId="0" xfId="0" applyNumberFormat="1" applyFont="1" applyFill="1" applyProtection="1">
      <alignment vertical="center"/>
    </xf>
    <xf numFmtId="38" fontId="8" fillId="13" borderId="0" xfId="0" applyNumberFormat="1" applyFont="1" applyFill="1">
      <alignment vertical="center"/>
    </xf>
    <xf numFmtId="0" fontId="22" fillId="0" borderId="0" xfId="0" applyFont="1">
      <alignment vertical="center"/>
    </xf>
    <xf numFmtId="0" fontId="8" fillId="0" borderId="0" xfId="0" applyFont="1" applyBorder="1" applyAlignment="1">
      <alignment horizontal="center" vertical="center"/>
    </xf>
    <xf numFmtId="186" fontId="8" fillId="0" borderId="0" xfId="0" applyNumberFormat="1" applyFont="1">
      <alignment vertical="center"/>
    </xf>
    <xf numFmtId="0" fontId="8" fillId="0" borderId="0" xfId="0" applyFont="1" applyBorder="1">
      <alignment vertical="center"/>
    </xf>
    <xf numFmtId="176" fontId="8" fillId="4" borderId="1" xfId="0" applyNumberFormat="1" applyFont="1" applyFill="1" applyBorder="1" applyAlignment="1">
      <alignment horizontal="right" vertical="center" wrapText="1"/>
    </xf>
    <xf numFmtId="2" fontId="8" fillId="5" borderId="1" xfId="0" applyNumberFormat="1" applyFont="1" applyFill="1" applyBorder="1" applyAlignment="1">
      <alignment horizontal="right" vertical="center" wrapText="1"/>
    </xf>
    <xf numFmtId="187" fontId="8" fillId="2" borderId="15" xfId="0" applyNumberFormat="1" applyFont="1" applyFill="1" applyBorder="1">
      <alignment vertical="center"/>
    </xf>
    <xf numFmtId="0" fontId="8" fillId="0" borderId="8" xfId="0" applyFont="1" applyFill="1" applyBorder="1">
      <alignment vertical="center"/>
    </xf>
    <xf numFmtId="0" fontId="8" fillId="0" borderId="5" xfId="0" applyFont="1" applyFill="1" applyBorder="1">
      <alignment vertical="center"/>
    </xf>
    <xf numFmtId="0" fontId="8" fillId="5" borderId="1" xfId="0" applyFont="1" applyFill="1" applyBorder="1" applyProtection="1">
      <alignment vertical="center"/>
    </xf>
    <xf numFmtId="0" fontId="0" fillId="0" borderId="2" xfId="0" applyBorder="1" applyAlignment="1">
      <alignment horizontal="center" vertical="center"/>
    </xf>
    <xf numFmtId="0" fontId="0" fillId="0" borderId="3" xfId="0" applyBorder="1" applyAlignment="1">
      <alignment horizontal="right" vertical="center"/>
    </xf>
    <xf numFmtId="0" fontId="0" fillId="0" borderId="1" xfId="0" applyBorder="1" applyAlignment="1">
      <alignment horizontal="center" vertical="center"/>
    </xf>
    <xf numFmtId="176" fontId="0" fillId="0" borderId="1" xfId="0" applyNumberFormat="1" applyBorder="1" applyAlignment="1">
      <alignment horizontal="right" vertical="center"/>
    </xf>
    <xf numFmtId="2" fontId="0" fillId="0" borderId="1" xfId="0" applyNumberFormat="1" applyBorder="1" applyAlignment="1">
      <alignment horizontal="right" vertical="center"/>
    </xf>
    <xf numFmtId="0" fontId="8" fillId="5" borderId="2" xfId="0" applyFont="1" applyFill="1" applyBorder="1" applyAlignment="1">
      <alignment horizontal="left" vertical="center"/>
    </xf>
    <xf numFmtId="0" fontId="0" fillId="0" borderId="1" xfId="0" applyBorder="1">
      <alignment vertical="center"/>
    </xf>
    <xf numFmtId="0" fontId="8" fillId="0" borderId="2"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7" borderId="13" xfId="0" applyFont="1" applyFill="1" applyBorder="1" applyAlignment="1">
      <alignment horizontal="center" vertical="center"/>
    </xf>
    <xf numFmtId="0" fontId="8" fillId="7" borderId="14"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9"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4" xfId="0" applyFont="1" applyFill="1" applyBorder="1" applyAlignment="1">
      <alignment horizontal="center" vertical="center"/>
    </xf>
    <xf numFmtId="0" fontId="13" fillId="7" borderId="53" xfId="0" applyFont="1" applyFill="1" applyBorder="1" applyAlignment="1">
      <alignment horizontal="center" vertical="center"/>
    </xf>
    <xf numFmtId="0" fontId="13" fillId="7" borderId="54" xfId="0" applyFont="1" applyFill="1" applyBorder="1" applyAlignment="1">
      <alignment horizontal="center" vertical="center"/>
    </xf>
    <xf numFmtId="0" fontId="13" fillId="7" borderId="55" xfId="0" applyFont="1" applyFill="1" applyBorder="1" applyAlignment="1">
      <alignment horizontal="center" vertical="center"/>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5" borderId="13" xfId="0" applyFont="1" applyFill="1" applyBorder="1" applyAlignment="1">
      <alignment horizontal="left" vertical="center"/>
    </xf>
    <xf numFmtId="0" fontId="8" fillId="5" borderId="14" xfId="0" applyFont="1" applyFill="1" applyBorder="1" applyAlignment="1">
      <alignment horizontal="left" vertical="center"/>
    </xf>
    <xf numFmtId="0" fontId="9" fillId="0" borderId="0" xfId="0" applyFont="1" applyAlignment="1">
      <alignment horizontal="left" vertical="center" wrapText="1"/>
    </xf>
    <xf numFmtId="0" fontId="8" fillId="0" borderId="16" xfId="0" applyFont="1" applyBorder="1" applyAlignment="1">
      <alignment horizontal="left" vertical="center"/>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0" xfId="0" applyFont="1" applyAlignment="1">
      <alignment horizontal="left" vertical="center" wrapText="1"/>
    </xf>
    <xf numFmtId="0" fontId="9" fillId="6" borderId="0" xfId="0" applyFont="1" applyFill="1" applyAlignment="1">
      <alignment horizontal="center" vertical="center"/>
    </xf>
    <xf numFmtId="38" fontId="9" fillId="6" borderId="0" xfId="0" applyNumberFormat="1" applyFont="1" applyFill="1" applyAlignment="1">
      <alignment horizontal="center" vertical="center"/>
    </xf>
    <xf numFmtId="181" fontId="9" fillId="6" borderId="0" xfId="0" applyNumberFormat="1" applyFont="1" applyFill="1" applyAlignment="1">
      <alignment horizontal="right" vertical="center"/>
    </xf>
    <xf numFmtId="0" fontId="8" fillId="0" borderId="38" xfId="0" applyFont="1" applyBorder="1" applyAlignment="1">
      <alignment horizontal="left" vertical="center"/>
    </xf>
    <xf numFmtId="0" fontId="8" fillId="0" borderId="45" xfId="0" applyFont="1" applyBorder="1" applyAlignment="1">
      <alignment horizontal="left" vertical="center"/>
    </xf>
    <xf numFmtId="0" fontId="8" fillId="0" borderId="45" xfId="0" applyFont="1" applyBorder="1">
      <alignment vertical="center"/>
    </xf>
    <xf numFmtId="0" fontId="8" fillId="0" borderId="46" xfId="0" applyFont="1" applyBorder="1">
      <alignment vertical="center"/>
    </xf>
    <xf numFmtId="0" fontId="8" fillId="0" borderId="46" xfId="0" applyFont="1" applyBorder="1" applyAlignment="1">
      <alignment horizontal="left" vertical="center"/>
    </xf>
    <xf numFmtId="0" fontId="8" fillId="0" borderId="33" xfId="0" applyFont="1" applyBorder="1" applyAlignment="1">
      <alignment horizontal="center" vertical="center" wrapText="1"/>
    </xf>
    <xf numFmtId="0" fontId="8" fillId="0" borderId="37" xfId="0" applyFont="1" applyBorder="1" applyAlignment="1">
      <alignment horizontal="center" vertical="center"/>
    </xf>
    <xf numFmtId="0" fontId="8" fillId="0" borderId="40" xfId="0" applyFont="1" applyBorder="1" applyAlignment="1">
      <alignment horizontal="center" vertical="center"/>
    </xf>
    <xf numFmtId="0" fontId="8" fillId="0" borderId="44"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horizontal="center" vertical="center"/>
    </xf>
    <xf numFmtId="181" fontId="8" fillId="0" borderId="0" xfId="0" applyNumberFormat="1" applyFont="1" applyAlignment="1">
      <alignment horizontal="right" vertical="center"/>
    </xf>
    <xf numFmtId="0" fontId="9" fillId="6" borderId="0" xfId="0" applyFont="1" applyFill="1" applyAlignment="1">
      <alignment horizontal="right" vertical="center"/>
    </xf>
    <xf numFmtId="181" fontId="9" fillId="6" borderId="0" xfId="0" applyNumberFormat="1" applyFont="1" applyFill="1" applyAlignment="1">
      <alignment horizontal="center" vertical="center"/>
    </xf>
    <xf numFmtId="0" fontId="9" fillId="6" borderId="0" xfId="0" applyFont="1" applyFill="1" applyAlignment="1">
      <alignment horizontal="left" vertical="center" wrapText="1"/>
    </xf>
    <xf numFmtId="176" fontId="9" fillId="6" borderId="0" xfId="0" applyNumberFormat="1" applyFont="1" applyFill="1" applyAlignment="1">
      <alignment horizontal="center" vertical="center"/>
    </xf>
    <xf numFmtId="0" fontId="9" fillId="0" borderId="0" xfId="0" applyFont="1" applyBorder="1" applyAlignment="1">
      <alignment horizontal="left" vertical="center" wrapText="1" shrinkToFit="1"/>
    </xf>
    <xf numFmtId="0" fontId="8" fillId="0" borderId="0" xfId="0" applyFont="1" applyAlignment="1">
      <alignment horizontal="left" vertical="top" wrapText="1"/>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8" fillId="0" borderId="1" xfId="0" applyFont="1" applyBorder="1" applyAlignment="1">
      <alignment horizontal="left" vertical="top" wrapText="1"/>
    </xf>
    <xf numFmtId="38" fontId="8" fillId="0" borderId="1" xfId="2" applyFont="1" applyBorder="1" applyAlignment="1">
      <alignment horizontal="right" vertical="center"/>
    </xf>
    <xf numFmtId="0" fontId="10" fillId="0" borderId="1" xfId="0" applyFont="1" applyBorder="1" applyAlignment="1">
      <alignment horizontal="left" vertical="top" wrapText="1"/>
    </xf>
    <xf numFmtId="38" fontId="10" fillId="0" borderId="1" xfId="2" applyFont="1" applyBorder="1" applyAlignment="1">
      <alignment horizontal="right" vertical="center"/>
    </xf>
    <xf numFmtId="0" fontId="8" fillId="0" borderId="0" xfId="0" quotePrefix="1" applyFont="1" applyAlignment="1">
      <alignment horizontal="center" vertical="center"/>
    </xf>
    <xf numFmtId="0" fontId="8" fillId="0" borderId="0" xfId="0" applyFont="1" applyAlignment="1">
      <alignment vertical="center"/>
    </xf>
    <xf numFmtId="0" fontId="8" fillId="0" borderId="0" xfId="0" quotePrefix="1"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right"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jpeg"/><Relationship Id="rId1"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editAs="oneCell">
    <xdr:from>
      <xdr:col>0</xdr:col>
      <xdr:colOff>323849</xdr:colOff>
      <xdr:row>78</xdr:row>
      <xdr:rowOff>76200</xdr:rowOff>
    </xdr:from>
    <xdr:to>
      <xdr:col>11</xdr:col>
      <xdr:colOff>504824</xdr:colOff>
      <xdr:row>111</xdr:row>
      <xdr:rowOff>112258</xdr:rowOff>
    </xdr:to>
    <xdr:pic>
      <xdr:nvPicPr>
        <xdr:cNvPr id="122" name="図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
        <a:stretch>
          <a:fillRect/>
        </a:stretch>
      </xdr:blipFill>
      <xdr:spPr>
        <a:xfrm>
          <a:off x="323849" y="13449300"/>
          <a:ext cx="7724775" cy="5693908"/>
        </a:xfrm>
        <a:prstGeom prst="rect">
          <a:avLst/>
        </a:prstGeom>
      </xdr:spPr>
    </xdr:pic>
    <xdr:clientData/>
  </xdr:twoCellAnchor>
  <xdr:twoCellAnchor editAs="oneCell">
    <xdr:from>
      <xdr:col>10</xdr:col>
      <xdr:colOff>190500</xdr:colOff>
      <xdr:row>1</xdr:row>
      <xdr:rowOff>38100</xdr:rowOff>
    </xdr:from>
    <xdr:to>
      <xdr:col>14</xdr:col>
      <xdr:colOff>238515</xdr:colOff>
      <xdr:row>38</xdr:row>
      <xdr:rowOff>86617</xdr:rowOff>
    </xdr:to>
    <xdr:pic>
      <xdr:nvPicPr>
        <xdr:cNvPr id="105" name="図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2"/>
        <a:stretch>
          <a:fillRect/>
        </a:stretch>
      </xdr:blipFill>
      <xdr:spPr>
        <a:xfrm>
          <a:off x="7048500" y="209550"/>
          <a:ext cx="2791215" cy="6392167"/>
        </a:xfrm>
        <a:prstGeom prst="rect">
          <a:avLst/>
        </a:prstGeom>
      </xdr:spPr>
    </xdr:pic>
    <xdr:clientData/>
  </xdr:twoCellAnchor>
  <xdr:twoCellAnchor editAs="oneCell">
    <xdr:from>
      <xdr:col>0</xdr:col>
      <xdr:colOff>0</xdr:colOff>
      <xdr:row>0</xdr:row>
      <xdr:rowOff>0</xdr:rowOff>
    </xdr:from>
    <xdr:to>
      <xdr:col>9</xdr:col>
      <xdr:colOff>222241</xdr:colOff>
      <xdr:row>31</xdr:row>
      <xdr:rowOff>47625</xdr:rowOff>
    </xdr:to>
    <xdr:pic>
      <xdr:nvPicPr>
        <xdr:cNvPr id="101" name="図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394441" cy="536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504826</xdr:colOff>
      <xdr:row>12</xdr:row>
      <xdr:rowOff>0</xdr:rowOff>
    </xdr:from>
    <xdr:to>
      <xdr:col>6</xdr:col>
      <xdr:colOff>628650</xdr:colOff>
      <xdr:row>12</xdr:row>
      <xdr:rowOff>0</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bwMode="auto">
        <a:xfrm flipH="1">
          <a:off x="3933826" y="2057400"/>
          <a:ext cx="809624" cy="0"/>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sm" len="sm"/>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571500</xdr:colOff>
      <xdr:row>12</xdr:row>
      <xdr:rowOff>0</xdr:rowOff>
    </xdr:from>
    <xdr:to>
      <xdr:col>6</xdr:col>
      <xdr:colOff>571500</xdr:colOff>
      <xdr:row>22</xdr:row>
      <xdr:rowOff>161925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bwMode="auto">
        <a:xfrm>
          <a:off x="4686300" y="2057400"/>
          <a:ext cx="0" cy="187642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523875</xdr:colOff>
      <xdr:row>16</xdr:row>
      <xdr:rowOff>104775</xdr:rowOff>
    </xdr:from>
    <xdr:to>
      <xdr:col>7</xdr:col>
      <xdr:colOff>638175</xdr:colOff>
      <xdr:row>17</xdr:row>
      <xdr:rowOff>161925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638675" y="2847975"/>
          <a:ext cx="8001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Hmin</a:t>
          </a:r>
          <a:endParaRPr kumimoji="1" lang="ja-JP" altLang="en-US" sz="1100"/>
        </a:p>
      </xdr:txBody>
    </xdr:sp>
    <xdr:clientData/>
  </xdr:twoCellAnchor>
  <xdr:twoCellAnchor>
    <xdr:from>
      <xdr:col>6</xdr:col>
      <xdr:colOff>666750</xdr:colOff>
      <xdr:row>21</xdr:row>
      <xdr:rowOff>104775</xdr:rowOff>
    </xdr:from>
    <xdr:to>
      <xdr:col>8</xdr:col>
      <xdr:colOff>66675</xdr:colOff>
      <xdr:row>22</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781550" y="3705225"/>
          <a:ext cx="7715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（地際）</a:t>
          </a:r>
        </a:p>
      </xdr:txBody>
    </xdr:sp>
    <xdr:clientData/>
  </xdr:twoCellAnchor>
  <xdr:twoCellAnchor>
    <xdr:from>
      <xdr:col>7</xdr:col>
      <xdr:colOff>619125</xdr:colOff>
      <xdr:row>15</xdr:row>
      <xdr:rowOff>66675</xdr:rowOff>
    </xdr:from>
    <xdr:to>
      <xdr:col>9</xdr:col>
      <xdr:colOff>228600</xdr:colOff>
      <xdr:row>17</xdr:row>
      <xdr:rowOff>114300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5419725" y="2638425"/>
          <a:ext cx="981075" cy="390525"/>
        </a:xfrm>
        <a:prstGeom prst="rect">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sm" len="sm"/>
          <a:tailEnd type="none" w="med" len="med"/>
        </a:ln>
        <a:effectLst/>
      </xdr:spPr>
      <xdr:txBody>
        <a:bodyPr vertOverflow="clip" horzOverflow="clip" wrap="square" lIns="18288" tIns="0" rIns="0" bIns="0" rtlCol="0" anchor="t" upright="1"/>
        <a:lstStyle/>
        <a:p>
          <a:pPr algn="l"/>
          <a:r>
            <a:rPr kumimoji="1" lang="ja-JP" altLang="en-US" sz="1100"/>
            <a:t>歩道：</a:t>
          </a:r>
          <a:r>
            <a:rPr kumimoji="1" lang="en-US" altLang="ja-JP" sz="1100"/>
            <a:t>3.0m</a:t>
          </a:r>
          <a:r>
            <a:rPr kumimoji="1" lang="ja-JP" altLang="en-US" sz="1100"/>
            <a:t>以上</a:t>
          </a:r>
          <a:endParaRPr kumimoji="1" lang="en-US" altLang="ja-JP" sz="1100"/>
        </a:p>
        <a:p>
          <a:pPr algn="l"/>
          <a:r>
            <a:rPr kumimoji="1" lang="ja-JP" altLang="en-US" sz="1100"/>
            <a:t>車道：</a:t>
          </a:r>
          <a:r>
            <a:rPr kumimoji="1" lang="en-US" altLang="ja-JP" sz="1100"/>
            <a:t>5.0m</a:t>
          </a:r>
          <a:r>
            <a:rPr kumimoji="1" lang="ja-JP" altLang="en-US" sz="1100"/>
            <a:t>以上</a:t>
          </a:r>
        </a:p>
      </xdr:txBody>
    </xdr:sp>
    <xdr:clientData/>
  </xdr:twoCellAnchor>
  <xdr:twoCellAnchor>
    <xdr:from>
      <xdr:col>6</xdr:col>
      <xdr:colOff>657225</xdr:colOff>
      <xdr:row>17</xdr:row>
      <xdr:rowOff>152400</xdr:rowOff>
    </xdr:from>
    <xdr:to>
      <xdr:col>8</xdr:col>
      <xdr:colOff>276226</xdr:colOff>
      <xdr:row>18</xdr:row>
      <xdr:rowOff>88364</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bwMode="auto">
        <a:xfrm flipH="1">
          <a:off x="4772025" y="3067050"/>
          <a:ext cx="990601" cy="107414"/>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sm" len="sm"/>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xdr:col>
      <xdr:colOff>295275</xdr:colOff>
      <xdr:row>14</xdr:row>
      <xdr:rowOff>28575</xdr:rowOff>
    </xdr:from>
    <xdr:ext cx="325730" cy="27571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81075" y="24288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①</a:t>
          </a:r>
        </a:p>
      </xdr:txBody>
    </xdr:sp>
    <xdr:clientData/>
  </xdr:oneCellAnchor>
  <xdr:oneCellAnchor>
    <xdr:from>
      <xdr:col>2</xdr:col>
      <xdr:colOff>390525</xdr:colOff>
      <xdr:row>10</xdr:row>
      <xdr:rowOff>76200</xdr:rowOff>
    </xdr:from>
    <xdr:ext cx="276225" cy="275717"/>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762125" y="1790700"/>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②</a:t>
          </a:r>
        </a:p>
      </xdr:txBody>
    </xdr:sp>
    <xdr:clientData/>
  </xdr:oneCellAnchor>
  <xdr:oneCellAnchor>
    <xdr:from>
      <xdr:col>5</xdr:col>
      <xdr:colOff>466725</xdr:colOff>
      <xdr:row>15</xdr:row>
      <xdr:rowOff>95250</xdr:rowOff>
    </xdr:from>
    <xdr:ext cx="276225" cy="275717"/>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95725" y="2667000"/>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③</a:t>
          </a:r>
        </a:p>
      </xdr:txBody>
    </xdr:sp>
    <xdr:clientData/>
  </xdr:oneCellAnchor>
  <xdr:oneCellAnchor>
    <xdr:from>
      <xdr:col>6</xdr:col>
      <xdr:colOff>314325</xdr:colOff>
      <xdr:row>0</xdr:row>
      <xdr:rowOff>76200</xdr:rowOff>
    </xdr:from>
    <xdr:ext cx="276225" cy="275717"/>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429125" y="76200"/>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④</a:t>
          </a:r>
        </a:p>
      </xdr:txBody>
    </xdr:sp>
    <xdr:clientData/>
  </xdr:oneCellAnchor>
  <xdr:oneCellAnchor>
    <xdr:from>
      <xdr:col>12</xdr:col>
      <xdr:colOff>609600</xdr:colOff>
      <xdr:row>28</xdr:row>
      <xdr:rowOff>76200</xdr:rowOff>
    </xdr:from>
    <xdr:ext cx="276225" cy="275717"/>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839200" y="4876800"/>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⑤</a:t>
          </a:r>
        </a:p>
      </xdr:txBody>
    </xdr:sp>
    <xdr:clientData/>
  </xdr:oneCellAnchor>
  <xdr:oneCellAnchor>
    <xdr:from>
      <xdr:col>13</xdr:col>
      <xdr:colOff>152400</xdr:colOff>
      <xdr:row>28</xdr:row>
      <xdr:rowOff>66675</xdr:rowOff>
    </xdr:from>
    <xdr:ext cx="276225" cy="275717"/>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9067800" y="4867275"/>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⑥</a:t>
          </a:r>
        </a:p>
      </xdr:txBody>
    </xdr:sp>
    <xdr:clientData/>
  </xdr:oneCellAnchor>
  <xdr:oneCellAnchor>
    <xdr:from>
      <xdr:col>13</xdr:col>
      <xdr:colOff>504825</xdr:colOff>
      <xdr:row>28</xdr:row>
      <xdr:rowOff>66675</xdr:rowOff>
    </xdr:from>
    <xdr:ext cx="276225" cy="275717"/>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9420225" y="4867275"/>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⑧</a:t>
          </a:r>
        </a:p>
      </xdr:txBody>
    </xdr:sp>
    <xdr:clientData/>
  </xdr:oneCellAnchor>
  <xdr:twoCellAnchor editAs="oneCell">
    <xdr:from>
      <xdr:col>0</xdr:col>
      <xdr:colOff>476250</xdr:colOff>
      <xdr:row>115</xdr:row>
      <xdr:rowOff>57150</xdr:rowOff>
    </xdr:from>
    <xdr:to>
      <xdr:col>7</xdr:col>
      <xdr:colOff>362604</xdr:colOff>
      <xdr:row>136</xdr:row>
      <xdr:rowOff>105284</xdr:rowOff>
    </xdr:to>
    <xdr:pic>
      <xdr:nvPicPr>
        <xdr:cNvPr id="108" name="図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4"/>
        <a:stretch>
          <a:fillRect/>
        </a:stretch>
      </xdr:blipFill>
      <xdr:spPr>
        <a:xfrm>
          <a:off x="476250" y="19773900"/>
          <a:ext cx="4686954" cy="3648584"/>
        </a:xfrm>
        <a:prstGeom prst="rect">
          <a:avLst/>
        </a:prstGeom>
      </xdr:spPr>
    </xdr:pic>
    <xdr:clientData/>
  </xdr:twoCellAnchor>
  <xdr:twoCellAnchor editAs="oneCell">
    <xdr:from>
      <xdr:col>0</xdr:col>
      <xdr:colOff>104775</xdr:colOff>
      <xdr:row>39</xdr:row>
      <xdr:rowOff>28575</xdr:rowOff>
    </xdr:from>
    <xdr:to>
      <xdr:col>8</xdr:col>
      <xdr:colOff>277015</xdr:colOff>
      <xdr:row>77</xdr:row>
      <xdr:rowOff>905</xdr:rowOff>
    </xdr:to>
    <xdr:pic>
      <xdr:nvPicPr>
        <xdr:cNvPr id="109" name="図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5"/>
        <a:stretch>
          <a:fillRect/>
        </a:stretch>
      </xdr:blipFill>
      <xdr:spPr>
        <a:xfrm>
          <a:off x="104775" y="6715125"/>
          <a:ext cx="5658640" cy="6487430"/>
        </a:xfrm>
        <a:prstGeom prst="rect">
          <a:avLst/>
        </a:prstGeom>
      </xdr:spPr>
    </xdr:pic>
    <xdr:clientData/>
  </xdr:twoCellAnchor>
  <xdr:oneCellAnchor>
    <xdr:from>
      <xdr:col>4</xdr:col>
      <xdr:colOff>9525</xdr:colOff>
      <xdr:row>74</xdr:row>
      <xdr:rowOff>57150</xdr:rowOff>
    </xdr:from>
    <xdr:ext cx="838200" cy="275717"/>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752725" y="12744450"/>
          <a:ext cx="838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⑨</a:t>
          </a:r>
          <a:r>
            <a:rPr kumimoji="1" lang="en-US" altLang="ja-JP" sz="1100">
              <a:solidFill>
                <a:srgbClr val="FF0000"/>
              </a:solidFill>
            </a:rPr>
            <a:t>0.68kg</a:t>
          </a:r>
          <a:endParaRPr kumimoji="1" lang="ja-JP" altLang="en-US" sz="1100">
            <a:solidFill>
              <a:srgbClr val="FF0000"/>
            </a:solidFill>
          </a:endParaRPr>
        </a:p>
      </xdr:txBody>
    </xdr:sp>
    <xdr:clientData/>
  </xdr:oneCellAnchor>
  <xdr:oneCellAnchor>
    <xdr:from>
      <xdr:col>4</xdr:col>
      <xdr:colOff>142875</xdr:colOff>
      <xdr:row>16</xdr:row>
      <xdr:rowOff>123825</xdr:rowOff>
    </xdr:from>
    <xdr:ext cx="276225" cy="275717"/>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886075" y="2867025"/>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⑬</a:t>
          </a:r>
        </a:p>
      </xdr:txBody>
    </xdr:sp>
    <xdr:clientData/>
  </xdr:oneCellAnchor>
  <xdr:oneCellAnchor>
    <xdr:from>
      <xdr:col>3</xdr:col>
      <xdr:colOff>647700</xdr:colOff>
      <xdr:row>127</xdr:row>
      <xdr:rowOff>95250</xdr:rowOff>
    </xdr:from>
    <xdr:ext cx="276225" cy="275717"/>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05100" y="21869400"/>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⑭</a:t>
          </a:r>
        </a:p>
      </xdr:txBody>
    </xdr:sp>
    <xdr:clientData/>
  </xdr:oneCellAnchor>
  <xdr:oneCellAnchor>
    <xdr:from>
      <xdr:col>6</xdr:col>
      <xdr:colOff>390525</xdr:colOff>
      <xdr:row>122</xdr:row>
      <xdr:rowOff>152400</xdr:rowOff>
    </xdr:from>
    <xdr:ext cx="276225" cy="275717"/>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4505325" y="21069300"/>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⑮</a:t>
          </a:r>
        </a:p>
      </xdr:txBody>
    </xdr:sp>
    <xdr:clientData/>
  </xdr:oneCellAnchor>
  <xdr:oneCellAnchor>
    <xdr:from>
      <xdr:col>1</xdr:col>
      <xdr:colOff>0</xdr:colOff>
      <xdr:row>80</xdr:row>
      <xdr:rowOff>76201</xdr:rowOff>
    </xdr:from>
    <xdr:ext cx="1190625" cy="285750"/>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685800" y="13792201"/>
          <a:ext cx="119062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⑪</a:t>
          </a:r>
          <a:r>
            <a:rPr kumimoji="1" lang="en-US" altLang="ja-JP" sz="1100">
              <a:solidFill>
                <a:srgbClr val="FF0000"/>
              </a:solidFill>
            </a:rPr>
            <a:t>40×40=1600</a:t>
          </a:r>
        </a:p>
        <a:p>
          <a:endParaRPr kumimoji="1" lang="ja-JP" altLang="en-US" sz="1100">
            <a:solidFill>
              <a:srgbClr val="FF0000"/>
            </a:solidFill>
          </a:endParaRPr>
        </a:p>
      </xdr:txBody>
    </xdr:sp>
    <xdr:clientData/>
  </xdr:oneCellAnchor>
  <xdr:oneCellAnchor>
    <xdr:from>
      <xdr:col>2</xdr:col>
      <xdr:colOff>266700</xdr:colOff>
      <xdr:row>122</xdr:row>
      <xdr:rowOff>9525</xdr:rowOff>
    </xdr:from>
    <xdr:ext cx="276225" cy="275717"/>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638300" y="20926425"/>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⑯</a:t>
          </a:r>
        </a:p>
      </xdr:txBody>
    </xdr:sp>
    <xdr:clientData/>
  </xdr:oneCellAnchor>
  <xdr:oneCellAnchor>
    <xdr:from>
      <xdr:col>8</xdr:col>
      <xdr:colOff>476250</xdr:colOff>
      <xdr:row>104</xdr:row>
      <xdr:rowOff>47626</xdr:rowOff>
    </xdr:from>
    <xdr:ext cx="428625" cy="275717"/>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5962650" y="17878426"/>
          <a:ext cx="4286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⑨</a:t>
          </a:r>
        </a:p>
      </xdr:txBody>
    </xdr:sp>
    <xdr:clientData/>
  </xdr:oneCellAnchor>
  <xdr:oneCellAnchor>
    <xdr:from>
      <xdr:col>3</xdr:col>
      <xdr:colOff>447675</xdr:colOff>
      <xdr:row>96</xdr:row>
      <xdr:rowOff>152400</xdr:rowOff>
    </xdr:from>
    <xdr:ext cx="1019175" cy="275717"/>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505075" y="16611600"/>
          <a:ext cx="10191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⑩</a:t>
          </a:r>
          <a:r>
            <a:rPr kumimoji="1" lang="en-US" altLang="ja-JP" sz="1100">
              <a:solidFill>
                <a:srgbClr val="FF0000"/>
              </a:solidFill>
            </a:rPr>
            <a:t>0.2/2=0.1</a:t>
          </a:r>
          <a:endParaRPr kumimoji="1" lang="ja-JP" altLang="en-US" sz="1100">
            <a:solidFill>
              <a:srgbClr val="FF0000"/>
            </a:solidFill>
          </a:endParaRPr>
        </a:p>
      </xdr:txBody>
    </xdr:sp>
    <xdr:clientData/>
  </xdr:oneCellAnchor>
  <xdr:oneCellAnchor>
    <xdr:from>
      <xdr:col>3</xdr:col>
      <xdr:colOff>352425</xdr:colOff>
      <xdr:row>13</xdr:row>
      <xdr:rowOff>9525</xdr:rowOff>
    </xdr:from>
    <xdr:ext cx="276225" cy="275717"/>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409825" y="2238375"/>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⑬</a:t>
          </a:r>
        </a:p>
      </xdr:txBody>
    </xdr:sp>
    <xdr:clientData/>
  </xdr:oneCellAnchor>
  <xdr:twoCellAnchor>
    <xdr:from>
      <xdr:col>8</xdr:col>
      <xdr:colOff>371475</xdr:colOff>
      <xdr:row>39</xdr:row>
      <xdr:rowOff>133350</xdr:rowOff>
    </xdr:from>
    <xdr:to>
      <xdr:col>16</xdr:col>
      <xdr:colOff>658031</xdr:colOff>
      <xdr:row>56</xdr:row>
      <xdr:rowOff>105178</xdr:rowOff>
    </xdr:to>
    <xdr:grpSp>
      <xdr:nvGrpSpPr>
        <xdr:cNvPr id="123" name="グループ化 122">
          <a:extLst>
            <a:ext uri="{FF2B5EF4-FFF2-40B4-BE49-F238E27FC236}">
              <a16:creationId xmlns:a16="http://schemas.microsoft.com/office/drawing/2014/main" id="{00000000-0008-0000-0000-00007B000000}"/>
            </a:ext>
          </a:extLst>
        </xdr:cNvPr>
        <xdr:cNvGrpSpPr/>
      </xdr:nvGrpSpPr>
      <xdr:grpSpPr>
        <a:xfrm>
          <a:off x="5857875" y="6819900"/>
          <a:ext cx="5772956" cy="2886478"/>
          <a:chOff x="0" y="13373100"/>
          <a:chExt cx="5772956" cy="2886478"/>
        </a:xfrm>
      </xdr:grpSpPr>
      <xdr:pic>
        <xdr:nvPicPr>
          <xdr:cNvPr id="121" name="図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6"/>
          <a:stretch>
            <a:fillRect/>
          </a:stretch>
        </xdr:blipFill>
        <xdr:spPr>
          <a:xfrm>
            <a:off x="0" y="13373100"/>
            <a:ext cx="5772956" cy="2886478"/>
          </a:xfrm>
          <a:prstGeom prst="rect">
            <a:avLst/>
          </a:prstGeom>
        </xdr:spPr>
      </xdr:pic>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3781426" y="13496925"/>
            <a:ext cx="138112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⑩</a:t>
            </a:r>
            <a:r>
              <a:rPr kumimoji="1" lang="en-US" altLang="ja-JP" sz="1100">
                <a:solidFill>
                  <a:srgbClr val="FF0000"/>
                </a:solidFill>
              </a:rPr>
              <a:t>0.2975/2=0.149</a:t>
            </a:r>
            <a:endParaRPr kumimoji="1" lang="ja-JP" altLang="en-US" sz="1100">
              <a:solidFill>
                <a:srgbClr val="FF0000"/>
              </a:solidFill>
            </a:endParaRPr>
          </a:p>
        </xdr:txBody>
      </xdr:sp>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3409951" y="15840075"/>
            <a:ext cx="181927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⑪</a:t>
            </a:r>
            <a:r>
              <a:rPr kumimoji="1" lang="en-US" altLang="ja-JP" sz="1100">
                <a:solidFill>
                  <a:srgbClr val="FF0000"/>
                </a:solidFill>
              </a:rPr>
              <a:t>8.45×29.75=251.39</a:t>
            </a:r>
            <a:endParaRPr kumimoji="1" lang="ja-JP" altLang="en-US" sz="1100">
              <a:solidFill>
                <a:srgbClr val="FF0000"/>
              </a:solidFill>
            </a:endParaRPr>
          </a:p>
        </xdr:txBody>
      </xdr:sp>
    </xdr:grpSp>
    <xdr:clientData/>
  </xdr:twoCellAnchor>
  <xdr:twoCellAnchor editAs="oneCell">
    <xdr:from>
      <xdr:col>9</xdr:col>
      <xdr:colOff>76200</xdr:colOff>
      <xdr:row>116</xdr:row>
      <xdr:rowOff>0</xdr:rowOff>
    </xdr:from>
    <xdr:to>
      <xdr:col>16</xdr:col>
      <xdr:colOff>533400</xdr:colOff>
      <xdr:row>136</xdr:row>
      <xdr:rowOff>15766</xdr:rowOff>
    </xdr:to>
    <xdr:pic>
      <xdr:nvPicPr>
        <xdr:cNvPr id="124" name="図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7"/>
        <a:stretch>
          <a:fillRect/>
        </a:stretch>
      </xdr:blipFill>
      <xdr:spPr>
        <a:xfrm>
          <a:off x="6248400" y="19888200"/>
          <a:ext cx="5257800" cy="3444766"/>
        </a:xfrm>
        <a:prstGeom prst="rect">
          <a:avLst/>
        </a:prstGeom>
      </xdr:spPr>
    </xdr:pic>
    <xdr:clientData/>
  </xdr:twoCellAnchor>
  <xdr:oneCellAnchor>
    <xdr:from>
      <xdr:col>12</xdr:col>
      <xdr:colOff>228600</xdr:colOff>
      <xdr:row>131</xdr:row>
      <xdr:rowOff>142875</xdr:rowOff>
    </xdr:from>
    <xdr:ext cx="276225" cy="275717"/>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8458200" y="22602825"/>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⑰</a:t>
          </a:r>
        </a:p>
      </xdr:txBody>
    </xdr:sp>
    <xdr:clientData/>
  </xdr:oneCellAnchor>
  <xdr:oneCellAnchor>
    <xdr:from>
      <xdr:col>16</xdr:col>
      <xdr:colOff>180975</xdr:colOff>
      <xdr:row>124</xdr:row>
      <xdr:rowOff>57150</xdr:rowOff>
    </xdr:from>
    <xdr:ext cx="276225" cy="275717"/>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1153775" y="21316950"/>
          <a:ext cx="276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⑱</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257175</xdr:colOff>
      <xdr:row>307</xdr:row>
      <xdr:rowOff>19050</xdr:rowOff>
    </xdr:from>
    <xdr:to>
      <xdr:col>5</xdr:col>
      <xdr:colOff>628650</xdr:colOff>
      <xdr:row>307</xdr:row>
      <xdr:rowOff>19050</xdr:rowOff>
    </xdr:to>
    <xdr:sp macro="" textlink="">
      <xdr:nvSpPr>
        <xdr:cNvPr id="2" name="Line 5">
          <a:extLst>
            <a:ext uri="{FF2B5EF4-FFF2-40B4-BE49-F238E27FC236}">
              <a16:creationId xmlns:a16="http://schemas.microsoft.com/office/drawing/2014/main" id="{00000000-0008-0000-0100-000002000000}"/>
            </a:ext>
          </a:extLst>
        </xdr:cNvPr>
        <xdr:cNvSpPr>
          <a:spLocks noChangeShapeType="1"/>
        </xdr:cNvSpPr>
      </xdr:nvSpPr>
      <xdr:spPr bwMode="auto">
        <a:xfrm>
          <a:off x="3743325" y="19030950"/>
          <a:ext cx="37147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142875</xdr:colOff>
      <xdr:row>313</xdr:row>
      <xdr:rowOff>133350</xdr:rowOff>
    </xdr:from>
    <xdr:to>
      <xdr:col>13</xdr:col>
      <xdr:colOff>400050</xdr:colOff>
      <xdr:row>315</xdr:row>
      <xdr:rowOff>104775</xdr:rowOff>
    </xdr:to>
    <xdr:sp macro="" textlink="">
      <xdr:nvSpPr>
        <xdr:cNvPr id="3" name="Rectangle 7">
          <a:extLst>
            <a:ext uri="{FF2B5EF4-FFF2-40B4-BE49-F238E27FC236}">
              <a16:creationId xmlns:a16="http://schemas.microsoft.com/office/drawing/2014/main" id="{00000000-0008-0000-0100-000003000000}"/>
            </a:ext>
          </a:extLst>
        </xdr:cNvPr>
        <xdr:cNvSpPr>
          <a:spLocks noChangeArrowheads="1"/>
        </xdr:cNvSpPr>
      </xdr:nvSpPr>
      <xdr:spPr bwMode="auto">
        <a:xfrm>
          <a:off x="142875" y="20373975"/>
          <a:ext cx="11591925" cy="781050"/>
        </a:xfrm>
        <a:prstGeom prst="rect">
          <a:avLst/>
        </a:prstGeom>
        <a:noFill/>
        <a:ln w="381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371475</xdr:colOff>
      <xdr:row>320</xdr:row>
      <xdr:rowOff>9525</xdr:rowOff>
    </xdr:from>
    <xdr:to>
      <xdr:col>2</xdr:col>
      <xdr:colOff>371475</xdr:colOff>
      <xdr:row>338</xdr:row>
      <xdr:rowOff>171450</xdr:rowOff>
    </xdr:to>
    <xdr:sp macro="" textlink="">
      <xdr:nvSpPr>
        <xdr:cNvPr id="4" name="Line 8">
          <a:extLst>
            <a:ext uri="{FF2B5EF4-FFF2-40B4-BE49-F238E27FC236}">
              <a16:creationId xmlns:a16="http://schemas.microsoft.com/office/drawing/2014/main" id="{00000000-0008-0000-0100-000004000000}"/>
            </a:ext>
          </a:extLst>
        </xdr:cNvPr>
        <xdr:cNvSpPr>
          <a:spLocks noChangeShapeType="1"/>
        </xdr:cNvSpPr>
      </xdr:nvSpPr>
      <xdr:spPr bwMode="auto">
        <a:xfrm>
          <a:off x="885825" y="22021800"/>
          <a:ext cx="0" cy="3248025"/>
        </a:xfrm>
        <a:prstGeom prst="line">
          <a:avLst/>
        </a:prstGeom>
        <a:noFill/>
        <a:ln w="381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171450</xdr:colOff>
      <xdr:row>324</xdr:row>
      <xdr:rowOff>9525</xdr:rowOff>
    </xdr:from>
    <xdr:to>
      <xdr:col>6</xdr:col>
      <xdr:colOff>523875</xdr:colOff>
      <xdr:row>324</xdr:row>
      <xdr:rowOff>9525</xdr:rowOff>
    </xdr:to>
    <xdr:sp macro="" textlink="">
      <xdr:nvSpPr>
        <xdr:cNvPr id="5" name="Line 9">
          <a:extLst>
            <a:ext uri="{FF2B5EF4-FFF2-40B4-BE49-F238E27FC236}">
              <a16:creationId xmlns:a16="http://schemas.microsoft.com/office/drawing/2014/main" id="{00000000-0008-0000-0100-000005000000}"/>
            </a:ext>
          </a:extLst>
        </xdr:cNvPr>
        <xdr:cNvSpPr>
          <a:spLocks noChangeShapeType="1"/>
        </xdr:cNvSpPr>
      </xdr:nvSpPr>
      <xdr:spPr bwMode="auto">
        <a:xfrm>
          <a:off x="4648200" y="22707600"/>
          <a:ext cx="35242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361950</xdr:colOff>
      <xdr:row>307</xdr:row>
      <xdr:rowOff>0</xdr:rowOff>
    </xdr:from>
    <xdr:to>
      <xdr:col>7</xdr:col>
      <xdr:colOff>371475</xdr:colOff>
      <xdr:row>307</xdr:row>
      <xdr:rowOff>0</xdr:rowOff>
    </xdr:to>
    <xdr:sp macro="" textlink="">
      <xdr:nvSpPr>
        <xdr:cNvPr id="6" name="Line 50">
          <a:extLst>
            <a:ext uri="{FF2B5EF4-FFF2-40B4-BE49-F238E27FC236}">
              <a16:creationId xmlns:a16="http://schemas.microsoft.com/office/drawing/2014/main" id="{00000000-0008-0000-0100-000006000000}"/>
            </a:ext>
          </a:extLst>
        </xdr:cNvPr>
        <xdr:cNvSpPr>
          <a:spLocks noChangeShapeType="1"/>
        </xdr:cNvSpPr>
      </xdr:nvSpPr>
      <xdr:spPr bwMode="auto">
        <a:xfrm>
          <a:off x="4838700" y="19011900"/>
          <a:ext cx="100012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514350</xdr:colOff>
      <xdr:row>306</xdr:row>
      <xdr:rowOff>85725</xdr:rowOff>
    </xdr:from>
    <xdr:to>
      <xdr:col>8</xdr:col>
      <xdr:colOff>104775</xdr:colOff>
      <xdr:row>307</xdr:row>
      <xdr:rowOff>123825</xdr:rowOff>
    </xdr:to>
    <xdr:sp macro="" textlink="" fLocksText="0">
      <xdr:nvSpPr>
        <xdr:cNvPr id="7" name="Text Box 51">
          <a:extLst>
            <a:ext uri="{FF2B5EF4-FFF2-40B4-BE49-F238E27FC236}">
              <a16:creationId xmlns:a16="http://schemas.microsoft.com/office/drawing/2014/main" id="{00000000-0008-0000-0100-000007000000}"/>
            </a:ext>
          </a:extLst>
        </xdr:cNvPr>
        <xdr:cNvSpPr txBox="1">
          <a:spLocks noChangeArrowheads="1"/>
        </xdr:cNvSpPr>
      </xdr:nvSpPr>
      <xdr:spPr bwMode="auto">
        <a:xfrm>
          <a:off x="5981700" y="18926175"/>
          <a:ext cx="58102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38100</xdr:colOff>
      <xdr:row>306</xdr:row>
      <xdr:rowOff>85725</xdr:rowOff>
    </xdr:from>
    <xdr:to>
      <xdr:col>6</xdr:col>
      <xdr:colOff>419100</xdr:colOff>
      <xdr:row>307</xdr:row>
      <xdr:rowOff>123825</xdr:rowOff>
    </xdr:to>
    <xdr:sp macro="" textlink="" fLocksText="0">
      <xdr:nvSpPr>
        <xdr:cNvPr id="8" name="Text Box 52">
          <a:extLst>
            <a:ext uri="{FF2B5EF4-FFF2-40B4-BE49-F238E27FC236}">
              <a16:creationId xmlns:a16="http://schemas.microsoft.com/office/drawing/2014/main" id="{00000000-0008-0000-0100-000008000000}"/>
            </a:ext>
          </a:extLst>
        </xdr:cNvPr>
        <xdr:cNvSpPr txBox="1">
          <a:spLocks noChangeArrowheads="1"/>
        </xdr:cNvSpPr>
      </xdr:nvSpPr>
      <xdr:spPr bwMode="auto">
        <a:xfrm>
          <a:off x="4514850" y="18926175"/>
          <a:ext cx="381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7</xdr:col>
      <xdr:colOff>276225</xdr:colOff>
      <xdr:row>323</xdr:row>
      <xdr:rowOff>85725</xdr:rowOff>
    </xdr:from>
    <xdr:to>
      <xdr:col>7</xdr:col>
      <xdr:colOff>657225</xdr:colOff>
      <xdr:row>324</xdr:row>
      <xdr:rowOff>123825</xdr:rowOff>
    </xdr:to>
    <xdr:sp macro="" textlink="" fLocksText="0">
      <xdr:nvSpPr>
        <xdr:cNvPr id="9" name="Text Box 53">
          <a:extLst>
            <a:ext uri="{FF2B5EF4-FFF2-40B4-BE49-F238E27FC236}">
              <a16:creationId xmlns:a16="http://schemas.microsoft.com/office/drawing/2014/main" id="{00000000-0008-0000-0100-000009000000}"/>
            </a:ext>
          </a:extLst>
        </xdr:cNvPr>
        <xdr:cNvSpPr txBox="1">
          <a:spLocks noChangeArrowheads="1"/>
        </xdr:cNvSpPr>
      </xdr:nvSpPr>
      <xdr:spPr bwMode="auto">
        <a:xfrm>
          <a:off x="5743575" y="22612350"/>
          <a:ext cx="381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76200</xdr:colOff>
      <xdr:row>324</xdr:row>
      <xdr:rowOff>0</xdr:rowOff>
    </xdr:from>
    <xdr:to>
      <xdr:col>9</xdr:col>
      <xdr:colOff>9525</xdr:colOff>
      <xdr:row>324</xdr:row>
      <xdr:rowOff>0</xdr:rowOff>
    </xdr:to>
    <xdr:sp macro="" textlink="">
      <xdr:nvSpPr>
        <xdr:cNvPr id="10" name="Line 54">
          <a:extLst>
            <a:ext uri="{FF2B5EF4-FFF2-40B4-BE49-F238E27FC236}">
              <a16:creationId xmlns:a16="http://schemas.microsoft.com/office/drawing/2014/main" id="{00000000-0008-0000-0100-00000A000000}"/>
            </a:ext>
          </a:extLst>
        </xdr:cNvPr>
        <xdr:cNvSpPr>
          <a:spLocks noChangeShapeType="1"/>
        </xdr:cNvSpPr>
      </xdr:nvSpPr>
      <xdr:spPr bwMode="auto">
        <a:xfrm>
          <a:off x="6534150" y="22698075"/>
          <a:ext cx="92392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85725</xdr:colOff>
      <xdr:row>323</xdr:row>
      <xdr:rowOff>76200</xdr:rowOff>
    </xdr:from>
    <xdr:to>
      <xdr:col>9</xdr:col>
      <xdr:colOff>304800</xdr:colOff>
      <xdr:row>324</xdr:row>
      <xdr:rowOff>114300</xdr:rowOff>
    </xdr:to>
    <xdr:sp macro="" textlink="" fLocksText="0">
      <xdr:nvSpPr>
        <xdr:cNvPr id="11" name="Text Box 55">
          <a:extLst>
            <a:ext uri="{FF2B5EF4-FFF2-40B4-BE49-F238E27FC236}">
              <a16:creationId xmlns:a16="http://schemas.microsoft.com/office/drawing/2014/main" id="{00000000-0008-0000-0100-00000B000000}"/>
            </a:ext>
          </a:extLst>
        </xdr:cNvPr>
        <xdr:cNvSpPr txBox="1">
          <a:spLocks noChangeArrowheads="1"/>
        </xdr:cNvSpPr>
      </xdr:nvSpPr>
      <xdr:spPr bwMode="auto">
        <a:xfrm>
          <a:off x="7534275" y="22602825"/>
          <a:ext cx="2190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695325</xdr:colOff>
      <xdr:row>323</xdr:row>
      <xdr:rowOff>76200</xdr:rowOff>
    </xdr:from>
    <xdr:to>
      <xdr:col>11</xdr:col>
      <xdr:colOff>152400</xdr:colOff>
      <xdr:row>324</xdr:row>
      <xdr:rowOff>171450</xdr:rowOff>
    </xdr:to>
    <xdr:sp macro="" textlink="" fLocksText="0">
      <xdr:nvSpPr>
        <xdr:cNvPr id="12" name="Text Box 56">
          <a:extLst>
            <a:ext uri="{FF2B5EF4-FFF2-40B4-BE49-F238E27FC236}">
              <a16:creationId xmlns:a16="http://schemas.microsoft.com/office/drawing/2014/main" id="{00000000-0008-0000-0100-00000C000000}"/>
            </a:ext>
          </a:extLst>
        </xdr:cNvPr>
        <xdr:cNvSpPr txBox="1">
          <a:spLocks noChangeArrowheads="1"/>
        </xdr:cNvSpPr>
      </xdr:nvSpPr>
      <xdr:spPr bwMode="auto">
        <a:xfrm>
          <a:off x="9134475" y="22602825"/>
          <a:ext cx="447675"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N</a:t>
          </a:r>
        </a:p>
      </xdr:txBody>
    </xdr:sp>
    <xdr:clientData/>
  </xdr:twoCellAnchor>
  <xdr:twoCellAnchor>
    <xdr:from>
      <xdr:col>7</xdr:col>
      <xdr:colOff>571500</xdr:colOff>
      <xdr:row>343</xdr:row>
      <xdr:rowOff>85725</xdr:rowOff>
    </xdr:from>
    <xdr:to>
      <xdr:col>8</xdr:col>
      <xdr:colOff>95250</xdr:colOff>
      <xdr:row>344</xdr:row>
      <xdr:rowOff>123825</xdr:rowOff>
    </xdr:to>
    <xdr:sp macro="" textlink="" fLocksText="0">
      <xdr:nvSpPr>
        <xdr:cNvPr id="13" name="Text Box 57">
          <a:extLst>
            <a:ext uri="{FF2B5EF4-FFF2-40B4-BE49-F238E27FC236}">
              <a16:creationId xmlns:a16="http://schemas.microsoft.com/office/drawing/2014/main" id="{00000000-0008-0000-0100-00000D000000}"/>
            </a:ext>
          </a:extLst>
        </xdr:cNvPr>
        <xdr:cNvSpPr txBox="1">
          <a:spLocks noChangeArrowheads="1"/>
        </xdr:cNvSpPr>
      </xdr:nvSpPr>
      <xdr:spPr bwMode="auto">
        <a:xfrm>
          <a:off x="6038850" y="26146125"/>
          <a:ext cx="51435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xdr:col>
      <xdr:colOff>485775</xdr:colOff>
      <xdr:row>265</xdr:row>
      <xdr:rowOff>66675</xdr:rowOff>
    </xdr:from>
    <xdr:to>
      <xdr:col>2</xdr:col>
      <xdr:colOff>485775</xdr:colOff>
      <xdr:row>282</xdr:row>
      <xdr:rowOff>95250</xdr:rowOff>
    </xdr:to>
    <xdr:sp macro="" textlink="">
      <xdr:nvSpPr>
        <xdr:cNvPr id="14" name="Line 58">
          <a:extLst>
            <a:ext uri="{FF2B5EF4-FFF2-40B4-BE49-F238E27FC236}">
              <a16:creationId xmlns:a16="http://schemas.microsoft.com/office/drawing/2014/main" id="{00000000-0008-0000-0100-00000E000000}"/>
            </a:ext>
          </a:extLst>
        </xdr:cNvPr>
        <xdr:cNvSpPr>
          <a:spLocks noChangeShapeType="1"/>
        </xdr:cNvSpPr>
      </xdr:nvSpPr>
      <xdr:spPr bwMode="auto">
        <a:xfrm flipH="1">
          <a:off x="1000125" y="11115675"/>
          <a:ext cx="0" cy="3590925"/>
        </a:xfrm>
        <a:prstGeom prst="line">
          <a:avLst/>
        </a:prstGeom>
        <a:noFill/>
        <a:ln w="381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428625</xdr:colOff>
      <xdr:row>679</xdr:row>
      <xdr:rowOff>38100</xdr:rowOff>
    </xdr:from>
    <xdr:to>
      <xdr:col>10</xdr:col>
      <xdr:colOff>228600</xdr:colOff>
      <xdr:row>679</xdr:row>
      <xdr:rowOff>38100</xdr:rowOff>
    </xdr:to>
    <xdr:sp macro="" textlink="">
      <xdr:nvSpPr>
        <xdr:cNvPr id="15" name="Line 79">
          <a:extLst>
            <a:ext uri="{FF2B5EF4-FFF2-40B4-BE49-F238E27FC236}">
              <a16:creationId xmlns:a16="http://schemas.microsoft.com/office/drawing/2014/main" id="{00000000-0008-0000-0100-00000F000000}"/>
            </a:ext>
          </a:extLst>
        </xdr:cNvPr>
        <xdr:cNvSpPr>
          <a:spLocks noChangeShapeType="1"/>
        </xdr:cNvSpPr>
      </xdr:nvSpPr>
      <xdr:spPr bwMode="auto">
        <a:xfrm>
          <a:off x="7877175" y="84439125"/>
          <a:ext cx="79057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76200</xdr:colOff>
      <xdr:row>344</xdr:row>
      <xdr:rowOff>9525</xdr:rowOff>
    </xdr:from>
    <xdr:to>
      <xdr:col>5</xdr:col>
      <xdr:colOff>447675</xdr:colOff>
      <xdr:row>344</xdr:row>
      <xdr:rowOff>9525</xdr:rowOff>
    </xdr:to>
    <xdr:sp macro="" textlink="">
      <xdr:nvSpPr>
        <xdr:cNvPr id="16" name="Line 80">
          <a:extLst>
            <a:ext uri="{FF2B5EF4-FFF2-40B4-BE49-F238E27FC236}">
              <a16:creationId xmlns:a16="http://schemas.microsoft.com/office/drawing/2014/main" id="{00000000-0008-0000-0100-000010000000}"/>
            </a:ext>
          </a:extLst>
        </xdr:cNvPr>
        <xdr:cNvSpPr>
          <a:spLocks noChangeShapeType="1"/>
        </xdr:cNvSpPr>
      </xdr:nvSpPr>
      <xdr:spPr bwMode="auto">
        <a:xfrm>
          <a:off x="3562350" y="26241375"/>
          <a:ext cx="37147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343</xdr:row>
      <xdr:rowOff>76200</xdr:rowOff>
    </xdr:from>
    <xdr:to>
      <xdr:col>6</xdr:col>
      <xdr:colOff>171450</xdr:colOff>
      <xdr:row>344</xdr:row>
      <xdr:rowOff>114300</xdr:rowOff>
    </xdr:to>
    <xdr:sp macro="" textlink="" fLocksText="0">
      <xdr:nvSpPr>
        <xdr:cNvPr id="17" name="Text Box 81">
          <a:extLst>
            <a:ext uri="{FF2B5EF4-FFF2-40B4-BE49-F238E27FC236}">
              <a16:creationId xmlns:a16="http://schemas.microsoft.com/office/drawing/2014/main" id="{00000000-0008-0000-0100-000011000000}"/>
            </a:ext>
          </a:extLst>
        </xdr:cNvPr>
        <xdr:cNvSpPr txBox="1">
          <a:spLocks noChangeArrowheads="1"/>
        </xdr:cNvSpPr>
      </xdr:nvSpPr>
      <xdr:spPr bwMode="auto">
        <a:xfrm>
          <a:off x="4029075" y="26136600"/>
          <a:ext cx="61912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257175</xdr:colOff>
      <xdr:row>344</xdr:row>
      <xdr:rowOff>0</xdr:rowOff>
    </xdr:from>
    <xdr:to>
      <xdr:col>7</xdr:col>
      <xdr:colOff>361950</xdr:colOff>
      <xdr:row>344</xdr:row>
      <xdr:rowOff>0</xdr:rowOff>
    </xdr:to>
    <xdr:sp macro="" textlink="">
      <xdr:nvSpPr>
        <xdr:cNvPr id="18" name="Line 82">
          <a:extLst>
            <a:ext uri="{FF2B5EF4-FFF2-40B4-BE49-F238E27FC236}">
              <a16:creationId xmlns:a16="http://schemas.microsoft.com/office/drawing/2014/main" id="{00000000-0008-0000-0100-000012000000}"/>
            </a:ext>
          </a:extLst>
        </xdr:cNvPr>
        <xdr:cNvSpPr>
          <a:spLocks noChangeShapeType="1"/>
        </xdr:cNvSpPr>
      </xdr:nvSpPr>
      <xdr:spPr bwMode="auto">
        <a:xfrm>
          <a:off x="4733925" y="26231850"/>
          <a:ext cx="109537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171450</xdr:colOff>
      <xdr:row>0</xdr:row>
      <xdr:rowOff>190501</xdr:rowOff>
    </xdr:from>
    <xdr:to>
      <xdr:col>12</xdr:col>
      <xdr:colOff>142875</xdr:colOff>
      <xdr:row>1</xdr:row>
      <xdr:rowOff>200026</xdr:rowOff>
    </xdr:to>
    <xdr:sp macro="" textlink="" fLocksText="0">
      <xdr:nvSpPr>
        <xdr:cNvPr id="19" name="テキスト ボックス 84">
          <a:extLst>
            <a:ext uri="{FF2B5EF4-FFF2-40B4-BE49-F238E27FC236}">
              <a16:creationId xmlns:a16="http://schemas.microsoft.com/office/drawing/2014/main" id="{00000000-0008-0000-0100-000013000000}"/>
            </a:ext>
          </a:extLst>
        </xdr:cNvPr>
        <xdr:cNvSpPr>
          <a:spLocks noChangeArrowheads="1"/>
        </xdr:cNvSpPr>
      </xdr:nvSpPr>
      <xdr:spPr bwMode="auto">
        <a:xfrm>
          <a:off x="381000" y="190501"/>
          <a:ext cx="12182475" cy="304800"/>
        </a:xfrm>
        <a:prstGeom prst="roundRect">
          <a:avLst>
            <a:gd name="adj" fmla="val 16667"/>
          </a:avLst>
        </a:prstGeom>
        <a:solidFill>
          <a:srgbClr val="FFFFFF"/>
        </a:solidFill>
        <a:ln w="9360" cap="flat">
          <a:solidFill>
            <a:srgbClr val="0D0D0D"/>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ctr" rtl="0">
            <a:defRPr sz="1000"/>
          </a:pPr>
          <a:r>
            <a:rPr lang="ja-JP" altLang="en-US" sz="1100" b="1" i="0" u="none" strike="noStrike" baseline="0">
              <a:solidFill>
                <a:srgbClr val="000000"/>
              </a:solidFill>
              <a:latin typeface="ＭＳ Ｐゴシック"/>
              <a:ea typeface="ＭＳ Ｐゴシック"/>
            </a:rPr>
            <a:t>　福岡市道路占用申請における鋼管ポールの強度計算及び基礎の設定（</a:t>
          </a:r>
          <a:r>
            <a:rPr lang="en-US" altLang="ja-JP" sz="1100" b="1" i="0" u="none" strike="noStrike" baseline="0">
              <a:solidFill>
                <a:srgbClr val="000000"/>
              </a:solidFill>
              <a:latin typeface="ＭＳ Ｐゴシック"/>
              <a:ea typeface="ＭＳ Ｐゴシック"/>
            </a:rPr>
            <a:t>Ver.</a:t>
          </a:r>
          <a:r>
            <a:rPr lang="ja-JP" altLang="en-US" sz="1100" b="1" i="0" u="none" strike="noStrike" baseline="0">
              <a:solidFill>
                <a:srgbClr val="000000"/>
              </a:solidFill>
              <a:latin typeface="ＭＳ Ｐゴシック"/>
              <a:ea typeface="ＭＳ Ｐゴシック"/>
            </a:rPr>
            <a:t>２）</a:t>
          </a:r>
          <a:endParaRPr lang="en-US" altLang="ja-JP" sz="1100" b="1" i="0" u="none" strike="noStrike" baseline="0">
            <a:solidFill>
              <a:srgbClr val="000000"/>
            </a:solidFill>
            <a:latin typeface="ＭＳ Ｐゴシック"/>
            <a:ea typeface="ＭＳ Ｐゴシック"/>
          </a:endParaRPr>
        </a:p>
        <a:p>
          <a:pPr algn="ctr" rtl="0">
            <a:defRPr sz="1000"/>
          </a:pP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0</xdr:col>
      <xdr:colOff>142875</xdr:colOff>
      <xdr:row>354</xdr:row>
      <xdr:rowOff>85725</xdr:rowOff>
    </xdr:from>
    <xdr:to>
      <xdr:col>13</xdr:col>
      <xdr:colOff>400050</xdr:colOff>
      <xdr:row>356</xdr:row>
      <xdr:rowOff>38100</xdr:rowOff>
    </xdr:to>
    <xdr:sp macro="" textlink="">
      <xdr:nvSpPr>
        <xdr:cNvPr id="20" name="Rectangle 1">
          <a:extLst>
            <a:ext uri="{FF2B5EF4-FFF2-40B4-BE49-F238E27FC236}">
              <a16:creationId xmlns:a16="http://schemas.microsoft.com/office/drawing/2014/main" id="{00000000-0008-0000-0100-000014000000}"/>
            </a:ext>
          </a:extLst>
        </xdr:cNvPr>
        <xdr:cNvSpPr>
          <a:spLocks noChangeArrowheads="1"/>
        </xdr:cNvSpPr>
      </xdr:nvSpPr>
      <xdr:spPr bwMode="auto">
        <a:xfrm>
          <a:off x="142875" y="27974925"/>
          <a:ext cx="11591925" cy="771525"/>
        </a:xfrm>
        <a:prstGeom prst="rect">
          <a:avLst/>
        </a:prstGeom>
        <a:noFill/>
        <a:ln w="38160">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371475</xdr:colOff>
      <xdr:row>360</xdr:row>
      <xdr:rowOff>9525</xdr:rowOff>
    </xdr:from>
    <xdr:to>
      <xdr:col>2</xdr:col>
      <xdr:colOff>371475</xdr:colOff>
      <xdr:row>369</xdr:row>
      <xdr:rowOff>133350</xdr:rowOff>
    </xdr:to>
    <xdr:sp macro="" textlink="">
      <xdr:nvSpPr>
        <xdr:cNvPr id="21" name="Line 6">
          <a:extLst>
            <a:ext uri="{FF2B5EF4-FFF2-40B4-BE49-F238E27FC236}">
              <a16:creationId xmlns:a16="http://schemas.microsoft.com/office/drawing/2014/main" id="{00000000-0008-0000-0100-000015000000}"/>
            </a:ext>
          </a:extLst>
        </xdr:cNvPr>
        <xdr:cNvSpPr>
          <a:spLocks noChangeShapeType="1"/>
        </xdr:cNvSpPr>
      </xdr:nvSpPr>
      <xdr:spPr bwMode="auto">
        <a:xfrm>
          <a:off x="885825" y="29403675"/>
          <a:ext cx="0" cy="1685925"/>
        </a:xfrm>
        <a:prstGeom prst="line">
          <a:avLst/>
        </a:prstGeom>
        <a:noFill/>
        <a:ln w="381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390525</xdr:colOff>
      <xdr:row>383</xdr:row>
      <xdr:rowOff>95250</xdr:rowOff>
    </xdr:from>
    <xdr:to>
      <xdr:col>2</xdr:col>
      <xdr:colOff>390525</xdr:colOff>
      <xdr:row>414</xdr:row>
      <xdr:rowOff>104775</xdr:rowOff>
    </xdr:to>
    <xdr:sp macro="" textlink="">
      <xdr:nvSpPr>
        <xdr:cNvPr id="22" name="Line 6">
          <a:extLst>
            <a:ext uri="{FF2B5EF4-FFF2-40B4-BE49-F238E27FC236}">
              <a16:creationId xmlns:a16="http://schemas.microsoft.com/office/drawing/2014/main" id="{00000000-0008-0000-0100-000016000000}"/>
            </a:ext>
          </a:extLst>
        </xdr:cNvPr>
        <xdr:cNvSpPr>
          <a:spLocks noChangeShapeType="1"/>
        </xdr:cNvSpPr>
      </xdr:nvSpPr>
      <xdr:spPr bwMode="auto">
        <a:xfrm>
          <a:off x="904875" y="33528000"/>
          <a:ext cx="0" cy="5429250"/>
        </a:xfrm>
        <a:prstGeom prst="line">
          <a:avLst/>
        </a:prstGeom>
        <a:noFill/>
        <a:ln w="381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381000</xdr:colOff>
      <xdr:row>371</xdr:row>
      <xdr:rowOff>95250</xdr:rowOff>
    </xdr:from>
    <xdr:to>
      <xdr:col>2</xdr:col>
      <xdr:colOff>381000</xdr:colOff>
      <xdr:row>380</xdr:row>
      <xdr:rowOff>161925</xdr:rowOff>
    </xdr:to>
    <xdr:sp macro="" textlink="">
      <xdr:nvSpPr>
        <xdr:cNvPr id="23" name="Line 6">
          <a:extLst>
            <a:ext uri="{FF2B5EF4-FFF2-40B4-BE49-F238E27FC236}">
              <a16:creationId xmlns:a16="http://schemas.microsoft.com/office/drawing/2014/main" id="{00000000-0008-0000-0100-000017000000}"/>
            </a:ext>
          </a:extLst>
        </xdr:cNvPr>
        <xdr:cNvSpPr>
          <a:spLocks noChangeShapeType="1"/>
        </xdr:cNvSpPr>
      </xdr:nvSpPr>
      <xdr:spPr bwMode="auto">
        <a:xfrm>
          <a:off x="895350" y="31394400"/>
          <a:ext cx="0" cy="1685925"/>
        </a:xfrm>
        <a:prstGeom prst="line">
          <a:avLst/>
        </a:prstGeom>
        <a:noFill/>
        <a:ln w="381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381000</xdr:colOff>
      <xdr:row>416</xdr:row>
      <xdr:rowOff>95250</xdr:rowOff>
    </xdr:from>
    <xdr:to>
      <xdr:col>2</xdr:col>
      <xdr:colOff>381000</xdr:colOff>
      <xdr:row>440</xdr:row>
      <xdr:rowOff>95250</xdr:rowOff>
    </xdr:to>
    <xdr:sp macro="" textlink="">
      <xdr:nvSpPr>
        <xdr:cNvPr id="24" name="Line 6">
          <a:extLst>
            <a:ext uri="{FF2B5EF4-FFF2-40B4-BE49-F238E27FC236}">
              <a16:creationId xmlns:a16="http://schemas.microsoft.com/office/drawing/2014/main" id="{00000000-0008-0000-0100-000018000000}"/>
            </a:ext>
          </a:extLst>
        </xdr:cNvPr>
        <xdr:cNvSpPr>
          <a:spLocks noChangeShapeType="1"/>
        </xdr:cNvSpPr>
      </xdr:nvSpPr>
      <xdr:spPr bwMode="auto">
        <a:xfrm>
          <a:off x="895350" y="39290625"/>
          <a:ext cx="0" cy="4152900"/>
        </a:xfrm>
        <a:prstGeom prst="line">
          <a:avLst/>
        </a:prstGeom>
        <a:noFill/>
        <a:ln w="381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371475</xdr:colOff>
      <xdr:row>442</xdr:row>
      <xdr:rowOff>66675</xdr:rowOff>
    </xdr:from>
    <xdr:to>
      <xdr:col>2</xdr:col>
      <xdr:colOff>371475</xdr:colOff>
      <xdr:row>452</xdr:row>
      <xdr:rowOff>133350</xdr:rowOff>
    </xdr:to>
    <xdr:sp macro="" textlink="">
      <xdr:nvSpPr>
        <xdr:cNvPr id="25" name="Line 6">
          <a:extLst>
            <a:ext uri="{FF2B5EF4-FFF2-40B4-BE49-F238E27FC236}">
              <a16:creationId xmlns:a16="http://schemas.microsoft.com/office/drawing/2014/main" id="{00000000-0008-0000-0100-000019000000}"/>
            </a:ext>
          </a:extLst>
        </xdr:cNvPr>
        <xdr:cNvSpPr>
          <a:spLocks noChangeShapeType="1"/>
        </xdr:cNvSpPr>
      </xdr:nvSpPr>
      <xdr:spPr bwMode="auto">
        <a:xfrm>
          <a:off x="885825" y="43757850"/>
          <a:ext cx="0" cy="1819275"/>
        </a:xfrm>
        <a:prstGeom prst="line">
          <a:avLst/>
        </a:prstGeom>
        <a:noFill/>
        <a:ln w="381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66675</xdr:colOff>
      <xdr:row>294</xdr:row>
      <xdr:rowOff>19050</xdr:rowOff>
    </xdr:from>
    <xdr:to>
      <xdr:col>5</xdr:col>
      <xdr:colOff>276225</xdr:colOff>
      <xdr:row>294</xdr:row>
      <xdr:rowOff>19050</xdr:rowOff>
    </xdr:to>
    <xdr:sp macro="" textlink="">
      <xdr:nvSpPr>
        <xdr:cNvPr id="26" name="Line 5">
          <a:extLst>
            <a:ext uri="{FF2B5EF4-FFF2-40B4-BE49-F238E27FC236}">
              <a16:creationId xmlns:a16="http://schemas.microsoft.com/office/drawing/2014/main" id="{00000000-0008-0000-0100-00001A000000}"/>
            </a:ext>
          </a:extLst>
        </xdr:cNvPr>
        <xdr:cNvSpPr>
          <a:spLocks noChangeShapeType="1"/>
        </xdr:cNvSpPr>
      </xdr:nvSpPr>
      <xdr:spPr bwMode="auto">
        <a:xfrm>
          <a:off x="3552825" y="16821150"/>
          <a:ext cx="20955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57150</xdr:colOff>
      <xdr:row>294</xdr:row>
      <xdr:rowOff>9525</xdr:rowOff>
    </xdr:from>
    <xdr:to>
      <xdr:col>7</xdr:col>
      <xdr:colOff>866775</xdr:colOff>
      <xdr:row>294</xdr:row>
      <xdr:rowOff>9525</xdr:rowOff>
    </xdr:to>
    <xdr:sp macro="" textlink="">
      <xdr:nvSpPr>
        <xdr:cNvPr id="27" name="Line 50">
          <a:extLst>
            <a:ext uri="{FF2B5EF4-FFF2-40B4-BE49-F238E27FC236}">
              <a16:creationId xmlns:a16="http://schemas.microsoft.com/office/drawing/2014/main" id="{00000000-0008-0000-0100-00001B000000}"/>
            </a:ext>
          </a:extLst>
        </xdr:cNvPr>
        <xdr:cNvSpPr>
          <a:spLocks noChangeShapeType="1"/>
        </xdr:cNvSpPr>
      </xdr:nvSpPr>
      <xdr:spPr bwMode="auto">
        <a:xfrm>
          <a:off x="5524500" y="16811625"/>
          <a:ext cx="80962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382467</xdr:colOff>
      <xdr:row>293</xdr:row>
      <xdr:rowOff>71072</xdr:rowOff>
    </xdr:from>
    <xdr:to>
      <xdr:col>6</xdr:col>
      <xdr:colOff>659425</xdr:colOff>
      <xdr:row>294</xdr:row>
      <xdr:rowOff>109172</xdr:rowOff>
    </xdr:to>
    <xdr:sp macro="" textlink="" fLocksText="0">
      <xdr:nvSpPr>
        <xdr:cNvPr id="28" name="Text Box 51">
          <a:extLst>
            <a:ext uri="{FF2B5EF4-FFF2-40B4-BE49-F238E27FC236}">
              <a16:creationId xmlns:a16="http://schemas.microsoft.com/office/drawing/2014/main" id="{00000000-0008-0000-0100-00001C000000}"/>
            </a:ext>
          </a:extLst>
        </xdr:cNvPr>
        <xdr:cNvSpPr txBox="1">
          <a:spLocks noChangeArrowheads="1"/>
        </xdr:cNvSpPr>
      </xdr:nvSpPr>
      <xdr:spPr bwMode="auto">
        <a:xfrm>
          <a:off x="4859217" y="16701722"/>
          <a:ext cx="276958"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323851</xdr:colOff>
      <xdr:row>293</xdr:row>
      <xdr:rowOff>85725</xdr:rowOff>
    </xdr:from>
    <xdr:to>
      <xdr:col>5</xdr:col>
      <xdr:colOff>704851</xdr:colOff>
      <xdr:row>294</xdr:row>
      <xdr:rowOff>123825</xdr:rowOff>
    </xdr:to>
    <xdr:sp macro="" textlink="" fLocksText="0">
      <xdr:nvSpPr>
        <xdr:cNvPr id="29" name="Text Box 52">
          <a:extLst>
            <a:ext uri="{FF2B5EF4-FFF2-40B4-BE49-F238E27FC236}">
              <a16:creationId xmlns:a16="http://schemas.microsoft.com/office/drawing/2014/main" id="{00000000-0008-0000-0100-00001D000000}"/>
            </a:ext>
          </a:extLst>
        </xdr:cNvPr>
        <xdr:cNvSpPr txBox="1">
          <a:spLocks noChangeArrowheads="1"/>
        </xdr:cNvSpPr>
      </xdr:nvSpPr>
      <xdr:spPr bwMode="auto">
        <a:xfrm>
          <a:off x="3810001" y="16716375"/>
          <a:ext cx="381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495300</xdr:colOff>
      <xdr:row>293</xdr:row>
      <xdr:rowOff>171450</xdr:rowOff>
    </xdr:from>
    <xdr:to>
      <xdr:col>6</xdr:col>
      <xdr:colOff>19050</xdr:colOff>
      <xdr:row>294</xdr:row>
      <xdr:rowOff>9525</xdr:rowOff>
    </xdr:to>
    <xdr:sp macro="" textlink="">
      <xdr:nvSpPr>
        <xdr:cNvPr id="30" name="Line 5">
          <a:extLst>
            <a:ext uri="{FF2B5EF4-FFF2-40B4-BE49-F238E27FC236}">
              <a16:creationId xmlns:a16="http://schemas.microsoft.com/office/drawing/2014/main" id="{00000000-0008-0000-0100-00001E000000}"/>
            </a:ext>
          </a:extLst>
        </xdr:cNvPr>
        <xdr:cNvSpPr>
          <a:spLocks noChangeShapeType="1"/>
        </xdr:cNvSpPr>
      </xdr:nvSpPr>
      <xdr:spPr bwMode="auto">
        <a:xfrm>
          <a:off x="3981450" y="16802100"/>
          <a:ext cx="514350" cy="95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209550</xdr:colOff>
      <xdr:row>294</xdr:row>
      <xdr:rowOff>19050</xdr:rowOff>
    </xdr:from>
    <xdr:to>
      <xdr:col>8</xdr:col>
      <xdr:colOff>781050</xdr:colOff>
      <xdr:row>294</xdr:row>
      <xdr:rowOff>19050</xdr:rowOff>
    </xdr:to>
    <xdr:sp macro="" textlink="">
      <xdr:nvSpPr>
        <xdr:cNvPr id="31" name="Line 50">
          <a:extLst>
            <a:ext uri="{FF2B5EF4-FFF2-40B4-BE49-F238E27FC236}">
              <a16:creationId xmlns:a16="http://schemas.microsoft.com/office/drawing/2014/main" id="{00000000-0008-0000-0100-00001F000000}"/>
            </a:ext>
          </a:extLst>
        </xdr:cNvPr>
        <xdr:cNvSpPr>
          <a:spLocks noChangeShapeType="1"/>
        </xdr:cNvSpPr>
      </xdr:nvSpPr>
      <xdr:spPr bwMode="auto">
        <a:xfrm>
          <a:off x="6667500" y="16821150"/>
          <a:ext cx="5715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945172</xdr:colOff>
      <xdr:row>293</xdr:row>
      <xdr:rowOff>73270</xdr:rowOff>
    </xdr:from>
    <xdr:to>
      <xdr:col>8</xdr:col>
      <xdr:colOff>337038</xdr:colOff>
      <xdr:row>294</xdr:row>
      <xdr:rowOff>111370</xdr:rowOff>
    </xdr:to>
    <xdr:sp macro="" textlink="" fLocksText="0">
      <xdr:nvSpPr>
        <xdr:cNvPr id="32" name="Text Box 52">
          <a:extLst>
            <a:ext uri="{FF2B5EF4-FFF2-40B4-BE49-F238E27FC236}">
              <a16:creationId xmlns:a16="http://schemas.microsoft.com/office/drawing/2014/main" id="{00000000-0008-0000-0100-000020000000}"/>
            </a:ext>
          </a:extLst>
        </xdr:cNvPr>
        <xdr:cNvSpPr txBox="1">
          <a:spLocks noChangeArrowheads="1"/>
        </xdr:cNvSpPr>
      </xdr:nvSpPr>
      <xdr:spPr bwMode="auto">
        <a:xfrm>
          <a:off x="6412522" y="16703920"/>
          <a:ext cx="382466"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930521</xdr:colOff>
      <xdr:row>293</xdr:row>
      <xdr:rowOff>76934</xdr:rowOff>
    </xdr:from>
    <xdr:to>
      <xdr:col>9</xdr:col>
      <xdr:colOff>218344</xdr:colOff>
      <xdr:row>294</xdr:row>
      <xdr:rowOff>115034</xdr:rowOff>
    </xdr:to>
    <xdr:sp macro="" textlink="" fLocksText="0">
      <xdr:nvSpPr>
        <xdr:cNvPr id="33" name="Text Box 51">
          <a:extLst>
            <a:ext uri="{FF2B5EF4-FFF2-40B4-BE49-F238E27FC236}">
              <a16:creationId xmlns:a16="http://schemas.microsoft.com/office/drawing/2014/main" id="{00000000-0008-0000-0100-000021000000}"/>
            </a:ext>
          </a:extLst>
        </xdr:cNvPr>
        <xdr:cNvSpPr txBox="1">
          <a:spLocks noChangeArrowheads="1"/>
        </xdr:cNvSpPr>
      </xdr:nvSpPr>
      <xdr:spPr bwMode="auto">
        <a:xfrm>
          <a:off x="7388471" y="16707584"/>
          <a:ext cx="278423"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16</xdr:col>
      <xdr:colOff>0</xdr:colOff>
      <xdr:row>50</xdr:row>
      <xdr:rowOff>9525</xdr:rowOff>
    </xdr:from>
    <xdr:to>
      <xdr:col>16</xdr:col>
      <xdr:colOff>19050</xdr:colOff>
      <xdr:row>50</xdr:row>
      <xdr:rowOff>9525</xdr:rowOff>
    </xdr:to>
    <xdr:cxnSp macro="">
      <xdr:nvCxnSpPr>
        <xdr:cNvPr id="35" name="直線コネクタ 6">
          <a:extLst>
            <a:ext uri="{FF2B5EF4-FFF2-40B4-BE49-F238E27FC236}">
              <a16:creationId xmlns:a16="http://schemas.microsoft.com/office/drawing/2014/main" id="{00000000-0008-0000-0100-000023000000}"/>
            </a:ext>
          </a:extLst>
        </xdr:cNvPr>
        <xdr:cNvCxnSpPr>
          <a:cxnSpLocks noChangeShapeType="1"/>
        </xdr:cNvCxnSpPr>
      </xdr:nvCxnSpPr>
      <xdr:spPr bwMode="auto">
        <a:xfrm>
          <a:off x="9372600" y="5086350"/>
          <a:ext cx="19812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1181101</xdr:colOff>
      <xdr:row>49</xdr:row>
      <xdr:rowOff>138516</xdr:rowOff>
    </xdr:from>
    <xdr:to>
      <xdr:col>8</xdr:col>
      <xdr:colOff>9525</xdr:colOff>
      <xdr:row>57</xdr:row>
      <xdr:rowOff>82812</xdr:rowOff>
    </xdr:to>
    <xdr:pic>
      <xdr:nvPicPr>
        <xdr:cNvPr id="71" name="図 70">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1"/>
        <a:stretch>
          <a:fillRect/>
        </a:stretch>
      </xdr:blipFill>
      <xdr:spPr>
        <a:xfrm>
          <a:off x="5429251" y="10758891"/>
          <a:ext cx="2686049" cy="1468296"/>
        </a:xfrm>
        <a:prstGeom prst="rect">
          <a:avLst/>
        </a:prstGeom>
      </xdr:spPr>
    </xdr:pic>
    <xdr:clientData/>
  </xdr:twoCellAnchor>
  <xdr:twoCellAnchor editAs="oneCell">
    <xdr:from>
      <xdr:col>9</xdr:col>
      <xdr:colOff>190500</xdr:colOff>
      <xdr:row>23</xdr:row>
      <xdr:rowOff>28575</xdr:rowOff>
    </xdr:from>
    <xdr:to>
      <xdr:col>11</xdr:col>
      <xdr:colOff>605309</xdr:colOff>
      <xdr:row>38</xdr:row>
      <xdr:rowOff>104775</xdr:rowOff>
    </xdr:to>
    <xdr:pic>
      <xdr:nvPicPr>
        <xdr:cNvPr id="114" name="図 113">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2"/>
        <a:stretch>
          <a:fillRect/>
        </a:stretch>
      </xdr:blipFill>
      <xdr:spPr>
        <a:xfrm>
          <a:off x="9734550" y="4362450"/>
          <a:ext cx="2986559" cy="2933700"/>
        </a:xfrm>
        <a:prstGeom prst="rect">
          <a:avLst/>
        </a:prstGeom>
      </xdr:spPr>
    </xdr:pic>
    <xdr:clientData/>
  </xdr:twoCellAnchor>
  <xdr:twoCellAnchor editAs="oneCell">
    <xdr:from>
      <xdr:col>10</xdr:col>
      <xdr:colOff>38100</xdr:colOff>
      <xdr:row>40</xdr:row>
      <xdr:rowOff>76199</xdr:rowOff>
    </xdr:from>
    <xdr:to>
      <xdr:col>12</xdr:col>
      <xdr:colOff>359646</xdr:colOff>
      <xdr:row>49</xdr:row>
      <xdr:rowOff>123824</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3"/>
        <a:stretch>
          <a:fillRect/>
        </a:stretch>
      </xdr:blipFill>
      <xdr:spPr>
        <a:xfrm>
          <a:off x="10839450" y="8362949"/>
          <a:ext cx="2893296" cy="1762125"/>
        </a:xfrm>
        <a:prstGeom prst="rect">
          <a:avLst/>
        </a:prstGeom>
      </xdr:spPr>
    </xdr:pic>
    <xdr:clientData/>
  </xdr:twoCellAnchor>
  <xdr:twoCellAnchor editAs="oneCell">
    <xdr:from>
      <xdr:col>7</xdr:col>
      <xdr:colOff>285751</xdr:colOff>
      <xdr:row>87</xdr:row>
      <xdr:rowOff>57150</xdr:rowOff>
    </xdr:from>
    <xdr:to>
      <xdr:col>8</xdr:col>
      <xdr:colOff>981076</xdr:colOff>
      <xdr:row>100</xdr:row>
      <xdr:rowOff>48895</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4"/>
        <a:stretch>
          <a:fillRect/>
        </a:stretch>
      </xdr:blipFill>
      <xdr:spPr>
        <a:xfrm>
          <a:off x="7229476" y="17726025"/>
          <a:ext cx="1981200" cy="2468245"/>
        </a:xfrm>
        <a:prstGeom prst="rect">
          <a:avLst/>
        </a:prstGeom>
      </xdr:spPr>
    </xdr:pic>
    <xdr:clientData/>
  </xdr:twoCellAnchor>
  <xdr:twoCellAnchor editAs="oneCell">
    <xdr:from>
      <xdr:col>7</xdr:col>
      <xdr:colOff>857250</xdr:colOff>
      <xdr:row>40</xdr:row>
      <xdr:rowOff>19050</xdr:rowOff>
    </xdr:from>
    <xdr:to>
      <xdr:col>9</xdr:col>
      <xdr:colOff>533400</xdr:colOff>
      <xdr:row>50</xdr:row>
      <xdr:rowOff>27048</xdr:rowOff>
    </xdr:to>
    <xdr:pic>
      <xdr:nvPicPr>
        <xdr:cNvPr id="40" name="図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5"/>
        <a:stretch>
          <a:fillRect/>
        </a:stretch>
      </xdr:blipFill>
      <xdr:spPr>
        <a:xfrm>
          <a:off x="7800975" y="8305800"/>
          <a:ext cx="2247900" cy="1912998"/>
        </a:xfrm>
        <a:prstGeom prst="rect">
          <a:avLst/>
        </a:prstGeom>
      </xdr:spPr>
    </xdr:pic>
    <xdr:clientData/>
  </xdr:twoCellAnchor>
  <xdr:twoCellAnchor editAs="oneCell">
    <xdr:from>
      <xdr:col>5</xdr:col>
      <xdr:colOff>257175</xdr:colOff>
      <xdr:row>87</xdr:row>
      <xdr:rowOff>28575</xdr:rowOff>
    </xdr:from>
    <xdr:to>
      <xdr:col>6</xdr:col>
      <xdr:colOff>1000125</xdr:colOff>
      <xdr:row>100</xdr:row>
      <xdr:rowOff>118661</xdr:rowOff>
    </xdr:to>
    <xdr:pic>
      <xdr:nvPicPr>
        <xdr:cNvPr id="41" name="図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6"/>
        <a:stretch>
          <a:fillRect/>
        </a:stretch>
      </xdr:blipFill>
      <xdr:spPr>
        <a:xfrm>
          <a:off x="4629150" y="17697450"/>
          <a:ext cx="2028825" cy="2566586"/>
        </a:xfrm>
        <a:prstGeom prst="rect">
          <a:avLst/>
        </a:prstGeom>
      </xdr:spPr>
    </xdr:pic>
    <xdr:clientData/>
  </xdr:twoCellAnchor>
  <xdr:twoCellAnchor editAs="oneCell">
    <xdr:from>
      <xdr:col>3</xdr:col>
      <xdr:colOff>504826</xdr:colOff>
      <xdr:row>87</xdr:row>
      <xdr:rowOff>38100</xdr:rowOff>
    </xdr:from>
    <xdr:to>
      <xdr:col>4</xdr:col>
      <xdr:colOff>781051</xdr:colOff>
      <xdr:row>100</xdr:row>
      <xdr:rowOff>81787</xdr:rowOff>
    </xdr:to>
    <xdr:pic>
      <xdr:nvPicPr>
        <xdr:cNvPr id="42" name="図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7"/>
        <a:stretch>
          <a:fillRect/>
        </a:stretch>
      </xdr:blipFill>
      <xdr:spPr>
        <a:xfrm>
          <a:off x="2305051" y="17706975"/>
          <a:ext cx="1562100" cy="25201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31</xdr:row>
      <xdr:rowOff>28575</xdr:rowOff>
    </xdr:from>
    <xdr:to>
      <xdr:col>5</xdr:col>
      <xdr:colOff>276225</xdr:colOff>
      <xdr:row>57</xdr:row>
      <xdr:rowOff>114300</xdr:rowOff>
    </xdr:to>
    <xdr:sp macro="" textlink="">
      <xdr:nvSpPr>
        <xdr:cNvPr id="2" name="正方形/長方形 1">
          <a:extLst>
            <a:ext uri="{FF2B5EF4-FFF2-40B4-BE49-F238E27FC236}">
              <a16:creationId xmlns:a16="http://schemas.microsoft.com/office/drawing/2014/main" id="{00000000-0008-0000-0200-000002000000}"/>
            </a:ext>
          </a:extLst>
        </xdr:cNvPr>
        <xdr:cNvSpPr>
          <a:spLocks noChangeArrowheads="1"/>
        </xdr:cNvSpPr>
      </xdr:nvSpPr>
      <xdr:spPr bwMode="auto">
        <a:xfrm>
          <a:off x="3467100" y="5495925"/>
          <a:ext cx="238125" cy="4543425"/>
        </a:xfrm>
        <a:prstGeom prst="rect">
          <a:avLst/>
        </a:prstGeom>
        <a:noFill/>
        <a:ln w="1905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257175</xdr:colOff>
      <xdr:row>50</xdr:row>
      <xdr:rowOff>9525</xdr:rowOff>
    </xdr:from>
    <xdr:to>
      <xdr:col>8</xdr:col>
      <xdr:colOff>600075</xdr:colOff>
      <xdr:row>50</xdr:row>
      <xdr:rowOff>9525</xdr:rowOff>
    </xdr:to>
    <xdr:cxnSp macro="">
      <xdr:nvCxnSpPr>
        <xdr:cNvPr id="3" name="直線コネクタ 6">
          <a:extLst>
            <a:ext uri="{FF2B5EF4-FFF2-40B4-BE49-F238E27FC236}">
              <a16:creationId xmlns:a16="http://schemas.microsoft.com/office/drawing/2014/main" id="{00000000-0008-0000-0200-000003000000}"/>
            </a:ext>
          </a:extLst>
        </xdr:cNvPr>
        <xdr:cNvCxnSpPr>
          <a:cxnSpLocks noChangeShapeType="1"/>
        </xdr:cNvCxnSpPr>
      </xdr:nvCxnSpPr>
      <xdr:spPr bwMode="auto">
        <a:xfrm>
          <a:off x="1628775" y="8734425"/>
          <a:ext cx="44958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38100</xdr:colOff>
      <xdr:row>46</xdr:row>
      <xdr:rowOff>142875</xdr:rowOff>
    </xdr:from>
    <xdr:to>
      <xdr:col>5</xdr:col>
      <xdr:colOff>476250</xdr:colOff>
      <xdr:row>50</xdr:row>
      <xdr:rowOff>9525</xdr:rowOff>
    </xdr:to>
    <xdr:cxnSp macro="">
      <xdr:nvCxnSpPr>
        <xdr:cNvPr id="4" name="直線コネクタ 8">
          <a:extLst>
            <a:ext uri="{FF2B5EF4-FFF2-40B4-BE49-F238E27FC236}">
              <a16:creationId xmlns:a16="http://schemas.microsoft.com/office/drawing/2014/main" id="{00000000-0008-0000-0200-000004000000}"/>
            </a:ext>
          </a:extLst>
        </xdr:cNvPr>
        <xdr:cNvCxnSpPr>
          <a:cxnSpLocks noChangeShapeType="1"/>
        </xdr:cNvCxnSpPr>
      </xdr:nvCxnSpPr>
      <xdr:spPr bwMode="auto">
        <a:xfrm flipV="1">
          <a:off x="3467100" y="8181975"/>
          <a:ext cx="438150" cy="55245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285750</xdr:colOff>
      <xdr:row>46</xdr:row>
      <xdr:rowOff>152400</xdr:rowOff>
    </xdr:from>
    <xdr:to>
      <xdr:col>6</xdr:col>
      <xdr:colOff>38100</xdr:colOff>
      <xdr:row>50</xdr:row>
      <xdr:rowOff>19050</xdr:rowOff>
    </xdr:to>
    <xdr:cxnSp macro="">
      <xdr:nvCxnSpPr>
        <xdr:cNvPr id="5" name="直線コネクタ 9">
          <a:extLst>
            <a:ext uri="{FF2B5EF4-FFF2-40B4-BE49-F238E27FC236}">
              <a16:creationId xmlns:a16="http://schemas.microsoft.com/office/drawing/2014/main" id="{00000000-0008-0000-0200-000005000000}"/>
            </a:ext>
          </a:extLst>
        </xdr:cNvPr>
        <xdr:cNvCxnSpPr>
          <a:cxnSpLocks noChangeShapeType="1"/>
        </xdr:cNvCxnSpPr>
      </xdr:nvCxnSpPr>
      <xdr:spPr bwMode="auto">
        <a:xfrm flipV="1">
          <a:off x="3714750" y="8191500"/>
          <a:ext cx="438150" cy="55245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485775</xdr:colOff>
      <xdr:row>46</xdr:row>
      <xdr:rowOff>152400</xdr:rowOff>
    </xdr:from>
    <xdr:to>
      <xdr:col>6</xdr:col>
      <xdr:colOff>76200</xdr:colOff>
      <xdr:row>46</xdr:row>
      <xdr:rowOff>152400</xdr:rowOff>
    </xdr:to>
    <xdr:cxnSp macro="">
      <xdr:nvCxnSpPr>
        <xdr:cNvPr id="6" name="直線矢印コネクタ 11">
          <a:extLst>
            <a:ext uri="{FF2B5EF4-FFF2-40B4-BE49-F238E27FC236}">
              <a16:creationId xmlns:a16="http://schemas.microsoft.com/office/drawing/2014/main" id="{00000000-0008-0000-0200-000006000000}"/>
            </a:ext>
          </a:extLst>
        </xdr:cNvPr>
        <xdr:cNvCxnSpPr>
          <a:cxnSpLocks noChangeShapeType="1"/>
        </xdr:cNvCxnSpPr>
      </xdr:nvCxnSpPr>
      <xdr:spPr bwMode="auto">
        <a:xfrm>
          <a:off x="3914775" y="8191500"/>
          <a:ext cx="276225"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638175</xdr:colOff>
      <xdr:row>45</xdr:row>
      <xdr:rowOff>9525</xdr:rowOff>
    </xdr:from>
    <xdr:to>
      <xdr:col>6</xdr:col>
      <xdr:colOff>359019</xdr:colOff>
      <xdr:row>46</xdr:row>
      <xdr:rowOff>85725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067175" y="7877175"/>
          <a:ext cx="40664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d'</a:t>
          </a:r>
          <a:endParaRPr kumimoji="1" lang="ja-JP" altLang="en-US" sz="1100" baseline="-25000"/>
        </a:p>
      </xdr:txBody>
    </xdr:sp>
    <xdr:clientData/>
  </xdr:twoCellAnchor>
  <xdr:twoCellAnchor>
    <xdr:from>
      <xdr:col>2</xdr:col>
      <xdr:colOff>542192</xdr:colOff>
      <xdr:row>57</xdr:row>
      <xdr:rowOff>124558</xdr:rowOff>
    </xdr:from>
    <xdr:to>
      <xdr:col>5</xdr:col>
      <xdr:colOff>14654</xdr:colOff>
      <xdr:row>57</xdr:row>
      <xdr:rowOff>124558</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bwMode="auto">
        <a:xfrm flipH="1">
          <a:off x="1913792" y="10049608"/>
          <a:ext cx="1529862"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381000</xdr:colOff>
      <xdr:row>54</xdr:row>
      <xdr:rowOff>85725</xdr:rowOff>
    </xdr:from>
    <xdr:to>
      <xdr:col>5</xdr:col>
      <xdr:colOff>19050</xdr:colOff>
      <xdr:row>54</xdr:row>
      <xdr:rowOff>85725</xdr:rowOff>
    </xdr:to>
    <xdr:cxnSp macro="">
      <xdr:nvCxnSpPr>
        <xdr:cNvPr id="9" name="直線コネクタ 16">
          <a:extLst>
            <a:ext uri="{FF2B5EF4-FFF2-40B4-BE49-F238E27FC236}">
              <a16:creationId xmlns:a16="http://schemas.microsoft.com/office/drawing/2014/main" id="{00000000-0008-0000-0200-000009000000}"/>
            </a:ext>
          </a:extLst>
        </xdr:cNvPr>
        <xdr:cNvCxnSpPr>
          <a:cxnSpLocks noChangeShapeType="1"/>
        </xdr:cNvCxnSpPr>
      </xdr:nvCxnSpPr>
      <xdr:spPr bwMode="auto">
        <a:xfrm flipH="1">
          <a:off x="2438400" y="9496425"/>
          <a:ext cx="10096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9525</xdr:colOff>
      <xdr:row>31</xdr:row>
      <xdr:rowOff>9525</xdr:rowOff>
    </xdr:from>
    <xdr:to>
      <xdr:col>5</xdr:col>
      <xdr:colOff>38100</xdr:colOff>
      <xdr:row>31</xdr:row>
      <xdr:rowOff>9525</xdr:rowOff>
    </xdr:to>
    <xdr:cxnSp macro="">
      <xdr:nvCxnSpPr>
        <xdr:cNvPr id="10" name="直線コネクタ 18">
          <a:extLst>
            <a:ext uri="{FF2B5EF4-FFF2-40B4-BE49-F238E27FC236}">
              <a16:creationId xmlns:a16="http://schemas.microsoft.com/office/drawing/2014/main" id="{00000000-0008-0000-0200-00000A000000}"/>
            </a:ext>
          </a:extLst>
        </xdr:cNvPr>
        <xdr:cNvCxnSpPr>
          <a:cxnSpLocks noChangeShapeType="1"/>
        </xdr:cNvCxnSpPr>
      </xdr:nvCxnSpPr>
      <xdr:spPr bwMode="auto">
        <a:xfrm>
          <a:off x="2066925" y="5476875"/>
          <a:ext cx="140017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200025</xdr:colOff>
      <xdr:row>32</xdr:row>
      <xdr:rowOff>47625</xdr:rowOff>
    </xdr:from>
    <xdr:to>
      <xdr:col>5</xdr:col>
      <xdr:colOff>19050</xdr:colOff>
      <xdr:row>32</xdr:row>
      <xdr:rowOff>47625</xdr:rowOff>
    </xdr:to>
    <xdr:cxnSp macro="">
      <xdr:nvCxnSpPr>
        <xdr:cNvPr id="11" name="直線コネクタ 20">
          <a:extLst>
            <a:ext uri="{FF2B5EF4-FFF2-40B4-BE49-F238E27FC236}">
              <a16:creationId xmlns:a16="http://schemas.microsoft.com/office/drawing/2014/main" id="{00000000-0008-0000-0200-00000B000000}"/>
            </a:ext>
          </a:extLst>
        </xdr:cNvPr>
        <xdr:cNvCxnSpPr>
          <a:cxnSpLocks noChangeShapeType="1"/>
        </xdr:cNvCxnSpPr>
      </xdr:nvCxnSpPr>
      <xdr:spPr bwMode="auto">
        <a:xfrm flipH="1">
          <a:off x="2257425" y="5686425"/>
          <a:ext cx="119062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19050</xdr:colOff>
      <xdr:row>31</xdr:row>
      <xdr:rowOff>28575</xdr:rowOff>
    </xdr:from>
    <xdr:to>
      <xdr:col>3</xdr:col>
      <xdr:colOff>19050</xdr:colOff>
      <xdr:row>57</xdr:row>
      <xdr:rowOff>142875</xdr:rowOff>
    </xdr:to>
    <xdr:cxnSp macro="">
      <xdr:nvCxnSpPr>
        <xdr:cNvPr id="12" name="直線コネクタ 22">
          <a:extLst>
            <a:ext uri="{FF2B5EF4-FFF2-40B4-BE49-F238E27FC236}">
              <a16:creationId xmlns:a16="http://schemas.microsoft.com/office/drawing/2014/main" id="{00000000-0008-0000-0200-00000C000000}"/>
            </a:ext>
          </a:extLst>
        </xdr:cNvPr>
        <xdr:cNvCxnSpPr>
          <a:cxnSpLocks noChangeShapeType="1"/>
        </xdr:cNvCxnSpPr>
      </xdr:nvCxnSpPr>
      <xdr:spPr bwMode="auto">
        <a:xfrm>
          <a:off x="2076450" y="5495925"/>
          <a:ext cx="0" cy="45720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533400</xdr:colOff>
      <xdr:row>50</xdr:row>
      <xdr:rowOff>9525</xdr:rowOff>
    </xdr:from>
    <xdr:to>
      <xdr:col>3</xdr:col>
      <xdr:colOff>533400</xdr:colOff>
      <xdr:row>54</xdr:row>
      <xdr:rowOff>76200</xdr:rowOff>
    </xdr:to>
    <xdr:cxnSp macro="">
      <xdr:nvCxnSpPr>
        <xdr:cNvPr id="13" name="直線矢印コネクタ 25">
          <a:extLst>
            <a:ext uri="{FF2B5EF4-FFF2-40B4-BE49-F238E27FC236}">
              <a16:creationId xmlns:a16="http://schemas.microsoft.com/office/drawing/2014/main" id="{00000000-0008-0000-0200-00000D000000}"/>
            </a:ext>
          </a:extLst>
        </xdr:cNvPr>
        <xdr:cNvCxnSpPr>
          <a:cxnSpLocks noChangeShapeType="1"/>
        </xdr:cNvCxnSpPr>
      </xdr:nvCxnSpPr>
      <xdr:spPr bwMode="auto">
        <a:xfrm flipV="1">
          <a:off x="2590800" y="8734425"/>
          <a:ext cx="0" cy="75247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51</xdr:row>
      <xdr:rowOff>0</xdr:rowOff>
    </xdr:from>
    <xdr:to>
      <xdr:col>4</xdr:col>
      <xdr:colOff>409575</xdr:colOff>
      <xdr:row>52</xdr:row>
      <xdr:rowOff>76201</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743200" y="8896350"/>
          <a:ext cx="40957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a:t>
          </a:r>
          <a:r>
            <a:rPr kumimoji="1" lang="en-US" altLang="ja-JP" sz="1100" baseline="-25000"/>
            <a:t>0</a:t>
          </a:r>
          <a:endParaRPr kumimoji="1" lang="ja-JP" altLang="en-US" sz="1100" baseline="-25000"/>
        </a:p>
      </xdr:txBody>
    </xdr:sp>
    <xdr:clientData/>
  </xdr:twoCellAnchor>
  <xdr:twoCellAnchor>
    <xdr:from>
      <xdr:col>2</xdr:col>
      <xdr:colOff>561975</xdr:colOff>
      <xdr:row>50</xdr:row>
      <xdr:rowOff>19050</xdr:rowOff>
    </xdr:from>
    <xdr:to>
      <xdr:col>2</xdr:col>
      <xdr:colOff>561975</xdr:colOff>
      <xdr:row>57</xdr:row>
      <xdr:rowOff>123825</xdr:rowOff>
    </xdr:to>
    <xdr:cxnSp macro="">
      <xdr:nvCxnSpPr>
        <xdr:cNvPr id="15" name="直線矢印コネクタ 27">
          <a:extLst>
            <a:ext uri="{FF2B5EF4-FFF2-40B4-BE49-F238E27FC236}">
              <a16:creationId xmlns:a16="http://schemas.microsoft.com/office/drawing/2014/main" id="{00000000-0008-0000-0200-00000F000000}"/>
            </a:ext>
          </a:extLst>
        </xdr:cNvPr>
        <xdr:cNvCxnSpPr>
          <a:cxnSpLocks noChangeShapeType="1"/>
        </xdr:cNvCxnSpPr>
      </xdr:nvCxnSpPr>
      <xdr:spPr bwMode="auto">
        <a:xfrm flipV="1">
          <a:off x="1933575" y="8743950"/>
          <a:ext cx="0" cy="13049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168088</xdr:colOff>
      <xdr:row>52</xdr:row>
      <xdr:rowOff>58185</xdr:rowOff>
    </xdr:from>
    <xdr:to>
      <xdr:col>2</xdr:col>
      <xdr:colOff>493058</xdr:colOff>
      <xdr:row>53</xdr:row>
      <xdr:rowOff>134386</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535206" y="12339832"/>
          <a:ext cx="324970" cy="31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25000"/>
            <a:t>h0</a:t>
          </a:r>
          <a:endParaRPr kumimoji="1" lang="ja-JP" altLang="en-US" sz="1100" baseline="-25000"/>
        </a:p>
      </xdr:txBody>
    </xdr:sp>
    <xdr:clientData/>
  </xdr:twoCellAnchor>
  <xdr:twoCellAnchor>
    <xdr:from>
      <xdr:col>3</xdr:col>
      <xdr:colOff>542925</xdr:colOff>
      <xdr:row>32</xdr:row>
      <xdr:rowOff>114300</xdr:rowOff>
    </xdr:from>
    <xdr:to>
      <xdr:col>3</xdr:col>
      <xdr:colOff>552450</xdr:colOff>
      <xdr:row>50</xdr:row>
      <xdr:rowOff>19050</xdr:rowOff>
    </xdr:to>
    <xdr:cxnSp macro="">
      <xdr:nvCxnSpPr>
        <xdr:cNvPr id="17" name="直線矢印コネクタ 32">
          <a:extLst>
            <a:ext uri="{FF2B5EF4-FFF2-40B4-BE49-F238E27FC236}">
              <a16:creationId xmlns:a16="http://schemas.microsoft.com/office/drawing/2014/main" id="{00000000-0008-0000-0200-000011000000}"/>
            </a:ext>
          </a:extLst>
        </xdr:cNvPr>
        <xdr:cNvCxnSpPr>
          <a:cxnSpLocks noChangeShapeType="1"/>
        </xdr:cNvCxnSpPr>
      </xdr:nvCxnSpPr>
      <xdr:spPr bwMode="auto">
        <a:xfrm flipV="1">
          <a:off x="2600325" y="5753100"/>
          <a:ext cx="9525" cy="29908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615462</xdr:colOff>
      <xdr:row>40</xdr:row>
      <xdr:rowOff>7327</xdr:rowOff>
    </xdr:from>
    <xdr:to>
      <xdr:col>4</xdr:col>
      <xdr:colOff>414618</xdr:colOff>
      <xdr:row>41</xdr:row>
      <xdr:rowOff>83528</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666138" y="9465092"/>
          <a:ext cx="482715" cy="311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h1'</a:t>
          </a:r>
        </a:p>
        <a:p>
          <a:endParaRPr kumimoji="1" lang="ja-JP" altLang="en-US" sz="1100" baseline="0"/>
        </a:p>
      </xdr:txBody>
    </xdr:sp>
    <xdr:clientData/>
  </xdr:twoCellAnchor>
  <xdr:twoCellAnchor>
    <xdr:from>
      <xdr:col>3</xdr:col>
      <xdr:colOff>219075</xdr:colOff>
      <xdr:row>31</xdr:row>
      <xdr:rowOff>9525</xdr:rowOff>
    </xdr:from>
    <xdr:to>
      <xdr:col>3</xdr:col>
      <xdr:colOff>219075</xdr:colOff>
      <xdr:row>32</xdr:row>
      <xdr:rowOff>47625</xdr:rowOff>
    </xdr:to>
    <xdr:cxnSp macro="">
      <xdr:nvCxnSpPr>
        <xdr:cNvPr id="19" name="直線矢印コネクタ 36">
          <a:extLst>
            <a:ext uri="{FF2B5EF4-FFF2-40B4-BE49-F238E27FC236}">
              <a16:creationId xmlns:a16="http://schemas.microsoft.com/office/drawing/2014/main" id="{00000000-0008-0000-0200-000013000000}"/>
            </a:ext>
          </a:extLst>
        </xdr:cNvPr>
        <xdr:cNvCxnSpPr>
          <a:cxnSpLocks noChangeShapeType="1"/>
        </xdr:cNvCxnSpPr>
      </xdr:nvCxnSpPr>
      <xdr:spPr bwMode="auto">
        <a:xfrm>
          <a:off x="2276475" y="5476875"/>
          <a:ext cx="0" cy="2095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65944</xdr:colOff>
      <xdr:row>30</xdr:row>
      <xdr:rowOff>213774</xdr:rowOff>
    </xdr:from>
    <xdr:to>
      <xdr:col>4</xdr:col>
      <xdr:colOff>512886</xdr:colOff>
      <xdr:row>32</xdr:row>
      <xdr:rowOff>121456</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2800179" y="7318303"/>
          <a:ext cx="446942" cy="378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0.25</a:t>
          </a:r>
        </a:p>
        <a:p>
          <a:endParaRPr kumimoji="1" lang="en-US" altLang="ja-JP" sz="1100" baseline="0"/>
        </a:p>
        <a:p>
          <a:endParaRPr kumimoji="1" lang="ja-JP" altLang="en-US" sz="1100" baseline="0"/>
        </a:p>
      </xdr:txBody>
    </xdr:sp>
    <xdr:clientData/>
  </xdr:twoCellAnchor>
  <xdr:twoCellAnchor>
    <xdr:from>
      <xdr:col>5</xdr:col>
      <xdr:colOff>371475</xdr:colOff>
      <xdr:row>32</xdr:row>
      <xdr:rowOff>66675</xdr:rowOff>
    </xdr:from>
    <xdr:to>
      <xdr:col>6</xdr:col>
      <xdr:colOff>609600</xdr:colOff>
      <xdr:row>32</xdr:row>
      <xdr:rowOff>66675</xdr:rowOff>
    </xdr:to>
    <xdr:cxnSp macro="">
      <xdr:nvCxnSpPr>
        <xdr:cNvPr id="21" name="直線矢印コネクタ 40">
          <a:extLst>
            <a:ext uri="{FF2B5EF4-FFF2-40B4-BE49-F238E27FC236}">
              <a16:creationId xmlns:a16="http://schemas.microsoft.com/office/drawing/2014/main" id="{00000000-0008-0000-0200-000015000000}"/>
            </a:ext>
          </a:extLst>
        </xdr:cNvPr>
        <xdr:cNvCxnSpPr>
          <a:cxnSpLocks noChangeShapeType="1"/>
        </xdr:cNvCxnSpPr>
      </xdr:nvCxnSpPr>
      <xdr:spPr bwMode="auto">
        <a:xfrm flipH="1">
          <a:off x="3800475" y="5705475"/>
          <a:ext cx="923925"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0</xdr:colOff>
      <xdr:row>31</xdr:row>
      <xdr:rowOff>80596</xdr:rowOff>
    </xdr:from>
    <xdr:to>
      <xdr:col>7</xdr:col>
      <xdr:colOff>263769</xdr:colOff>
      <xdr:row>32</xdr:row>
      <xdr:rowOff>156797</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838700" y="5547946"/>
          <a:ext cx="263769"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P</a:t>
          </a:r>
        </a:p>
        <a:p>
          <a:endParaRPr kumimoji="1" lang="en-US" altLang="ja-JP" sz="1100" baseline="0"/>
        </a:p>
        <a:p>
          <a:endParaRPr kumimoji="1" lang="ja-JP" altLang="en-US" sz="1100" baseline="0"/>
        </a:p>
      </xdr:txBody>
    </xdr:sp>
    <xdr:clientData/>
  </xdr:twoCellAnchor>
  <xdr:twoCellAnchor editAs="oneCell">
    <xdr:from>
      <xdr:col>11</xdr:col>
      <xdr:colOff>658346</xdr:colOff>
      <xdr:row>1</xdr:row>
      <xdr:rowOff>44824</xdr:rowOff>
    </xdr:from>
    <xdr:to>
      <xdr:col>20</xdr:col>
      <xdr:colOff>308162</xdr:colOff>
      <xdr:row>20</xdr:row>
      <xdr:rowOff>210111</xdr:rowOff>
    </xdr:to>
    <xdr:pic>
      <xdr:nvPicPr>
        <xdr:cNvPr id="24" name="図 2">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7640" y="212912"/>
          <a:ext cx="5801846" cy="468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246530</xdr:colOff>
      <xdr:row>22</xdr:row>
      <xdr:rowOff>33617</xdr:rowOff>
    </xdr:from>
    <xdr:to>
      <xdr:col>18</xdr:col>
      <xdr:colOff>203393</xdr:colOff>
      <xdr:row>37</xdr:row>
      <xdr:rowOff>9453</xdr:rowOff>
    </xdr:to>
    <xdr:pic>
      <xdr:nvPicPr>
        <xdr:cNvPr id="28" name="図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
        <a:stretch>
          <a:fillRect/>
        </a:stretch>
      </xdr:blipFill>
      <xdr:spPr>
        <a:xfrm>
          <a:off x="8729383" y="5255558"/>
          <a:ext cx="4058216" cy="3505689"/>
        </a:xfrm>
        <a:prstGeom prst="rect">
          <a:avLst/>
        </a:prstGeom>
      </xdr:spPr>
    </xdr:pic>
    <xdr:clientData/>
  </xdr:twoCellAnchor>
  <xdr:twoCellAnchor editAs="oneCell">
    <xdr:from>
      <xdr:col>12</xdr:col>
      <xdr:colOff>416858</xdr:colOff>
      <xdr:row>38</xdr:row>
      <xdr:rowOff>20730</xdr:rowOff>
    </xdr:from>
    <xdr:to>
      <xdr:col>18</xdr:col>
      <xdr:colOff>297511</xdr:colOff>
      <xdr:row>63</xdr:row>
      <xdr:rowOff>177335</xdr:rowOff>
    </xdr:to>
    <xdr:pic>
      <xdr:nvPicPr>
        <xdr:cNvPr id="29" name="図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3"/>
        <a:stretch>
          <a:fillRect/>
        </a:stretch>
      </xdr:blipFill>
      <xdr:spPr>
        <a:xfrm>
          <a:off x="8899711" y="9007848"/>
          <a:ext cx="3982006" cy="6039693"/>
        </a:xfrm>
        <a:prstGeom prst="rect">
          <a:avLst/>
        </a:prstGeom>
      </xdr:spPr>
    </xdr:pic>
    <xdr:clientData/>
  </xdr:twoCellAnchor>
  <xdr:twoCellAnchor editAs="oneCell">
    <xdr:from>
      <xdr:col>12</xdr:col>
      <xdr:colOff>10645</xdr:colOff>
      <xdr:row>88</xdr:row>
      <xdr:rowOff>31936</xdr:rowOff>
    </xdr:from>
    <xdr:to>
      <xdr:col>18</xdr:col>
      <xdr:colOff>110403</xdr:colOff>
      <xdr:row>103</xdr:row>
      <xdr:rowOff>198299</xdr:rowOff>
    </xdr:to>
    <xdr:pic>
      <xdr:nvPicPr>
        <xdr:cNvPr id="30" name="図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4"/>
        <a:stretch>
          <a:fillRect/>
        </a:stretch>
      </xdr:blipFill>
      <xdr:spPr>
        <a:xfrm>
          <a:off x="8493498" y="15002995"/>
          <a:ext cx="4201111" cy="369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xdr:colOff>
      <xdr:row>43</xdr:row>
      <xdr:rowOff>28575</xdr:rowOff>
    </xdr:from>
    <xdr:to>
      <xdr:col>5</xdr:col>
      <xdr:colOff>276225</xdr:colOff>
      <xdr:row>70</xdr:row>
      <xdr:rowOff>142875</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4276725" y="7924800"/>
          <a:ext cx="238125" cy="5257800"/>
        </a:xfrm>
        <a:prstGeom prst="rect">
          <a:avLst/>
        </a:prstGeom>
        <a:noFill/>
        <a:ln w="1905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257175</xdr:colOff>
      <xdr:row>59</xdr:row>
      <xdr:rowOff>9525</xdr:rowOff>
    </xdr:from>
    <xdr:to>
      <xdr:col>8</xdr:col>
      <xdr:colOff>600075</xdr:colOff>
      <xdr:row>59</xdr:row>
      <xdr:rowOff>9525</xdr:rowOff>
    </xdr:to>
    <xdr:cxnSp macro="">
      <xdr:nvCxnSpPr>
        <xdr:cNvPr id="3" name="直線コネクタ 2">
          <a:extLst>
            <a:ext uri="{FF2B5EF4-FFF2-40B4-BE49-F238E27FC236}">
              <a16:creationId xmlns:a16="http://schemas.microsoft.com/office/drawing/2014/main" id="{00000000-0008-0000-0300-000003000000}"/>
            </a:ext>
          </a:extLst>
        </xdr:cNvPr>
        <xdr:cNvCxnSpPr>
          <a:cxnSpLocks noChangeShapeType="1"/>
        </xdr:cNvCxnSpPr>
      </xdr:nvCxnSpPr>
      <xdr:spPr bwMode="auto">
        <a:xfrm>
          <a:off x="1952625" y="11163300"/>
          <a:ext cx="54292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38100</xdr:colOff>
      <xdr:row>55</xdr:row>
      <xdr:rowOff>142875</xdr:rowOff>
    </xdr:from>
    <xdr:to>
      <xdr:col>5</xdr:col>
      <xdr:colOff>476250</xdr:colOff>
      <xdr:row>59</xdr:row>
      <xdr:rowOff>9525</xdr:rowOff>
    </xdr:to>
    <xdr:cxnSp macro="">
      <xdr:nvCxnSpPr>
        <xdr:cNvPr id="4" name="直線コネクタ 3">
          <a:extLst>
            <a:ext uri="{FF2B5EF4-FFF2-40B4-BE49-F238E27FC236}">
              <a16:creationId xmlns:a16="http://schemas.microsoft.com/office/drawing/2014/main" id="{00000000-0008-0000-0300-000004000000}"/>
            </a:ext>
          </a:extLst>
        </xdr:cNvPr>
        <xdr:cNvCxnSpPr>
          <a:cxnSpLocks noChangeShapeType="1"/>
        </xdr:cNvCxnSpPr>
      </xdr:nvCxnSpPr>
      <xdr:spPr bwMode="auto">
        <a:xfrm flipV="1">
          <a:off x="4276725" y="10610850"/>
          <a:ext cx="438150" cy="55245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285750</xdr:colOff>
      <xdr:row>55</xdr:row>
      <xdr:rowOff>161925</xdr:rowOff>
    </xdr:from>
    <xdr:to>
      <xdr:col>5</xdr:col>
      <xdr:colOff>749935</xdr:colOff>
      <xdr:row>59</xdr:row>
      <xdr:rowOff>19051</xdr:rowOff>
    </xdr:to>
    <xdr:cxnSp macro="">
      <xdr:nvCxnSpPr>
        <xdr:cNvPr id="5" name="直線コネクタ 4">
          <a:extLst>
            <a:ext uri="{FF2B5EF4-FFF2-40B4-BE49-F238E27FC236}">
              <a16:creationId xmlns:a16="http://schemas.microsoft.com/office/drawing/2014/main" id="{00000000-0008-0000-0300-000005000000}"/>
            </a:ext>
          </a:extLst>
        </xdr:cNvPr>
        <xdr:cNvCxnSpPr>
          <a:cxnSpLocks noChangeShapeType="1"/>
        </xdr:cNvCxnSpPr>
      </xdr:nvCxnSpPr>
      <xdr:spPr bwMode="auto">
        <a:xfrm flipV="1">
          <a:off x="4857750" y="13935075"/>
          <a:ext cx="464185" cy="809626"/>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485775</xdr:colOff>
      <xdr:row>55</xdr:row>
      <xdr:rowOff>152400</xdr:rowOff>
    </xdr:from>
    <xdr:to>
      <xdr:col>5</xdr:col>
      <xdr:colOff>742950</xdr:colOff>
      <xdr:row>55</xdr:row>
      <xdr:rowOff>152400</xdr:rowOff>
    </xdr:to>
    <xdr:cxnSp macro="">
      <xdr:nvCxnSpPr>
        <xdr:cNvPr id="6" name="直線矢印コネクタ 5">
          <a:extLst>
            <a:ext uri="{FF2B5EF4-FFF2-40B4-BE49-F238E27FC236}">
              <a16:creationId xmlns:a16="http://schemas.microsoft.com/office/drawing/2014/main" id="{00000000-0008-0000-0300-000006000000}"/>
            </a:ext>
          </a:extLst>
        </xdr:cNvPr>
        <xdr:cNvCxnSpPr>
          <a:cxnSpLocks noChangeShapeType="1"/>
        </xdr:cNvCxnSpPr>
      </xdr:nvCxnSpPr>
      <xdr:spPr bwMode="auto">
        <a:xfrm>
          <a:off x="5057775" y="13925550"/>
          <a:ext cx="257175"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638175</xdr:colOff>
      <xdr:row>54</xdr:row>
      <xdr:rowOff>9525</xdr:rowOff>
    </xdr:from>
    <xdr:to>
      <xdr:col>6</xdr:col>
      <xdr:colOff>359019</xdr:colOff>
      <xdr:row>55</xdr:row>
      <xdr:rowOff>85725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876800" y="10306050"/>
          <a:ext cx="56856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25000"/>
            <a:t>d'</a:t>
          </a:r>
          <a:endParaRPr kumimoji="1" lang="ja-JP" altLang="en-US" sz="1100" baseline="-25000"/>
        </a:p>
      </xdr:txBody>
    </xdr:sp>
    <xdr:clientData/>
  </xdr:twoCellAnchor>
  <xdr:twoCellAnchor>
    <xdr:from>
      <xdr:col>3</xdr:col>
      <xdr:colOff>173935</xdr:colOff>
      <xdr:row>66</xdr:row>
      <xdr:rowOff>124558</xdr:rowOff>
    </xdr:from>
    <xdr:to>
      <xdr:col>5</xdr:col>
      <xdr:colOff>14654</xdr:colOff>
      <xdr:row>66</xdr:row>
      <xdr:rowOff>124558</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bwMode="auto">
        <a:xfrm flipH="1">
          <a:off x="2717110" y="12478483"/>
          <a:ext cx="1536169"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381000</xdr:colOff>
      <xdr:row>61</xdr:row>
      <xdr:rowOff>9525</xdr:rowOff>
    </xdr:from>
    <xdr:to>
      <xdr:col>5</xdr:col>
      <xdr:colOff>19050</xdr:colOff>
      <xdr:row>61</xdr:row>
      <xdr:rowOff>9525</xdr:rowOff>
    </xdr:to>
    <xdr:cxnSp macro="">
      <xdr:nvCxnSpPr>
        <xdr:cNvPr id="9" name="直線コネクタ 8">
          <a:extLst>
            <a:ext uri="{FF2B5EF4-FFF2-40B4-BE49-F238E27FC236}">
              <a16:creationId xmlns:a16="http://schemas.microsoft.com/office/drawing/2014/main" id="{00000000-0008-0000-0300-000009000000}"/>
            </a:ext>
          </a:extLst>
        </xdr:cNvPr>
        <xdr:cNvCxnSpPr>
          <a:cxnSpLocks noChangeShapeType="1"/>
        </xdr:cNvCxnSpPr>
      </xdr:nvCxnSpPr>
      <xdr:spPr bwMode="auto">
        <a:xfrm flipH="1">
          <a:off x="2924175" y="11506200"/>
          <a:ext cx="13335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9525</xdr:colOff>
      <xdr:row>43</xdr:row>
      <xdr:rowOff>9525</xdr:rowOff>
    </xdr:from>
    <xdr:to>
      <xdr:col>5</xdr:col>
      <xdr:colOff>38100</xdr:colOff>
      <xdr:row>43</xdr:row>
      <xdr:rowOff>9525</xdr:rowOff>
    </xdr:to>
    <xdr:cxnSp macro="">
      <xdr:nvCxnSpPr>
        <xdr:cNvPr id="10" name="直線コネクタ 9">
          <a:extLst>
            <a:ext uri="{FF2B5EF4-FFF2-40B4-BE49-F238E27FC236}">
              <a16:creationId xmlns:a16="http://schemas.microsoft.com/office/drawing/2014/main" id="{00000000-0008-0000-0300-00000A000000}"/>
            </a:ext>
          </a:extLst>
        </xdr:cNvPr>
        <xdr:cNvCxnSpPr>
          <a:cxnSpLocks noChangeShapeType="1"/>
        </xdr:cNvCxnSpPr>
      </xdr:nvCxnSpPr>
      <xdr:spPr bwMode="auto">
        <a:xfrm>
          <a:off x="2552700" y="7905750"/>
          <a:ext cx="172402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200025</xdr:colOff>
      <xdr:row>44</xdr:row>
      <xdr:rowOff>47625</xdr:rowOff>
    </xdr:from>
    <xdr:to>
      <xdr:col>5</xdr:col>
      <xdr:colOff>19050</xdr:colOff>
      <xdr:row>44</xdr:row>
      <xdr:rowOff>47625</xdr:rowOff>
    </xdr:to>
    <xdr:cxnSp macro="">
      <xdr:nvCxnSpPr>
        <xdr:cNvPr id="11" name="直線コネクタ 10">
          <a:extLst>
            <a:ext uri="{FF2B5EF4-FFF2-40B4-BE49-F238E27FC236}">
              <a16:creationId xmlns:a16="http://schemas.microsoft.com/office/drawing/2014/main" id="{00000000-0008-0000-0300-00000B000000}"/>
            </a:ext>
          </a:extLst>
        </xdr:cNvPr>
        <xdr:cNvCxnSpPr>
          <a:cxnSpLocks noChangeShapeType="1"/>
        </xdr:cNvCxnSpPr>
      </xdr:nvCxnSpPr>
      <xdr:spPr bwMode="auto">
        <a:xfrm flipH="1">
          <a:off x="2743200" y="8115300"/>
          <a:ext cx="151447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19050</xdr:colOff>
      <xdr:row>58</xdr:row>
      <xdr:rowOff>161925</xdr:rowOff>
    </xdr:from>
    <xdr:to>
      <xdr:col>3</xdr:col>
      <xdr:colOff>19050</xdr:colOff>
      <xdr:row>71</xdr:row>
      <xdr:rowOff>19050</xdr:rowOff>
    </xdr:to>
    <xdr:cxnSp macro="">
      <xdr:nvCxnSpPr>
        <xdr:cNvPr id="12" name="直線コネクタ 11">
          <a:extLst>
            <a:ext uri="{FF2B5EF4-FFF2-40B4-BE49-F238E27FC236}">
              <a16:creationId xmlns:a16="http://schemas.microsoft.com/office/drawing/2014/main" id="{00000000-0008-0000-0300-00000C000000}"/>
            </a:ext>
          </a:extLst>
        </xdr:cNvPr>
        <xdr:cNvCxnSpPr>
          <a:cxnSpLocks noChangeShapeType="1"/>
        </xdr:cNvCxnSpPr>
      </xdr:nvCxnSpPr>
      <xdr:spPr bwMode="auto">
        <a:xfrm>
          <a:off x="2562225" y="11144250"/>
          <a:ext cx="0" cy="208597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59</xdr:row>
      <xdr:rowOff>0</xdr:rowOff>
    </xdr:from>
    <xdr:to>
      <xdr:col>4</xdr:col>
      <xdr:colOff>142875</xdr:colOff>
      <xdr:row>61</xdr:row>
      <xdr:rowOff>9525</xdr:rowOff>
    </xdr:to>
    <xdr:cxnSp macro="">
      <xdr:nvCxnSpPr>
        <xdr:cNvPr id="13" name="直線矢印コネクタ 12">
          <a:extLst>
            <a:ext uri="{FF2B5EF4-FFF2-40B4-BE49-F238E27FC236}">
              <a16:creationId xmlns:a16="http://schemas.microsoft.com/office/drawing/2014/main" id="{00000000-0008-0000-0300-00000D000000}"/>
            </a:ext>
          </a:extLst>
        </xdr:cNvPr>
        <xdr:cNvCxnSpPr>
          <a:cxnSpLocks noChangeShapeType="1"/>
        </xdr:cNvCxnSpPr>
      </xdr:nvCxnSpPr>
      <xdr:spPr bwMode="auto">
        <a:xfrm flipV="1">
          <a:off x="3533775" y="11153775"/>
          <a:ext cx="0" cy="3524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530405</xdr:colOff>
      <xdr:row>59</xdr:row>
      <xdr:rowOff>73270</xdr:rowOff>
    </xdr:from>
    <xdr:to>
      <xdr:col>4</xdr:col>
      <xdr:colOff>161924</xdr:colOff>
      <xdr:row>60</xdr:row>
      <xdr:rowOff>149470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3273605" y="14798920"/>
          <a:ext cx="545919"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tck2</a:t>
          </a:r>
          <a:endParaRPr kumimoji="1" lang="ja-JP" altLang="en-US" sz="1100" baseline="0"/>
        </a:p>
      </xdr:txBody>
    </xdr:sp>
    <xdr:clientData/>
  </xdr:twoCellAnchor>
  <xdr:twoCellAnchor>
    <xdr:from>
      <xdr:col>3</xdr:col>
      <xdr:colOff>209550</xdr:colOff>
      <xdr:row>59</xdr:row>
      <xdr:rowOff>9525</xdr:rowOff>
    </xdr:from>
    <xdr:to>
      <xdr:col>3</xdr:col>
      <xdr:colOff>209550</xdr:colOff>
      <xdr:row>66</xdr:row>
      <xdr:rowOff>114300</xdr:rowOff>
    </xdr:to>
    <xdr:cxnSp macro="">
      <xdr:nvCxnSpPr>
        <xdr:cNvPr id="15" name="直線矢印コネクタ 14">
          <a:extLst>
            <a:ext uri="{FF2B5EF4-FFF2-40B4-BE49-F238E27FC236}">
              <a16:creationId xmlns:a16="http://schemas.microsoft.com/office/drawing/2014/main" id="{00000000-0008-0000-0300-00000F000000}"/>
            </a:ext>
          </a:extLst>
        </xdr:cNvPr>
        <xdr:cNvCxnSpPr>
          <a:cxnSpLocks noChangeShapeType="1"/>
        </xdr:cNvCxnSpPr>
      </xdr:nvCxnSpPr>
      <xdr:spPr bwMode="auto">
        <a:xfrm flipV="1">
          <a:off x="2752725" y="11163300"/>
          <a:ext cx="0" cy="13049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226818</xdr:colOff>
      <xdr:row>62</xdr:row>
      <xdr:rowOff>97162</xdr:rowOff>
    </xdr:from>
    <xdr:to>
      <xdr:col>3</xdr:col>
      <xdr:colOff>622472</xdr:colOff>
      <xdr:row>63</xdr:row>
      <xdr:rowOff>173362</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2769993" y="11765287"/>
          <a:ext cx="39565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a:t>
          </a:r>
          <a:r>
            <a:rPr kumimoji="1" lang="en-US" altLang="ja-JP" sz="1100" baseline="-25000"/>
            <a:t>0</a:t>
          </a:r>
          <a:r>
            <a:rPr kumimoji="1" lang="en-US" altLang="ja-JP" sz="1100"/>
            <a:t>’</a:t>
          </a:r>
          <a:endParaRPr kumimoji="1" lang="ja-JP" altLang="en-US" sz="1100" baseline="-25000"/>
        </a:p>
      </xdr:txBody>
    </xdr:sp>
    <xdr:clientData/>
  </xdr:twoCellAnchor>
  <xdr:twoCellAnchor>
    <xdr:from>
      <xdr:col>3</xdr:col>
      <xdr:colOff>219075</xdr:colOff>
      <xdr:row>44</xdr:row>
      <xdr:rowOff>57150</xdr:rowOff>
    </xdr:from>
    <xdr:to>
      <xdr:col>3</xdr:col>
      <xdr:colOff>219075</xdr:colOff>
      <xdr:row>59</xdr:row>
      <xdr:rowOff>28575</xdr:rowOff>
    </xdr:to>
    <xdr:cxnSp macro="">
      <xdr:nvCxnSpPr>
        <xdr:cNvPr id="17" name="直線矢印コネクタ 16">
          <a:extLst>
            <a:ext uri="{FF2B5EF4-FFF2-40B4-BE49-F238E27FC236}">
              <a16:creationId xmlns:a16="http://schemas.microsoft.com/office/drawing/2014/main" id="{00000000-0008-0000-0300-000011000000}"/>
            </a:ext>
          </a:extLst>
        </xdr:cNvPr>
        <xdr:cNvCxnSpPr>
          <a:cxnSpLocks noChangeShapeType="1"/>
        </xdr:cNvCxnSpPr>
      </xdr:nvCxnSpPr>
      <xdr:spPr bwMode="auto">
        <a:xfrm flipV="1">
          <a:off x="2762250" y="8124825"/>
          <a:ext cx="0" cy="30575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323977</xdr:colOff>
      <xdr:row>49</xdr:row>
      <xdr:rowOff>126788</xdr:rowOff>
    </xdr:from>
    <xdr:to>
      <xdr:col>3</xdr:col>
      <xdr:colOff>847725</xdr:colOff>
      <xdr:row>50</xdr:row>
      <xdr:rowOff>171450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067177" y="12471188"/>
          <a:ext cx="523748" cy="282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h1'</a:t>
          </a:r>
        </a:p>
        <a:p>
          <a:endParaRPr kumimoji="1" lang="ja-JP" altLang="en-US" sz="1100" baseline="0"/>
        </a:p>
      </xdr:txBody>
    </xdr:sp>
    <xdr:clientData/>
  </xdr:twoCellAnchor>
  <xdr:twoCellAnchor>
    <xdr:from>
      <xdr:col>3</xdr:col>
      <xdr:colOff>219075</xdr:colOff>
      <xdr:row>43</xdr:row>
      <xdr:rowOff>9525</xdr:rowOff>
    </xdr:from>
    <xdr:to>
      <xdr:col>3</xdr:col>
      <xdr:colOff>219075</xdr:colOff>
      <xdr:row>44</xdr:row>
      <xdr:rowOff>47625</xdr:rowOff>
    </xdr:to>
    <xdr:cxnSp macro="">
      <xdr:nvCxnSpPr>
        <xdr:cNvPr id="19" name="直線矢印コネクタ 18">
          <a:extLst>
            <a:ext uri="{FF2B5EF4-FFF2-40B4-BE49-F238E27FC236}">
              <a16:creationId xmlns:a16="http://schemas.microsoft.com/office/drawing/2014/main" id="{00000000-0008-0000-0300-000013000000}"/>
            </a:ext>
          </a:extLst>
        </xdr:cNvPr>
        <xdr:cNvCxnSpPr>
          <a:cxnSpLocks noChangeShapeType="1"/>
        </xdr:cNvCxnSpPr>
      </xdr:nvCxnSpPr>
      <xdr:spPr bwMode="auto">
        <a:xfrm>
          <a:off x="2762250" y="7905750"/>
          <a:ext cx="0" cy="2095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479755</xdr:colOff>
      <xdr:row>43</xdr:row>
      <xdr:rowOff>2230</xdr:rowOff>
    </xdr:from>
    <xdr:to>
      <xdr:col>4</xdr:col>
      <xdr:colOff>531043</xdr:colOff>
      <xdr:row>44</xdr:row>
      <xdr:rowOff>83845</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3022930" y="7898455"/>
          <a:ext cx="899013" cy="253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0.25</a:t>
          </a:r>
        </a:p>
        <a:p>
          <a:endParaRPr kumimoji="1" lang="en-US" altLang="ja-JP" sz="1100" baseline="0"/>
        </a:p>
        <a:p>
          <a:endParaRPr kumimoji="1" lang="ja-JP" altLang="en-US" sz="1100" baseline="0"/>
        </a:p>
      </xdr:txBody>
    </xdr:sp>
    <xdr:clientData/>
  </xdr:twoCellAnchor>
  <xdr:twoCellAnchor>
    <xdr:from>
      <xdr:col>5</xdr:col>
      <xdr:colOff>371475</xdr:colOff>
      <xdr:row>44</xdr:row>
      <xdr:rowOff>66675</xdr:rowOff>
    </xdr:from>
    <xdr:to>
      <xdr:col>6</xdr:col>
      <xdr:colOff>609600</xdr:colOff>
      <xdr:row>44</xdr:row>
      <xdr:rowOff>66675</xdr:rowOff>
    </xdr:to>
    <xdr:cxnSp macro="">
      <xdr:nvCxnSpPr>
        <xdr:cNvPr id="21" name="直線矢印コネクタ 20">
          <a:extLst>
            <a:ext uri="{FF2B5EF4-FFF2-40B4-BE49-F238E27FC236}">
              <a16:creationId xmlns:a16="http://schemas.microsoft.com/office/drawing/2014/main" id="{00000000-0008-0000-0300-000015000000}"/>
            </a:ext>
          </a:extLst>
        </xdr:cNvPr>
        <xdr:cNvCxnSpPr>
          <a:cxnSpLocks noChangeShapeType="1"/>
        </xdr:cNvCxnSpPr>
      </xdr:nvCxnSpPr>
      <xdr:spPr bwMode="auto">
        <a:xfrm flipH="1">
          <a:off x="4610100" y="8134350"/>
          <a:ext cx="1085850"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0</xdr:colOff>
      <xdr:row>43</xdr:row>
      <xdr:rowOff>80596</xdr:rowOff>
    </xdr:from>
    <xdr:to>
      <xdr:col>7</xdr:col>
      <xdr:colOff>263769</xdr:colOff>
      <xdr:row>44</xdr:row>
      <xdr:rowOff>156797</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934075" y="7976821"/>
          <a:ext cx="263769"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P</a:t>
          </a:r>
        </a:p>
        <a:p>
          <a:endParaRPr kumimoji="1" lang="en-US" altLang="ja-JP" sz="1100" baseline="0"/>
        </a:p>
        <a:p>
          <a:endParaRPr kumimoji="1" lang="ja-JP" altLang="en-US" sz="1100" baseline="0"/>
        </a:p>
      </xdr:txBody>
    </xdr:sp>
    <xdr:clientData/>
  </xdr:twoCellAnchor>
  <xdr:twoCellAnchor>
    <xdr:from>
      <xdr:col>3</xdr:col>
      <xdr:colOff>354666</xdr:colOff>
      <xdr:row>27</xdr:row>
      <xdr:rowOff>39781</xdr:rowOff>
    </xdr:from>
    <xdr:to>
      <xdr:col>4</xdr:col>
      <xdr:colOff>430866</xdr:colOff>
      <xdr:row>28</xdr:row>
      <xdr:rowOff>211231</xdr:rowOff>
    </xdr:to>
    <xdr:sp macro="" textlink="">
      <xdr:nvSpPr>
        <xdr:cNvPr id="23" name="大かっこ 22">
          <a:extLst>
            <a:ext uri="{FF2B5EF4-FFF2-40B4-BE49-F238E27FC236}">
              <a16:creationId xmlns:a16="http://schemas.microsoft.com/office/drawing/2014/main" id="{00000000-0008-0000-0300-000017000000}"/>
            </a:ext>
          </a:extLst>
        </xdr:cNvPr>
        <xdr:cNvSpPr>
          <a:spLocks noChangeArrowheads="1"/>
        </xdr:cNvSpPr>
      </xdr:nvSpPr>
      <xdr:spPr bwMode="auto">
        <a:xfrm>
          <a:off x="3097866" y="5145181"/>
          <a:ext cx="990600" cy="4000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715021</xdr:colOff>
      <xdr:row>28</xdr:row>
      <xdr:rowOff>11205</xdr:rowOff>
    </xdr:from>
    <xdr:to>
      <xdr:col>3</xdr:col>
      <xdr:colOff>187484</xdr:colOff>
      <xdr:row>28</xdr:row>
      <xdr:rowOff>11205</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bwMode="auto">
        <a:xfrm>
          <a:off x="2552786" y="5311587"/>
          <a:ext cx="391345"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354666</xdr:colOff>
      <xdr:row>28</xdr:row>
      <xdr:rowOff>11206</xdr:rowOff>
    </xdr:from>
    <xdr:to>
      <xdr:col>4</xdr:col>
      <xdr:colOff>430866</xdr:colOff>
      <xdr:row>28</xdr:row>
      <xdr:rowOff>11206</xdr:rowOff>
    </xdr:to>
    <xdr:cxnSp macro="">
      <xdr:nvCxnSpPr>
        <xdr:cNvPr id="25" name="直線コネクタ 26">
          <a:extLst>
            <a:ext uri="{FF2B5EF4-FFF2-40B4-BE49-F238E27FC236}">
              <a16:creationId xmlns:a16="http://schemas.microsoft.com/office/drawing/2014/main" id="{00000000-0008-0000-0300-000019000000}"/>
            </a:ext>
          </a:extLst>
        </xdr:cNvPr>
        <xdr:cNvCxnSpPr>
          <a:cxnSpLocks noChangeShapeType="1"/>
          <a:stCxn id="23" idx="1"/>
          <a:endCxn id="23" idx="3"/>
        </xdr:cNvCxnSpPr>
      </xdr:nvCxnSpPr>
      <xdr:spPr bwMode="auto">
        <a:xfrm>
          <a:off x="3097866" y="5345206"/>
          <a:ext cx="9906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371475</xdr:colOff>
      <xdr:row>60</xdr:row>
      <xdr:rowOff>28575</xdr:rowOff>
    </xdr:from>
    <xdr:to>
      <xdr:col>5</xdr:col>
      <xdr:colOff>685800</xdr:colOff>
      <xdr:row>61</xdr:row>
      <xdr:rowOff>114300</xdr:rowOff>
    </xdr:to>
    <xdr:sp macro="" textlink="">
      <xdr:nvSpPr>
        <xdr:cNvPr id="26" name="正方形/長方形 27">
          <a:extLst>
            <a:ext uri="{FF2B5EF4-FFF2-40B4-BE49-F238E27FC236}">
              <a16:creationId xmlns:a16="http://schemas.microsoft.com/office/drawing/2014/main" id="{00000000-0008-0000-0300-00001A000000}"/>
            </a:ext>
          </a:extLst>
        </xdr:cNvPr>
        <xdr:cNvSpPr>
          <a:spLocks noChangeArrowheads="1"/>
        </xdr:cNvSpPr>
      </xdr:nvSpPr>
      <xdr:spPr bwMode="auto">
        <a:xfrm>
          <a:off x="3762375" y="11353800"/>
          <a:ext cx="1162050" cy="257175"/>
        </a:xfrm>
        <a:prstGeom prst="rect">
          <a:avLst/>
        </a:prstGeom>
        <a:solidFill>
          <a:srgbClr val="D9D9D9"/>
        </a:solidFill>
        <a:ln w="19050">
          <a:solidFill>
            <a:srgbClr val="000000">
              <a:alpha val="92155"/>
            </a:srgbClr>
          </a:solidFill>
          <a:miter lim="800000"/>
          <a:headEnd/>
          <a:tailEnd/>
        </a:ln>
      </xdr:spPr>
    </xdr:sp>
    <xdr:clientData/>
  </xdr:twoCellAnchor>
  <xdr:twoCellAnchor>
    <xdr:from>
      <xdr:col>4</xdr:col>
      <xdr:colOff>361950</xdr:colOff>
      <xdr:row>61</xdr:row>
      <xdr:rowOff>161925</xdr:rowOff>
    </xdr:from>
    <xdr:to>
      <xdr:col>4</xdr:col>
      <xdr:colOff>361950</xdr:colOff>
      <xdr:row>64</xdr:row>
      <xdr:rowOff>19050</xdr:rowOff>
    </xdr:to>
    <xdr:cxnSp macro="">
      <xdr:nvCxnSpPr>
        <xdr:cNvPr id="27" name="直線コネクタ 30">
          <a:extLst>
            <a:ext uri="{FF2B5EF4-FFF2-40B4-BE49-F238E27FC236}">
              <a16:creationId xmlns:a16="http://schemas.microsoft.com/office/drawing/2014/main" id="{00000000-0008-0000-0300-00001B000000}"/>
            </a:ext>
          </a:extLst>
        </xdr:cNvPr>
        <xdr:cNvCxnSpPr>
          <a:cxnSpLocks noChangeShapeType="1"/>
        </xdr:cNvCxnSpPr>
      </xdr:nvCxnSpPr>
      <xdr:spPr bwMode="auto">
        <a:xfrm>
          <a:off x="3752850" y="11658600"/>
          <a:ext cx="0" cy="37147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685800</xdr:colOff>
      <xdr:row>61</xdr:row>
      <xdr:rowOff>142875</xdr:rowOff>
    </xdr:from>
    <xdr:to>
      <xdr:col>5</xdr:col>
      <xdr:colOff>685800</xdr:colOff>
      <xdr:row>64</xdr:row>
      <xdr:rowOff>9525</xdr:rowOff>
    </xdr:to>
    <xdr:cxnSp macro="">
      <xdr:nvCxnSpPr>
        <xdr:cNvPr id="28" name="直線コネクタ 31">
          <a:extLst>
            <a:ext uri="{FF2B5EF4-FFF2-40B4-BE49-F238E27FC236}">
              <a16:creationId xmlns:a16="http://schemas.microsoft.com/office/drawing/2014/main" id="{00000000-0008-0000-0300-00001C000000}"/>
            </a:ext>
          </a:extLst>
        </xdr:cNvPr>
        <xdr:cNvCxnSpPr>
          <a:cxnSpLocks noChangeShapeType="1"/>
        </xdr:cNvCxnSpPr>
      </xdr:nvCxnSpPr>
      <xdr:spPr bwMode="auto">
        <a:xfrm>
          <a:off x="4924425" y="11639550"/>
          <a:ext cx="0" cy="3810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419100</xdr:colOff>
      <xdr:row>63</xdr:row>
      <xdr:rowOff>152400</xdr:rowOff>
    </xdr:from>
    <xdr:to>
      <xdr:col>5</xdr:col>
      <xdr:colOff>647700</xdr:colOff>
      <xdr:row>63</xdr:row>
      <xdr:rowOff>171450</xdr:rowOff>
    </xdr:to>
    <xdr:cxnSp macro="">
      <xdr:nvCxnSpPr>
        <xdr:cNvPr id="29" name="直線矢印コネクタ 33">
          <a:extLst>
            <a:ext uri="{FF2B5EF4-FFF2-40B4-BE49-F238E27FC236}">
              <a16:creationId xmlns:a16="http://schemas.microsoft.com/office/drawing/2014/main" id="{00000000-0008-0000-0300-00001D000000}"/>
            </a:ext>
          </a:extLst>
        </xdr:cNvPr>
        <xdr:cNvCxnSpPr>
          <a:cxnSpLocks noChangeShapeType="1"/>
        </xdr:cNvCxnSpPr>
      </xdr:nvCxnSpPr>
      <xdr:spPr bwMode="auto">
        <a:xfrm>
          <a:off x="3810000" y="11991975"/>
          <a:ext cx="1076325" cy="190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381000</xdr:colOff>
      <xdr:row>64</xdr:row>
      <xdr:rowOff>51289</xdr:rowOff>
    </xdr:from>
    <xdr:to>
      <xdr:col>4</xdr:col>
      <xdr:colOff>876300</xdr:colOff>
      <xdr:row>65</xdr:row>
      <xdr:rowOff>127489</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4038600" y="15967564"/>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Lk2</a:t>
          </a:r>
          <a:endParaRPr kumimoji="1" lang="ja-JP" altLang="en-US" sz="1100" baseline="0"/>
        </a:p>
      </xdr:txBody>
    </xdr:sp>
    <xdr:clientData/>
  </xdr:twoCellAnchor>
  <xdr:twoCellAnchor>
    <xdr:from>
      <xdr:col>6</xdr:col>
      <xdr:colOff>66675</xdr:colOff>
      <xdr:row>60</xdr:row>
      <xdr:rowOff>9525</xdr:rowOff>
    </xdr:from>
    <xdr:to>
      <xdr:col>6</xdr:col>
      <xdr:colOff>514350</xdr:colOff>
      <xdr:row>60</xdr:row>
      <xdr:rowOff>9525</xdr:rowOff>
    </xdr:to>
    <xdr:cxnSp macro="">
      <xdr:nvCxnSpPr>
        <xdr:cNvPr id="31" name="直線コネクタ 38">
          <a:extLst>
            <a:ext uri="{FF2B5EF4-FFF2-40B4-BE49-F238E27FC236}">
              <a16:creationId xmlns:a16="http://schemas.microsoft.com/office/drawing/2014/main" id="{00000000-0008-0000-0300-00001F000000}"/>
            </a:ext>
          </a:extLst>
        </xdr:cNvPr>
        <xdr:cNvCxnSpPr>
          <a:cxnSpLocks noChangeShapeType="1"/>
        </xdr:cNvCxnSpPr>
      </xdr:nvCxnSpPr>
      <xdr:spPr bwMode="auto">
        <a:xfrm>
          <a:off x="5153025" y="11334750"/>
          <a:ext cx="44767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66675</xdr:colOff>
      <xdr:row>61</xdr:row>
      <xdr:rowOff>104775</xdr:rowOff>
    </xdr:from>
    <xdr:to>
      <xdr:col>6</xdr:col>
      <xdr:colOff>514350</xdr:colOff>
      <xdr:row>61</xdr:row>
      <xdr:rowOff>104775</xdr:rowOff>
    </xdr:to>
    <xdr:cxnSp macro="">
      <xdr:nvCxnSpPr>
        <xdr:cNvPr id="32" name="直線コネクタ 40">
          <a:extLst>
            <a:ext uri="{FF2B5EF4-FFF2-40B4-BE49-F238E27FC236}">
              <a16:creationId xmlns:a16="http://schemas.microsoft.com/office/drawing/2014/main" id="{00000000-0008-0000-0300-000020000000}"/>
            </a:ext>
          </a:extLst>
        </xdr:cNvPr>
        <xdr:cNvCxnSpPr>
          <a:cxnSpLocks noChangeShapeType="1"/>
        </xdr:cNvCxnSpPr>
      </xdr:nvCxnSpPr>
      <xdr:spPr bwMode="auto">
        <a:xfrm>
          <a:off x="5153025" y="11601450"/>
          <a:ext cx="44767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523875</xdr:colOff>
      <xdr:row>60</xdr:row>
      <xdr:rowOff>47625</xdr:rowOff>
    </xdr:from>
    <xdr:to>
      <xdr:col>6</xdr:col>
      <xdr:colOff>523875</xdr:colOff>
      <xdr:row>61</xdr:row>
      <xdr:rowOff>95250</xdr:rowOff>
    </xdr:to>
    <xdr:cxnSp macro="">
      <xdr:nvCxnSpPr>
        <xdr:cNvPr id="33" name="直線矢印コネクタ 42">
          <a:extLst>
            <a:ext uri="{FF2B5EF4-FFF2-40B4-BE49-F238E27FC236}">
              <a16:creationId xmlns:a16="http://schemas.microsoft.com/office/drawing/2014/main" id="{00000000-0008-0000-0300-000021000000}"/>
            </a:ext>
          </a:extLst>
        </xdr:cNvPr>
        <xdr:cNvCxnSpPr>
          <a:cxnSpLocks noChangeShapeType="1"/>
        </xdr:cNvCxnSpPr>
      </xdr:nvCxnSpPr>
      <xdr:spPr bwMode="auto">
        <a:xfrm>
          <a:off x="5610225" y="11372850"/>
          <a:ext cx="0" cy="21907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630115</xdr:colOff>
      <xdr:row>60</xdr:row>
      <xdr:rowOff>7327</xdr:rowOff>
    </xdr:from>
    <xdr:to>
      <xdr:col>7</xdr:col>
      <xdr:colOff>205154</xdr:colOff>
      <xdr:row>61</xdr:row>
      <xdr:rowOff>83528</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5716465" y="11332552"/>
          <a:ext cx="422764"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t>ｄ</a:t>
          </a:r>
          <a:r>
            <a:rPr kumimoji="1" lang="en-US" altLang="ja-JP" sz="1100" baseline="0"/>
            <a:t>k2</a:t>
          </a:r>
        </a:p>
        <a:p>
          <a:endParaRPr kumimoji="1" lang="ja-JP" altLang="en-US" sz="1100" baseline="0"/>
        </a:p>
      </xdr:txBody>
    </xdr:sp>
    <xdr:clientData/>
  </xdr:twoCellAnchor>
  <xdr:twoCellAnchor>
    <xdr:from>
      <xdr:col>3</xdr:col>
      <xdr:colOff>24849</xdr:colOff>
      <xdr:row>71</xdr:row>
      <xdr:rowOff>1</xdr:rowOff>
    </xdr:from>
    <xdr:to>
      <xdr:col>4</xdr:col>
      <xdr:colOff>819979</xdr:colOff>
      <xdr:row>71</xdr:row>
      <xdr:rowOff>1</xdr:rowOff>
    </xdr:to>
    <xdr:cxnSp macro="">
      <xdr:nvCxnSpPr>
        <xdr:cNvPr id="35" name="直線コネクタ 34">
          <a:extLst>
            <a:ext uri="{FF2B5EF4-FFF2-40B4-BE49-F238E27FC236}">
              <a16:creationId xmlns:a16="http://schemas.microsoft.com/office/drawing/2014/main" id="{00000000-0008-0000-0300-000023000000}"/>
            </a:ext>
          </a:extLst>
        </xdr:cNvPr>
        <xdr:cNvCxnSpPr/>
      </xdr:nvCxnSpPr>
      <xdr:spPr bwMode="auto">
        <a:xfrm flipH="1">
          <a:off x="2568024" y="13211176"/>
          <a:ext cx="1642855"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495300</xdr:colOff>
      <xdr:row>63</xdr:row>
      <xdr:rowOff>165653</xdr:rowOff>
    </xdr:from>
    <xdr:to>
      <xdr:col>2</xdr:col>
      <xdr:colOff>778565</xdr:colOff>
      <xdr:row>65</xdr:row>
      <xdr:rowOff>67918</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2324100" y="15843803"/>
          <a:ext cx="283265" cy="37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25000"/>
            <a:t>h0</a:t>
          </a:r>
          <a:endParaRPr kumimoji="1" lang="ja-JP" altLang="en-US" sz="1100" baseline="-25000"/>
        </a:p>
      </xdr:txBody>
    </xdr:sp>
    <xdr:clientData/>
  </xdr:twoCellAnchor>
  <xdr:twoCellAnchor editAs="oneCell">
    <xdr:from>
      <xdr:col>11</xdr:col>
      <xdr:colOff>47625</xdr:colOff>
      <xdr:row>1</xdr:row>
      <xdr:rowOff>28575</xdr:rowOff>
    </xdr:from>
    <xdr:to>
      <xdr:col>19</xdr:col>
      <xdr:colOff>276225</xdr:colOff>
      <xdr:row>20</xdr:row>
      <xdr:rowOff>42023</xdr:rowOff>
    </xdr:to>
    <xdr:pic>
      <xdr:nvPicPr>
        <xdr:cNvPr id="37" name="図 1">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200025"/>
          <a:ext cx="5715000" cy="456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135030</xdr:colOff>
      <xdr:row>21</xdr:row>
      <xdr:rowOff>20731</xdr:rowOff>
    </xdr:from>
    <xdr:to>
      <xdr:col>17</xdr:col>
      <xdr:colOff>91893</xdr:colOff>
      <xdr:row>35</xdr:row>
      <xdr:rowOff>199953</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2"/>
        <a:stretch>
          <a:fillRect/>
        </a:stretch>
      </xdr:blipFill>
      <xdr:spPr>
        <a:xfrm>
          <a:off x="9964830" y="4926106"/>
          <a:ext cx="4071663" cy="3532022"/>
        </a:xfrm>
        <a:prstGeom prst="rect">
          <a:avLst/>
        </a:prstGeom>
      </xdr:spPr>
    </xdr:pic>
    <xdr:clientData/>
  </xdr:twoCellAnchor>
  <xdr:twoCellAnchor editAs="oneCell">
    <xdr:from>
      <xdr:col>11</xdr:col>
      <xdr:colOff>277905</xdr:colOff>
      <xdr:row>35</xdr:row>
      <xdr:rowOff>210111</xdr:rowOff>
    </xdr:from>
    <xdr:to>
      <xdr:col>17</xdr:col>
      <xdr:colOff>158558</xdr:colOff>
      <xdr:row>61</xdr:row>
      <xdr:rowOff>39504</xdr:rowOff>
    </xdr:to>
    <xdr:pic>
      <xdr:nvPicPr>
        <xdr:cNvPr id="39" name="図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3"/>
        <a:stretch>
          <a:fillRect/>
        </a:stretch>
      </xdr:blipFill>
      <xdr:spPr>
        <a:xfrm>
          <a:off x="10107705" y="8468286"/>
          <a:ext cx="3995453" cy="6039693"/>
        </a:xfrm>
        <a:prstGeom prst="rect">
          <a:avLst/>
        </a:prstGeom>
      </xdr:spPr>
    </xdr:pic>
    <xdr:clientData/>
  </xdr:twoCellAnchor>
  <xdr:twoCellAnchor editAs="oneCell">
    <xdr:from>
      <xdr:col>11</xdr:col>
      <xdr:colOff>268380</xdr:colOff>
      <xdr:row>78</xdr:row>
      <xdr:rowOff>121584</xdr:rowOff>
    </xdr:from>
    <xdr:to>
      <xdr:col>17</xdr:col>
      <xdr:colOff>368138</xdr:colOff>
      <xdr:row>94</xdr:row>
      <xdr:rowOff>7801</xdr:rowOff>
    </xdr:to>
    <xdr:pic>
      <xdr:nvPicPr>
        <xdr:cNvPr id="40" name="図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4"/>
        <a:stretch>
          <a:fillRect/>
        </a:stretch>
      </xdr:blipFill>
      <xdr:spPr>
        <a:xfrm>
          <a:off x="9300321" y="14353055"/>
          <a:ext cx="4201111" cy="369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371475</xdr:colOff>
      <xdr:row>71</xdr:row>
      <xdr:rowOff>104775</xdr:rowOff>
    </xdr:from>
    <xdr:to>
      <xdr:col>5</xdr:col>
      <xdr:colOff>676275</xdr:colOff>
      <xdr:row>75</xdr:row>
      <xdr:rowOff>76200</xdr:rowOff>
    </xdr:to>
    <xdr:sp macro="" textlink="">
      <xdr:nvSpPr>
        <xdr:cNvPr id="2" name="正方形/長方形 40">
          <a:extLst>
            <a:ext uri="{FF2B5EF4-FFF2-40B4-BE49-F238E27FC236}">
              <a16:creationId xmlns:a16="http://schemas.microsoft.com/office/drawing/2014/main" id="{00000000-0008-0000-0400-000002000000}"/>
            </a:ext>
          </a:extLst>
        </xdr:cNvPr>
        <xdr:cNvSpPr>
          <a:spLocks noChangeArrowheads="1"/>
        </xdr:cNvSpPr>
      </xdr:nvSpPr>
      <xdr:spPr bwMode="auto">
        <a:xfrm>
          <a:off x="3162300" y="12287250"/>
          <a:ext cx="990600" cy="657225"/>
        </a:xfrm>
        <a:prstGeom prst="rect">
          <a:avLst/>
        </a:prstGeom>
        <a:solidFill>
          <a:srgbClr val="D9D9D9"/>
        </a:solidFill>
        <a:ln w="19050">
          <a:solidFill>
            <a:srgbClr val="000000">
              <a:alpha val="92155"/>
            </a:srgbClr>
          </a:solidFill>
          <a:miter lim="800000"/>
          <a:headEnd/>
          <a:tailEnd/>
        </a:ln>
      </xdr:spPr>
    </xdr:sp>
    <xdr:clientData/>
  </xdr:twoCellAnchor>
  <xdr:twoCellAnchor>
    <xdr:from>
      <xdr:col>5</xdr:col>
      <xdr:colOff>38100</xdr:colOff>
      <xdr:row>53</xdr:row>
      <xdr:rowOff>28575</xdr:rowOff>
    </xdr:from>
    <xdr:to>
      <xdr:col>5</xdr:col>
      <xdr:colOff>276225</xdr:colOff>
      <xdr:row>79</xdr:row>
      <xdr:rowOff>114300</xdr:rowOff>
    </xdr:to>
    <xdr:sp macro="" textlink="">
      <xdr:nvSpPr>
        <xdr:cNvPr id="3" name="正方形/長方形 1">
          <a:extLst>
            <a:ext uri="{FF2B5EF4-FFF2-40B4-BE49-F238E27FC236}">
              <a16:creationId xmlns:a16="http://schemas.microsoft.com/office/drawing/2014/main" id="{00000000-0008-0000-0400-000003000000}"/>
            </a:ext>
          </a:extLst>
        </xdr:cNvPr>
        <xdr:cNvSpPr>
          <a:spLocks noChangeArrowheads="1"/>
        </xdr:cNvSpPr>
      </xdr:nvSpPr>
      <xdr:spPr bwMode="auto">
        <a:xfrm>
          <a:off x="3514725" y="9124950"/>
          <a:ext cx="238125" cy="4543425"/>
        </a:xfrm>
        <a:prstGeom prst="rect">
          <a:avLst/>
        </a:prstGeom>
        <a:noFill/>
        <a:ln w="1270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257175</xdr:colOff>
      <xdr:row>72</xdr:row>
      <xdr:rowOff>9525</xdr:rowOff>
    </xdr:from>
    <xdr:to>
      <xdr:col>8</xdr:col>
      <xdr:colOff>600075</xdr:colOff>
      <xdr:row>72</xdr:row>
      <xdr:rowOff>9525</xdr:rowOff>
    </xdr:to>
    <xdr:cxnSp macro="">
      <xdr:nvCxnSpPr>
        <xdr:cNvPr id="4" name="直線コネクタ 2">
          <a:extLst>
            <a:ext uri="{FF2B5EF4-FFF2-40B4-BE49-F238E27FC236}">
              <a16:creationId xmlns:a16="http://schemas.microsoft.com/office/drawing/2014/main" id="{00000000-0008-0000-0400-000004000000}"/>
            </a:ext>
          </a:extLst>
        </xdr:cNvPr>
        <xdr:cNvCxnSpPr>
          <a:cxnSpLocks noChangeShapeType="1"/>
        </xdr:cNvCxnSpPr>
      </xdr:nvCxnSpPr>
      <xdr:spPr bwMode="auto">
        <a:xfrm>
          <a:off x="1628775" y="12363450"/>
          <a:ext cx="450532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38100</xdr:colOff>
      <xdr:row>68</xdr:row>
      <xdr:rowOff>142875</xdr:rowOff>
    </xdr:from>
    <xdr:to>
      <xdr:col>5</xdr:col>
      <xdr:colOff>476250</xdr:colOff>
      <xdr:row>72</xdr:row>
      <xdr:rowOff>9525</xdr:rowOff>
    </xdr:to>
    <xdr:cxnSp macro="">
      <xdr:nvCxnSpPr>
        <xdr:cNvPr id="5" name="直線コネクタ 3">
          <a:extLst>
            <a:ext uri="{FF2B5EF4-FFF2-40B4-BE49-F238E27FC236}">
              <a16:creationId xmlns:a16="http://schemas.microsoft.com/office/drawing/2014/main" id="{00000000-0008-0000-0400-000005000000}"/>
            </a:ext>
          </a:extLst>
        </xdr:cNvPr>
        <xdr:cNvCxnSpPr>
          <a:cxnSpLocks noChangeShapeType="1"/>
        </xdr:cNvCxnSpPr>
      </xdr:nvCxnSpPr>
      <xdr:spPr bwMode="auto">
        <a:xfrm flipV="1">
          <a:off x="3514725" y="11811000"/>
          <a:ext cx="438150" cy="55245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285750</xdr:colOff>
      <xdr:row>68</xdr:row>
      <xdr:rowOff>212912</xdr:rowOff>
    </xdr:from>
    <xdr:to>
      <xdr:col>5</xdr:col>
      <xdr:colOff>750794</xdr:colOff>
      <xdr:row>72</xdr:row>
      <xdr:rowOff>19050</xdr:rowOff>
    </xdr:to>
    <xdr:cxnSp macro="">
      <xdr:nvCxnSpPr>
        <xdr:cNvPr id="6" name="直線コネクタ 4">
          <a:extLst>
            <a:ext uri="{FF2B5EF4-FFF2-40B4-BE49-F238E27FC236}">
              <a16:creationId xmlns:a16="http://schemas.microsoft.com/office/drawing/2014/main" id="{00000000-0008-0000-0400-000006000000}"/>
            </a:ext>
          </a:extLst>
        </xdr:cNvPr>
        <xdr:cNvCxnSpPr>
          <a:cxnSpLocks noChangeShapeType="1"/>
        </xdr:cNvCxnSpPr>
      </xdr:nvCxnSpPr>
      <xdr:spPr bwMode="auto">
        <a:xfrm flipV="1">
          <a:off x="4600015" y="16326971"/>
          <a:ext cx="465044" cy="747432"/>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485775</xdr:colOff>
      <xdr:row>68</xdr:row>
      <xdr:rowOff>152400</xdr:rowOff>
    </xdr:from>
    <xdr:to>
      <xdr:col>5</xdr:col>
      <xdr:colOff>784411</xdr:colOff>
      <xdr:row>68</xdr:row>
      <xdr:rowOff>168088</xdr:rowOff>
    </xdr:to>
    <xdr:cxnSp macro="">
      <xdr:nvCxnSpPr>
        <xdr:cNvPr id="7" name="直線矢印コネクタ 5">
          <a:extLst>
            <a:ext uri="{FF2B5EF4-FFF2-40B4-BE49-F238E27FC236}">
              <a16:creationId xmlns:a16="http://schemas.microsoft.com/office/drawing/2014/main" id="{00000000-0008-0000-0400-000007000000}"/>
            </a:ext>
          </a:extLst>
        </xdr:cNvPr>
        <xdr:cNvCxnSpPr>
          <a:cxnSpLocks noChangeShapeType="1"/>
        </xdr:cNvCxnSpPr>
      </xdr:nvCxnSpPr>
      <xdr:spPr bwMode="auto">
        <a:xfrm>
          <a:off x="4800040" y="16266459"/>
          <a:ext cx="298636" cy="15688"/>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638175</xdr:colOff>
      <xdr:row>67</xdr:row>
      <xdr:rowOff>9525</xdr:rowOff>
    </xdr:from>
    <xdr:to>
      <xdr:col>6</xdr:col>
      <xdr:colOff>359019</xdr:colOff>
      <xdr:row>68</xdr:row>
      <xdr:rowOff>85725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114800" y="11506200"/>
          <a:ext cx="40664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d'</a:t>
          </a:r>
          <a:endParaRPr kumimoji="1" lang="ja-JP" altLang="en-US" sz="1100" baseline="0"/>
        </a:p>
      </xdr:txBody>
    </xdr:sp>
    <xdr:clientData/>
  </xdr:twoCellAnchor>
  <xdr:twoCellAnchor>
    <xdr:from>
      <xdr:col>2</xdr:col>
      <xdr:colOff>542192</xdr:colOff>
      <xdr:row>79</xdr:row>
      <xdr:rowOff>124558</xdr:rowOff>
    </xdr:from>
    <xdr:to>
      <xdr:col>5</xdr:col>
      <xdr:colOff>14654</xdr:colOff>
      <xdr:row>79</xdr:row>
      <xdr:rowOff>124558</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bwMode="auto">
        <a:xfrm flipH="1">
          <a:off x="1913792" y="13678633"/>
          <a:ext cx="157748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246529</xdr:colOff>
      <xdr:row>53</xdr:row>
      <xdr:rowOff>28575</xdr:rowOff>
    </xdr:from>
    <xdr:to>
      <xdr:col>5</xdr:col>
      <xdr:colOff>157163</xdr:colOff>
      <xdr:row>53</xdr:row>
      <xdr:rowOff>33619</xdr:rowOff>
    </xdr:to>
    <xdr:cxnSp macro="">
      <xdr:nvCxnSpPr>
        <xdr:cNvPr id="10" name="直線コネクタ 9">
          <a:extLst>
            <a:ext uri="{FF2B5EF4-FFF2-40B4-BE49-F238E27FC236}">
              <a16:creationId xmlns:a16="http://schemas.microsoft.com/office/drawing/2014/main" id="{00000000-0008-0000-0400-00000A000000}"/>
            </a:ext>
          </a:extLst>
        </xdr:cNvPr>
        <xdr:cNvCxnSpPr>
          <a:cxnSpLocks noChangeShapeType="1"/>
          <a:endCxn id="3" idx="0"/>
        </xdr:cNvCxnSpPr>
      </xdr:nvCxnSpPr>
      <xdr:spPr bwMode="auto">
        <a:xfrm flipV="1">
          <a:off x="2835088" y="12612781"/>
          <a:ext cx="1636340" cy="5044"/>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200025</xdr:colOff>
      <xdr:row>54</xdr:row>
      <xdr:rowOff>47625</xdr:rowOff>
    </xdr:from>
    <xdr:to>
      <xdr:col>5</xdr:col>
      <xdr:colOff>19050</xdr:colOff>
      <xdr:row>54</xdr:row>
      <xdr:rowOff>47625</xdr:rowOff>
    </xdr:to>
    <xdr:cxnSp macro="">
      <xdr:nvCxnSpPr>
        <xdr:cNvPr id="11" name="直線コネクタ 10">
          <a:extLst>
            <a:ext uri="{FF2B5EF4-FFF2-40B4-BE49-F238E27FC236}">
              <a16:creationId xmlns:a16="http://schemas.microsoft.com/office/drawing/2014/main" id="{00000000-0008-0000-0400-00000B000000}"/>
            </a:ext>
          </a:extLst>
        </xdr:cNvPr>
        <xdr:cNvCxnSpPr>
          <a:cxnSpLocks noChangeShapeType="1"/>
        </xdr:cNvCxnSpPr>
      </xdr:nvCxnSpPr>
      <xdr:spPr bwMode="auto">
        <a:xfrm flipH="1">
          <a:off x="2257425" y="9315450"/>
          <a:ext cx="12382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561975</xdr:colOff>
      <xdr:row>72</xdr:row>
      <xdr:rowOff>19050</xdr:rowOff>
    </xdr:from>
    <xdr:to>
      <xdr:col>2</xdr:col>
      <xdr:colOff>561975</xdr:colOff>
      <xdr:row>79</xdr:row>
      <xdr:rowOff>123825</xdr:rowOff>
    </xdr:to>
    <xdr:cxnSp macro="">
      <xdr:nvCxnSpPr>
        <xdr:cNvPr id="13" name="直線矢印コネクタ 14">
          <a:extLst>
            <a:ext uri="{FF2B5EF4-FFF2-40B4-BE49-F238E27FC236}">
              <a16:creationId xmlns:a16="http://schemas.microsoft.com/office/drawing/2014/main" id="{00000000-0008-0000-0400-00000D000000}"/>
            </a:ext>
          </a:extLst>
        </xdr:cNvPr>
        <xdr:cNvCxnSpPr>
          <a:cxnSpLocks noChangeShapeType="1"/>
        </xdr:cNvCxnSpPr>
      </xdr:nvCxnSpPr>
      <xdr:spPr bwMode="auto">
        <a:xfrm flipV="1">
          <a:off x="1933575" y="12372975"/>
          <a:ext cx="0" cy="13049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9526</xdr:colOff>
      <xdr:row>74</xdr:row>
      <xdr:rowOff>80596</xdr:rowOff>
    </xdr:from>
    <xdr:to>
      <xdr:col>2</xdr:col>
      <xdr:colOff>454270</xdr:colOff>
      <xdr:row>75</xdr:row>
      <xdr:rowOff>156797</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724026" y="17797096"/>
          <a:ext cx="444744"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h0</a:t>
          </a:r>
          <a:endParaRPr kumimoji="1" lang="ja-JP" altLang="en-US" sz="1100" baseline="0"/>
        </a:p>
      </xdr:txBody>
    </xdr:sp>
    <xdr:clientData/>
  </xdr:twoCellAnchor>
  <xdr:twoCellAnchor>
    <xdr:from>
      <xdr:col>3</xdr:col>
      <xdr:colOff>828675</xdr:colOff>
      <xdr:row>54</xdr:row>
      <xdr:rowOff>47625</xdr:rowOff>
    </xdr:from>
    <xdr:to>
      <xdr:col>3</xdr:col>
      <xdr:colOff>828675</xdr:colOff>
      <xdr:row>72</xdr:row>
      <xdr:rowOff>9526</xdr:rowOff>
    </xdr:to>
    <xdr:cxnSp macro="">
      <xdr:nvCxnSpPr>
        <xdr:cNvPr id="15" name="直線矢印コネクタ 16">
          <a:extLst>
            <a:ext uri="{FF2B5EF4-FFF2-40B4-BE49-F238E27FC236}">
              <a16:creationId xmlns:a16="http://schemas.microsoft.com/office/drawing/2014/main" id="{00000000-0008-0000-0400-00000F000000}"/>
            </a:ext>
          </a:extLst>
        </xdr:cNvPr>
        <xdr:cNvCxnSpPr>
          <a:cxnSpLocks noChangeShapeType="1"/>
        </xdr:cNvCxnSpPr>
      </xdr:nvCxnSpPr>
      <xdr:spPr bwMode="auto">
        <a:xfrm flipV="1">
          <a:off x="3400425" y="13001625"/>
          <a:ext cx="0" cy="4248151"/>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840398</xdr:colOff>
      <xdr:row>60</xdr:row>
      <xdr:rowOff>224937</xdr:rowOff>
    </xdr:from>
    <xdr:to>
      <xdr:col>4</xdr:col>
      <xdr:colOff>504825</xdr:colOff>
      <xdr:row>62</xdr:row>
      <xdr:rowOff>63013</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3412148" y="14607687"/>
          <a:ext cx="521677"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h1'</a:t>
          </a:r>
        </a:p>
        <a:p>
          <a:endParaRPr kumimoji="1" lang="ja-JP" altLang="en-US" sz="1100" baseline="0"/>
        </a:p>
      </xdr:txBody>
    </xdr:sp>
    <xdr:clientData/>
  </xdr:twoCellAnchor>
  <xdr:twoCellAnchor>
    <xdr:from>
      <xdr:col>3</xdr:col>
      <xdr:colOff>219075</xdr:colOff>
      <xdr:row>53</xdr:row>
      <xdr:rowOff>9525</xdr:rowOff>
    </xdr:from>
    <xdr:to>
      <xdr:col>3</xdr:col>
      <xdr:colOff>219075</xdr:colOff>
      <xdr:row>54</xdr:row>
      <xdr:rowOff>47625</xdr:rowOff>
    </xdr:to>
    <xdr:cxnSp macro="">
      <xdr:nvCxnSpPr>
        <xdr:cNvPr id="17" name="直線矢印コネクタ 18">
          <a:extLst>
            <a:ext uri="{FF2B5EF4-FFF2-40B4-BE49-F238E27FC236}">
              <a16:creationId xmlns:a16="http://schemas.microsoft.com/office/drawing/2014/main" id="{00000000-0008-0000-0400-000011000000}"/>
            </a:ext>
          </a:extLst>
        </xdr:cNvPr>
        <xdr:cNvCxnSpPr>
          <a:cxnSpLocks noChangeShapeType="1"/>
        </xdr:cNvCxnSpPr>
      </xdr:nvCxnSpPr>
      <xdr:spPr bwMode="auto">
        <a:xfrm>
          <a:off x="2276475" y="9105900"/>
          <a:ext cx="0" cy="2095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303335</xdr:colOff>
      <xdr:row>53</xdr:row>
      <xdr:rowOff>14654</xdr:rowOff>
    </xdr:from>
    <xdr:to>
      <xdr:col>3</xdr:col>
      <xdr:colOff>762000</xdr:colOff>
      <xdr:row>54</xdr:row>
      <xdr:rowOff>19050</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2875085" y="12730529"/>
          <a:ext cx="458665" cy="242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0.25</a:t>
          </a:r>
        </a:p>
        <a:p>
          <a:endParaRPr kumimoji="1" lang="en-US" altLang="ja-JP" sz="1100" baseline="0"/>
        </a:p>
        <a:p>
          <a:endParaRPr kumimoji="1" lang="ja-JP" altLang="en-US" sz="1100" baseline="0"/>
        </a:p>
      </xdr:txBody>
    </xdr:sp>
    <xdr:clientData/>
  </xdr:twoCellAnchor>
  <xdr:twoCellAnchor>
    <xdr:from>
      <xdr:col>5</xdr:col>
      <xdr:colOff>371475</xdr:colOff>
      <xdr:row>54</xdr:row>
      <xdr:rowOff>66675</xdr:rowOff>
    </xdr:from>
    <xdr:to>
      <xdr:col>6</xdr:col>
      <xdr:colOff>609600</xdr:colOff>
      <xdr:row>54</xdr:row>
      <xdr:rowOff>66675</xdr:rowOff>
    </xdr:to>
    <xdr:cxnSp macro="">
      <xdr:nvCxnSpPr>
        <xdr:cNvPr id="19" name="直線矢印コネクタ 20">
          <a:extLst>
            <a:ext uri="{FF2B5EF4-FFF2-40B4-BE49-F238E27FC236}">
              <a16:creationId xmlns:a16="http://schemas.microsoft.com/office/drawing/2014/main" id="{00000000-0008-0000-0400-000013000000}"/>
            </a:ext>
          </a:extLst>
        </xdr:cNvPr>
        <xdr:cNvCxnSpPr>
          <a:cxnSpLocks noChangeShapeType="1"/>
        </xdr:cNvCxnSpPr>
      </xdr:nvCxnSpPr>
      <xdr:spPr bwMode="auto">
        <a:xfrm flipH="1">
          <a:off x="3848100" y="9334500"/>
          <a:ext cx="923925"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0</xdr:colOff>
      <xdr:row>53</xdr:row>
      <xdr:rowOff>80596</xdr:rowOff>
    </xdr:from>
    <xdr:to>
      <xdr:col>7</xdr:col>
      <xdr:colOff>263769</xdr:colOff>
      <xdr:row>54</xdr:row>
      <xdr:rowOff>156797</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4848225" y="9176971"/>
          <a:ext cx="263769" cy="247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P</a:t>
          </a:r>
        </a:p>
        <a:p>
          <a:endParaRPr kumimoji="1" lang="en-US" altLang="ja-JP" sz="1100" baseline="0"/>
        </a:p>
        <a:p>
          <a:endParaRPr kumimoji="1" lang="ja-JP" altLang="en-US" sz="1100" baseline="0"/>
        </a:p>
      </xdr:txBody>
    </xdr:sp>
    <xdr:clientData/>
  </xdr:twoCellAnchor>
  <xdr:twoCellAnchor>
    <xdr:from>
      <xdr:col>4</xdr:col>
      <xdr:colOff>361950</xdr:colOff>
      <xdr:row>75</xdr:row>
      <xdr:rowOff>123825</xdr:rowOff>
    </xdr:from>
    <xdr:to>
      <xdr:col>4</xdr:col>
      <xdr:colOff>361950</xdr:colOff>
      <xdr:row>77</xdr:row>
      <xdr:rowOff>171450</xdr:rowOff>
    </xdr:to>
    <xdr:cxnSp macro="">
      <xdr:nvCxnSpPr>
        <xdr:cNvPr id="21" name="直線コネクタ 41">
          <a:extLst>
            <a:ext uri="{FF2B5EF4-FFF2-40B4-BE49-F238E27FC236}">
              <a16:creationId xmlns:a16="http://schemas.microsoft.com/office/drawing/2014/main" id="{00000000-0008-0000-0400-000015000000}"/>
            </a:ext>
          </a:extLst>
        </xdr:cNvPr>
        <xdr:cNvCxnSpPr>
          <a:cxnSpLocks noChangeShapeType="1"/>
        </xdr:cNvCxnSpPr>
      </xdr:nvCxnSpPr>
      <xdr:spPr bwMode="auto">
        <a:xfrm>
          <a:off x="3152775" y="12992100"/>
          <a:ext cx="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676275</xdr:colOff>
      <xdr:row>75</xdr:row>
      <xdr:rowOff>104775</xdr:rowOff>
    </xdr:from>
    <xdr:to>
      <xdr:col>5</xdr:col>
      <xdr:colOff>676275</xdr:colOff>
      <xdr:row>77</xdr:row>
      <xdr:rowOff>152400</xdr:rowOff>
    </xdr:to>
    <xdr:cxnSp macro="">
      <xdr:nvCxnSpPr>
        <xdr:cNvPr id="22" name="直線コネクタ 42">
          <a:extLst>
            <a:ext uri="{FF2B5EF4-FFF2-40B4-BE49-F238E27FC236}">
              <a16:creationId xmlns:a16="http://schemas.microsoft.com/office/drawing/2014/main" id="{00000000-0008-0000-0400-000016000000}"/>
            </a:ext>
          </a:extLst>
        </xdr:cNvPr>
        <xdr:cNvCxnSpPr>
          <a:cxnSpLocks noChangeShapeType="1"/>
        </xdr:cNvCxnSpPr>
      </xdr:nvCxnSpPr>
      <xdr:spPr bwMode="auto">
        <a:xfrm>
          <a:off x="4152900" y="12973050"/>
          <a:ext cx="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419100</xdr:colOff>
      <xdr:row>77</xdr:row>
      <xdr:rowOff>66675</xdr:rowOff>
    </xdr:from>
    <xdr:to>
      <xdr:col>5</xdr:col>
      <xdr:colOff>647700</xdr:colOff>
      <xdr:row>77</xdr:row>
      <xdr:rowOff>85725</xdr:rowOff>
    </xdr:to>
    <xdr:cxnSp macro="">
      <xdr:nvCxnSpPr>
        <xdr:cNvPr id="23" name="直線矢印コネクタ 43">
          <a:extLst>
            <a:ext uri="{FF2B5EF4-FFF2-40B4-BE49-F238E27FC236}">
              <a16:creationId xmlns:a16="http://schemas.microsoft.com/office/drawing/2014/main" id="{00000000-0008-0000-0400-000017000000}"/>
            </a:ext>
          </a:extLst>
        </xdr:cNvPr>
        <xdr:cNvCxnSpPr>
          <a:cxnSpLocks noChangeShapeType="1"/>
        </xdr:cNvCxnSpPr>
      </xdr:nvCxnSpPr>
      <xdr:spPr bwMode="auto">
        <a:xfrm>
          <a:off x="3209925" y="13277850"/>
          <a:ext cx="914400" cy="190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322385</xdr:colOff>
      <xdr:row>77</xdr:row>
      <xdr:rowOff>168201</xdr:rowOff>
    </xdr:from>
    <xdr:to>
      <xdr:col>4</xdr:col>
      <xdr:colOff>847725</xdr:colOff>
      <xdr:row>79</xdr:row>
      <xdr:rowOff>81298</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3751385" y="18599076"/>
          <a:ext cx="525340" cy="3893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Dck3</a:t>
          </a:r>
          <a:endParaRPr kumimoji="1" lang="ja-JP" altLang="en-US" sz="1100" baseline="-25000"/>
        </a:p>
      </xdr:txBody>
    </xdr:sp>
    <xdr:clientData/>
  </xdr:twoCellAnchor>
  <xdr:twoCellAnchor>
    <xdr:from>
      <xdr:col>6</xdr:col>
      <xdr:colOff>66675</xdr:colOff>
      <xdr:row>75</xdr:row>
      <xdr:rowOff>66675</xdr:rowOff>
    </xdr:from>
    <xdr:to>
      <xdr:col>6</xdr:col>
      <xdr:colOff>514350</xdr:colOff>
      <xdr:row>75</xdr:row>
      <xdr:rowOff>66675</xdr:rowOff>
    </xdr:to>
    <xdr:cxnSp macro="">
      <xdr:nvCxnSpPr>
        <xdr:cNvPr id="25" name="直線コネクタ 46">
          <a:extLst>
            <a:ext uri="{FF2B5EF4-FFF2-40B4-BE49-F238E27FC236}">
              <a16:creationId xmlns:a16="http://schemas.microsoft.com/office/drawing/2014/main" id="{00000000-0008-0000-0400-000019000000}"/>
            </a:ext>
          </a:extLst>
        </xdr:cNvPr>
        <xdr:cNvCxnSpPr>
          <a:cxnSpLocks noChangeShapeType="1"/>
        </xdr:cNvCxnSpPr>
      </xdr:nvCxnSpPr>
      <xdr:spPr bwMode="auto">
        <a:xfrm>
          <a:off x="4229100" y="12934950"/>
          <a:ext cx="44767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514350</xdr:colOff>
      <xdr:row>72</xdr:row>
      <xdr:rowOff>19050</xdr:rowOff>
    </xdr:from>
    <xdr:to>
      <xdr:col>6</xdr:col>
      <xdr:colOff>514350</xdr:colOff>
      <xdr:row>75</xdr:row>
      <xdr:rowOff>57150</xdr:rowOff>
    </xdr:to>
    <xdr:cxnSp macro="">
      <xdr:nvCxnSpPr>
        <xdr:cNvPr id="26" name="直線矢印コネクタ 47">
          <a:extLst>
            <a:ext uri="{FF2B5EF4-FFF2-40B4-BE49-F238E27FC236}">
              <a16:creationId xmlns:a16="http://schemas.microsoft.com/office/drawing/2014/main" id="{00000000-0008-0000-0400-00001A000000}"/>
            </a:ext>
          </a:extLst>
        </xdr:cNvPr>
        <xdr:cNvCxnSpPr>
          <a:cxnSpLocks noChangeShapeType="1"/>
        </xdr:cNvCxnSpPr>
      </xdr:nvCxnSpPr>
      <xdr:spPr bwMode="auto">
        <a:xfrm>
          <a:off x="4676775" y="12372975"/>
          <a:ext cx="0" cy="5524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590932</xdr:colOff>
      <xdr:row>72</xdr:row>
      <xdr:rowOff>139213</xdr:rowOff>
    </xdr:from>
    <xdr:to>
      <xdr:col>7</xdr:col>
      <xdr:colOff>164698</xdr:colOff>
      <xdr:row>74</xdr:row>
      <xdr:rowOff>52310</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4753357" y="12493138"/>
          <a:ext cx="259566" cy="2559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t>ｄ</a:t>
          </a:r>
          <a:r>
            <a:rPr kumimoji="1" lang="en-US" altLang="ja-JP" sz="1100" baseline="0"/>
            <a:t>k3</a:t>
          </a:r>
        </a:p>
        <a:p>
          <a:endParaRPr kumimoji="1" lang="ja-JP" altLang="en-US" sz="1100" baseline="0"/>
        </a:p>
      </xdr:txBody>
    </xdr:sp>
    <xdr:clientData/>
  </xdr:twoCellAnchor>
  <xdr:twoCellAnchor>
    <xdr:from>
      <xdr:col>4</xdr:col>
      <xdr:colOff>4269</xdr:colOff>
      <xdr:row>30</xdr:row>
      <xdr:rowOff>6569</xdr:rowOff>
    </xdr:from>
    <xdr:to>
      <xdr:col>4</xdr:col>
      <xdr:colOff>166194</xdr:colOff>
      <xdr:row>31</xdr:row>
      <xdr:rowOff>206594</xdr:rowOff>
    </xdr:to>
    <xdr:sp macro="" textlink="">
      <xdr:nvSpPr>
        <xdr:cNvPr id="28" name="左中かっこ 50">
          <a:extLst>
            <a:ext uri="{FF2B5EF4-FFF2-40B4-BE49-F238E27FC236}">
              <a16:creationId xmlns:a16="http://schemas.microsoft.com/office/drawing/2014/main" id="{00000000-0008-0000-0400-00001C000000}"/>
            </a:ext>
          </a:extLst>
        </xdr:cNvPr>
        <xdr:cNvSpPr>
          <a:spLocks/>
        </xdr:cNvSpPr>
      </xdr:nvSpPr>
      <xdr:spPr bwMode="auto">
        <a:xfrm>
          <a:off x="3433269" y="5873969"/>
          <a:ext cx="161925" cy="419100"/>
        </a:xfrm>
        <a:prstGeom prst="leftBrace">
          <a:avLst>
            <a:gd name="adj1" fmla="val 481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9525</xdr:colOff>
      <xdr:row>30</xdr:row>
      <xdr:rowOff>19050</xdr:rowOff>
    </xdr:from>
    <xdr:to>
      <xdr:col>6</xdr:col>
      <xdr:colOff>76200</xdr:colOff>
      <xdr:row>32</xdr:row>
      <xdr:rowOff>0</xdr:rowOff>
    </xdr:to>
    <xdr:sp macro="" textlink="">
      <xdr:nvSpPr>
        <xdr:cNvPr id="29" name="右中かっこ 51">
          <a:extLst>
            <a:ext uri="{FF2B5EF4-FFF2-40B4-BE49-F238E27FC236}">
              <a16:creationId xmlns:a16="http://schemas.microsoft.com/office/drawing/2014/main" id="{00000000-0008-0000-0400-00001D000000}"/>
            </a:ext>
          </a:extLst>
        </xdr:cNvPr>
        <xdr:cNvSpPr>
          <a:spLocks/>
        </xdr:cNvSpPr>
      </xdr:nvSpPr>
      <xdr:spPr bwMode="auto">
        <a:xfrm>
          <a:off x="4171950" y="4762500"/>
          <a:ext cx="66675" cy="381000"/>
        </a:xfrm>
        <a:prstGeom prst="rightBrace">
          <a:avLst>
            <a:gd name="adj1" fmla="val 8810"/>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666750</xdr:colOff>
      <xdr:row>37</xdr:row>
      <xdr:rowOff>152400</xdr:rowOff>
    </xdr:from>
    <xdr:to>
      <xdr:col>3</xdr:col>
      <xdr:colOff>19050</xdr:colOff>
      <xdr:row>40</xdr:row>
      <xdr:rowOff>47625</xdr:rowOff>
    </xdr:to>
    <xdr:sp macro="" textlink="">
      <xdr:nvSpPr>
        <xdr:cNvPr id="30" name="左中かっこ 52">
          <a:extLst>
            <a:ext uri="{FF2B5EF4-FFF2-40B4-BE49-F238E27FC236}">
              <a16:creationId xmlns:a16="http://schemas.microsoft.com/office/drawing/2014/main" id="{00000000-0008-0000-0400-00001E000000}"/>
            </a:ext>
          </a:extLst>
        </xdr:cNvPr>
        <xdr:cNvSpPr>
          <a:spLocks/>
        </xdr:cNvSpPr>
      </xdr:nvSpPr>
      <xdr:spPr bwMode="auto">
        <a:xfrm>
          <a:off x="2381250" y="7410450"/>
          <a:ext cx="209550" cy="495300"/>
        </a:xfrm>
        <a:prstGeom prst="leftBrace">
          <a:avLst>
            <a:gd name="adj1" fmla="val 10116"/>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38100</xdr:colOff>
      <xdr:row>37</xdr:row>
      <xdr:rowOff>38100</xdr:rowOff>
    </xdr:from>
    <xdr:to>
      <xdr:col>11</xdr:col>
      <xdr:colOff>85725</xdr:colOff>
      <xdr:row>39</xdr:row>
      <xdr:rowOff>142875</xdr:rowOff>
    </xdr:to>
    <xdr:sp macro="" textlink="">
      <xdr:nvSpPr>
        <xdr:cNvPr id="31" name="右中かっこ 53">
          <a:extLst>
            <a:ext uri="{FF2B5EF4-FFF2-40B4-BE49-F238E27FC236}">
              <a16:creationId xmlns:a16="http://schemas.microsoft.com/office/drawing/2014/main" id="{00000000-0008-0000-0400-00001F000000}"/>
            </a:ext>
          </a:extLst>
        </xdr:cNvPr>
        <xdr:cNvSpPr>
          <a:spLocks/>
        </xdr:cNvSpPr>
      </xdr:nvSpPr>
      <xdr:spPr bwMode="auto">
        <a:xfrm>
          <a:off x="7734300" y="6076950"/>
          <a:ext cx="47625" cy="476250"/>
        </a:xfrm>
        <a:prstGeom prst="rightBrace">
          <a:avLst>
            <a:gd name="adj1" fmla="val 8102"/>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73</xdr:row>
      <xdr:rowOff>38100</xdr:rowOff>
    </xdr:from>
    <xdr:to>
      <xdr:col>4</xdr:col>
      <xdr:colOff>409575</xdr:colOff>
      <xdr:row>73</xdr:row>
      <xdr:rowOff>38100</xdr:rowOff>
    </xdr:to>
    <xdr:cxnSp macro="">
      <xdr:nvCxnSpPr>
        <xdr:cNvPr id="32" name="直線コネクタ 8">
          <a:extLst>
            <a:ext uri="{FF2B5EF4-FFF2-40B4-BE49-F238E27FC236}">
              <a16:creationId xmlns:a16="http://schemas.microsoft.com/office/drawing/2014/main" id="{00000000-0008-0000-0400-000020000000}"/>
            </a:ext>
          </a:extLst>
        </xdr:cNvPr>
        <xdr:cNvCxnSpPr>
          <a:cxnSpLocks noChangeShapeType="1"/>
        </xdr:cNvCxnSpPr>
      </xdr:nvCxnSpPr>
      <xdr:spPr bwMode="auto">
        <a:xfrm flipH="1">
          <a:off x="2447925" y="12563475"/>
          <a:ext cx="75247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66675</xdr:colOff>
      <xdr:row>72</xdr:row>
      <xdr:rowOff>0</xdr:rowOff>
    </xdr:from>
    <xdr:to>
      <xdr:col>4</xdr:col>
      <xdr:colOff>66675</xdr:colOff>
      <xdr:row>73</xdr:row>
      <xdr:rowOff>9525</xdr:rowOff>
    </xdr:to>
    <xdr:cxnSp macro="">
      <xdr:nvCxnSpPr>
        <xdr:cNvPr id="33" name="直線矢印コネクタ 12">
          <a:extLst>
            <a:ext uri="{FF2B5EF4-FFF2-40B4-BE49-F238E27FC236}">
              <a16:creationId xmlns:a16="http://schemas.microsoft.com/office/drawing/2014/main" id="{00000000-0008-0000-0400-000021000000}"/>
            </a:ext>
          </a:extLst>
        </xdr:cNvPr>
        <xdr:cNvCxnSpPr>
          <a:cxnSpLocks noChangeShapeType="1"/>
        </xdr:cNvCxnSpPr>
      </xdr:nvCxnSpPr>
      <xdr:spPr bwMode="auto">
        <a:xfrm flipV="1">
          <a:off x="2857500" y="12353925"/>
          <a:ext cx="0" cy="18097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328448</xdr:colOff>
      <xdr:row>71</xdr:row>
      <xdr:rowOff>236811</xdr:rowOff>
    </xdr:from>
    <xdr:to>
      <xdr:col>4</xdr:col>
      <xdr:colOff>45983</xdr:colOff>
      <xdr:row>73</xdr:row>
      <xdr:rowOff>150775</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2900198" y="17238936"/>
          <a:ext cx="574785" cy="390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0.15</a:t>
          </a:r>
        </a:p>
        <a:p>
          <a:endParaRPr kumimoji="1" lang="en-US" altLang="ja-JP" sz="1100" baseline="0"/>
        </a:p>
        <a:p>
          <a:endParaRPr kumimoji="1" lang="ja-JP" altLang="en-US" sz="1100" baseline="0"/>
        </a:p>
      </xdr:txBody>
    </xdr:sp>
    <xdr:clientData/>
  </xdr:twoCellAnchor>
  <xdr:twoCellAnchor editAs="oneCell">
    <xdr:from>
      <xdr:col>12</xdr:col>
      <xdr:colOff>352425</xdr:colOff>
      <xdr:row>1</xdr:row>
      <xdr:rowOff>57150</xdr:rowOff>
    </xdr:from>
    <xdr:to>
      <xdr:col>18</xdr:col>
      <xdr:colOff>333375</xdr:colOff>
      <xdr:row>16</xdr:row>
      <xdr:rowOff>133350</xdr:rowOff>
    </xdr:to>
    <xdr:pic>
      <xdr:nvPicPr>
        <xdr:cNvPr id="35" name="図 1">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4425" y="228600"/>
          <a:ext cx="4581525" cy="368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44824</xdr:colOff>
      <xdr:row>17</xdr:row>
      <xdr:rowOff>190500</xdr:rowOff>
    </xdr:from>
    <xdr:to>
      <xdr:col>18</xdr:col>
      <xdr:colOff>188265</xdr:colOff>
      <xdr:row>31</xdr:row>
      <xdr:rowOff>9413</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2"/>
        <a:stretch>
          <a:fillRect/>
        </a:stretch>
      </xdr:blipFill>
      <xdr:spPr>
        <a:xfrm>
          <a:off x="10903324" y="4191000"/>
          <a:ext cx="4054294" cy="3180678"/>
        </a:xfrm>
        <a:prstGeom prst="rect">
          <a:avLst/>
        </a:prstGeom>
      </xdr:spPr>
    </xdr:pic>
    <xdr:clientData/>
  </xdr:twoCellAnchor>
  <xdr:twoCellAnchor editAs="oneCell">
    <xdr:from>
      <xdr:col>12</xdr:col>
      <xdr:colOff>519393</xdr:colOff>
      <xdr:row>31</xdr:row>
      <xdr:rowOff>219075</xdr:rowOff>
    </xdr:from>
    <xdr:to>
      <xdr:col>18</xdr:col>
      <xdr:colOff>43719</xdr:colOff>
      <xdr:row>51</xdr:row>
      <xdr:rowOff>165390</xdr:rowOff>
    </xdr:to>
    <xdr:pic>
      <xdr:nvPicPr>
        <xdr:cNvPr id="40" name="図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3"/>
        <a:stretch>
          <a:fillRect/>
        </a:stretch>
      </xdr:blipFill>
      <xdr:spPr>
        <a:xfrm>
          <a:off x="10694334" y="7581340"/>
          <a:ext cx="4118738" cy="4697609"/>
        </a:xfrm>
        <a:prstGeom prst="rect">
          <a:avLst/>
        </a:prstGeom>
      </xdr:spPr>
    </xdr:pic>
    <xdr:clientData/>
  </xdr:twoCellAnchor>
  <xdr:twoCellAnchor>
    <xdr:from>
      <xdr:col>3</xdr:col>
      <xdr:colOff>381000</xdr:colOff>
      <xdr:row>75</xdr:row>
      <xdr:rowOff>67235</xdr:rowOff>
    </xdr:from>
    <xdr:to>
      <xdr:col>4</xdr:col>
      <xdr:colOff>347382</xdr:colOff>
      <xdr:row>75</xdr:row>
      <xdr:rowOff>67235</xdr:rowOff>
    </xdr:to>
    <xdr:cxnSp macro="">
      <xdr:nvCxnSpPr>
        <xdr:cNvPr id="38" name="直線コネクタ 37">
          <a:extLst>
            <a:ext uri="{FF2B5EF4-FFF2-40B4-BE49-F238E27FC236}">
              <a16:creationId xmlns:a16="http://schemas.microsoft.com/office/drawing/2014/main" id="{00000000-0008-0000-0400-000026000000}"/>
            </a:ext>
          </a:extLst>
        </xdr:cNvPr>
        <xdr:cNvCxnSpPr/>
      </xdr:nvCxnSpPr>
      <xdr:spPr bwMode="auto">
        <a:xfrm>
          <a:off x="2969559" y="17828559"/>
          <a:ext cx="829235" cy="0"/>
        </a:xfrm>
        <a:prstGeom prst="line">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56029</xdr:colOff>
      <xdr:row>73</xdr:row>
      <xdr:rowOff>11206</xdr:rowOff>
    </xdr:from>
    <xdr:to>
      <xdr:col>4</xdr:col>
      <xdr:colOff>56029</xdr:colOff>
      <xdr:row>75</xdr:row>
      <xdr:rowOff>100852</xdr:rowOff>
    </xdr:to>
    <xdr:cxnSp macro="">
      <xdr:nvCxnSpPr>
        <xdr:cNvPr id="41" name="直線矢印コネクタ 47">
          <a:extLst>
            <a:ext uri="{FF2B5EF4-FFF2-40B4-BE49-F238E27FC236}">
              <a16:creationId xmlns:a16="http://schemas.microsoft.com/office/drawing/2014/main" id="{00000000-0008-0000-0400-000029000000}"/>
            </a:ext>
          </a:extLst>
        </xdr:cNvPr>
        <xdr:cNvCxnSpPr>
          <a:cxnSpLocks noChangeShapeType="1"/>
        </xdr:cNvCxnSpPr>
      </xdr:nvCxnSpPr>
      <xdr:spPr bwMode="auto">
        <a:xfrm>
          <a:off x="3507441" y="17301882"/>
          <a:ext cx="0" cy="560294"/>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392206</xdr:colOff>
      <xdr:row>73</xdr:row>
      <xdr:rowOff>201706</xdr:rowOff>
    </xdr:from>
    <xdr:to>
      <xdr:col>3</xdr:col>
      <xdr:colOff>828825</xdr:colOff>
      <xdr:row>74</xdr:row>
      <xdr:rowOff>201706</xdr:rowOff>
    </xdr:to>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2980765" y="17492382"/>
          <a:ext cx="436619" cy="23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tc</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xdr:colOff>
      <xdr:row>1</xdr:row>
      <xdr:rowOff>121920</xdr:rowOff>
    </xdr:from>
    <xdr:to>
      <xdr:col>2</xdr:col>
      <xdr:colOff>114300</xdr:colOff>
      <xdr:row>7</xdr:row>
      <xdr:rowOff>99060</xdr:rowOff>
    </xdr:to>
    <xdr:pic>
      <xdr:nvPicPr>
        <xdr:cNvPr id="2" name="Picture 3" descr="JS-1round">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 y="4411980"/>
          <a:ext cx="71628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xdr:colOff>
      <xdr:row>9</xdr:row>
      <xdr:rowOff>60960</xdr:rowOff>
    </xdr:from>
    <xdr:to>
      <xdr:col>2</xdr:col>
      <xdr:colOff>457200</xdr:colOff>
      <xdr:row>15</xdr:row>
      <xdr:rowOff>45720</xdr:rowOff>
    </xdr:to>
    <xdr:pic>
      <xdr:nvPicPr>
        <xdr:cNvPr id="5" name="Picture 2" descr="JS-1square">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460" y="3390900"/>
          <a:ext cx="105156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28575</xdr:colOff>
      <xdr:row>4</xdr:row>
      <xdr:rowOff>19050</xdr:rowOff>
    </xdr:from>
    <xdr:to>
      <xdr:col>15</xdr:col>
      <xdr:colOff>276225</xdr:colOff>
      <xdr:row>19</xdr:row>
      <xdr:rowOff>19050</xdr:rowOff>
    </xdr:to>
    <xdr:sp macro="" textlink="">
      <xdr:nvSpPr>
        <xdr:cNvPr id="280" name="正方形/長方形 1">
          <a:extLst>
            <a:ext uri="{FF2B5EF4-FFF2-40B4-BE49-F238E27FC236}">
              <a16:creationId xmlns:a16="http://schemas.microsoft.com/office/drawing/2014/main" id="{00000000-0008-0000-0600-000018010000}"/>
            </a:ext>
          </a:extLst>
        </xdr:cNvPr>
        <xdr:cNvSpPr>
          <a:spLocks noChangeArrowheads="1"/>
        </xdr:cNvSpPr>
      </xdr:nvSpPr>
      <xdr:spPr bwMode="auto">
        <a:xfrm>
          <a:off x="11553825" y="4924425"/>
          <a:ext cx="247650" cy="2857500"/>
        </a:xfrm>
        <a:prstGeom prst="rect">
          <a:avLst/>
        </a:prstGeom>
        <a:noFill/>
        <a:ln w="1905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933450</xdr:colOff>
      <xdr:row>15</xdr:row>
      <xdr:rowOff>9525</xdr:rowOff>
    </xdr:from>
    <xdr:to>
      <xdr:col>16</xdr:col>
      <xdr:colOff>19050</xdr:colOff>
      <xdr:row>15</xdr:row>
      <xdr:rowOff>9525</xdr:rowOff>
    </xdr:to>
    <xdr:cxnSp macro="">
      <xdr:nvCxnSpPr>
        <xdr:cNvPr id="281" name="直線コネクタ 6">
          <a:extLst>
            <a:ext uri="{FF2B5EF4-FFF2-40B4-BE49-F238E27FC236}">
              <a16:creationId xmlns:a16="http://schemas.microsoft.com/office/drawing/2014/main" id="{00000000-0008-0000-0600-000019010000}"/>
            </a:ext>
          </a:extLst>
        </xdr:cNvPr>
        <xdr:cNvCxnSpPr>
          <a:cxnSpLocks noChangeShapeType="1"/>
        </xdr:cNvCxnSpPr>
      </xdr:nvCxnSpPr>
      <xdr:spPr bwMode="auto">
        <a:xfrm>
          <a:off x="10477500" y="7010400"/>
          <a:ext cx="20574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38100</xdr:colOff>
      <xdr:row>12</xdr:row>
      <xdr:rowOff>142875</xdr:rowOff>
    </xdr:from>
    <xdr:to>
      <xdr:col>15</xdr:col>
      <xdr:colOff>390525</xdr:colOff>
      <xdr:row>15</xdr:row>
      <xdr:rowOff>9525</xdr:rowOff>
    </xdr:to>
    <xdr:cxnSp macro="">
      <xdr:nvCxnSpPr>
        <xdr:cNvPr id="282" name="直線コネクタ 8">
          <a:extLst>
            <a:ext uri="{FF2B5EF4-FFF2-40B4-BE49-F238E27FC236}">
              <a16:creationId xmlns:a16="http://schemas.microsoft.com/office/drawing/2014/main" id="{00000000-0008-0000-0600-00001A010000}"/>
            </a:ext>
          </a:extLst>
        </xdr:cNvPr>
        <xdr:cNvCxnSpPr>
          <a:cxnSpLocks noChangeShapeType="1"/>
        </xdr:cNvCxnSpPr>
      </xdr:nvCxnSpPr>
      <xdr:spPr bwMode="auto">
        <a:xfrm flipV="1">
          <a:off x="11563350" y="6572250"/>
          <a:ext cx="352425" cy="43815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285750</xdr:colOff>
      <xdr:row>12</xdr:row>
      <xdr:rowOff>161925</xdr:rowOff>
    </xdr:from>
    <xdr:to>
      <xdr:col>15</xdr:col>
      <xdr:colOff>638175</xdr:colOff>
      <xdr:row>15</xdr:row>
      <xdr:rowOff>19050</xdr:rowOff>
    </xdr:to>
    <xdr:cxnSp macro="">
      <xdr:nvCxnSpPr>
        <xdr:cNvPr id="283" name="直線コネクタ 9">
          <a:extLst>
            <a:ext uri="{FF2B5EF4-FFF2-40B4-BE49-F238E27FC236}">
              <a16:creationId xmlns:a16="http://schemas.microsoft.com/office/drawing/2014/main" id="{00000000-0008-0000-0600-00001B010000}"/>
            </a:ext>
          </a:extLst>
        </xdr:cNvPr>
        <xdr:cNvCxnSpPr>
          <a:cxnSpLocks noChangeShapeType="1"/>
        </xdr:cNvCxnSpPr>
      </xdr:nvCxnSpPr>
      <xdr:spPr bwMode="auto">
        <a:xfrm flipV="1">
          <a:off x="11811000" y="6591300"/>
          <a:ext cx="352425" cy="4286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371475</xdr:colOff>
      <xdr:row>12</xdr:row>
      <xdr:rowOff>161925</xdr:rowOff>
    </xdr:from>
    <xdr:to>
      <xdr:col>15</xdr:col>
      <xdr:colOff>676275</xdr:colOff>
      <xdr:row>12</xdr:row>
      <xdr:rowOff>161925</xdr:rowOff>
    </xdr:to>
    <xdr:cxnSp macro="">
      <xdr:nvCxnSpPr>
        <xdr:cNvPr id="284" name="直線矢印コネクタ 11">
          <a:extLst>
            <a:ext uri="{FF2B5EF4-FFF2-40B4-BE49-F238E27FC236}">
              <a16:creationId xmlns:a16="http://schemas.microsoft.com/office/drawing/2014/main" id="{00000000-0008-0000-0600-00001C010000}"/>
            </a:ext>
          </a:extLst>
        </xdr:cNvPr>
        <xdr:cNvCxnSpPr>
          <a:cxnSpLocks noChangeShapeType="1"/>
        </xdr:cNvCxnSpPr>
      </xdr:nvCxnSpPr>
      <xdr:spPr bwMode="auto">
        <a:xfrm>
          <a:off x="11896725" y="6591300"/>
          <a:ext cx="304800"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411041</xdr:colOff>
      <xdr:row>11</xdr:row>
      <xdr:rowOff>16852</xdr:rowOff>
    </xdr:from>
    <xdr:to>
      <xdr:col>15</xdr:col>
      <xdr:colOff>886557</xdr:colOff>
      <xdr:row>12</xdr:row>
      <xdr:rowOff>93052</xdr:rowOff>
    </xdr:to>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11936291" y="6255727"/>
          <a:ext cx="475516"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ｄ’</a:t>
          </a:r>
          <a:endParaRPr kumimoji="1" lang="ja-JP" altLang="en-US" sz="1100" baseline="-25000"/>
        </a:p>
      </xdr:txBody>
    </xdr:sp>
    <xdr:clientData/>
  </xdr:twoCellAnchor>
  <xdr:twoCellAnchor>
    <xdr:from>
      <xdr:col>13</xdr:col>
      <xdr:colOff>542192</xdr:colOff>
      <xdr:row>19</xdr:row>
      <xdr:rowOff>36635</xdr:rowOff>
    </xdr:from>
    <xdr:to>
      <xdr:col>15</xdr:col>
      <xdr:colOff>0</xdr:colOff>
      <xdr:row>19</xdr:row>
      <xdr:rowOff>36635</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bwMode="auto">
        <a:xfrm flipH="1">
          <a:off x="10086242" y="7799510"/>
          <a:ext cx="1439008"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514350</xdr:colOff>
      <xdr:row>4</xdr:row>
      <xdr:rowOff>9525</xdr:rowOff>
    </xdr:from>
    <xdr:to>
      <xdr:col>15</xdr:col>
      <xdr:colOff>19050</xdr:colOff>
      <xdr:row>4</xdr:row>
      <xdr:rowOff>9525</xdr:rowOff>
    </xdr:to>
    <xdr:cxnSp macro="">
      <xdr:nvCxnSpPr>
        <xdr:cNvPr id="287" name="直線コネクタ 18">
          <a:extLst>
            <a:ext uri="{FF2B5EF4-FFF2-40B4-BE49-F238E27FC236}">
              <a16:creationId xmlns:a16="http://schemas.microsoft.com/office/drawing/2014/main" id="{00000000-0008-0000-0600-00001F010000}"/>
            </a:ext>
          </a:extLst>
        </xdr:cNvPr>
        <xdr:cNvCxnSpPr>
          <a:cxnSpLocks noChangeShapeType="1"/>
        </xdr:cNvCxnSpPr>
      </xdr:nvCxnSpPr>
      <xdr:spPr bwMode="auto">
        <a:xfrm>
          <a:off x="10058400" y="4914900"/>
          <a:ext cx="14859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828675</xdr:colOff>
      <xdr:row>4</xdr:row>
      <xdr:rowOff>19050</xdr:rowOff>
    </xdr:from>
    <xdr:to>
      <xdr:col>13</xdr:col>
      <xdr:colOff>828675</xdr:colOff>
      <xdr:row>19</xdr:row>
      <xdr:rowOff>19050</xdr:rowOff>
    </xdr:to>
    <xdr:cxnSp macro="">
      <xdr:nvCxnSpPr>
        <xdr:cNvPr id="288" name="直線コネクタ 22">
          <a:extLst>
            <a:ext uri="{FF2B5EF4-FFF2-40B4-BE49-F238E27FC236}">
              <a16:creationId xmlns:a16="http://schemas.microsoft.com/office/drawing/2014/main" id="{00000000-0008-0000-0600-000020010000}"/>
            </a:ext>
          </a:extLst>
        </xdr:cNvPr>
        <xdr:cNvCxnSpPr>
          <a:cxnSpLocks noChangeShapeType="1"/>
        </xdr:cNvCxnSpPr>
      </xdr:nvCxnSpPr>
      <xdr:spPr bwMode="auto">
        <a:xfrm>
          <a:off x="10372725" y="4924425"/>
          <a:ext cx="0" cy="28575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95250</xdr:colOff>
      <xdr:row>15</xdr:row>
      <xdr:rowOff>47625</xdr:rowOff>
    </xdr:from>
    <xdr:to>
      <xdr:col>14</xdr:col>
      <xdr:colOff>95250</xdr:colOff>
      <xdr:row>19</xdr:row>
      <xdr:rowOff>9525</xdr:rowOff>
    </xdr:to>
    <xdr:cxnSp macro="">
      <xdr:nvCxnSpPr>
        <xdr:cNvPr id="289" name="直線矢印コネクタ 27">
          <a:extLst>
            <a:ext uri="{FF2B5EF4-FFF2-40B4-BE49-F238E27FC236}">
              <a16:creationId xmlns:a16="http://schemas.microsoft.com/office/drawing/2014/main" id="{00000000-0008-0000-0600-000021010000}"/>
            </a:ext>
          </a:extLst>
        </xdr:cNvPr>
        <xdr:cNvCxnSpPr>
          <a:cxnSpLocks noChangeShapeType="1"/>
        </xdr:cNvCxnSpPr>
      </xdr:nvCxnSpPr>
      <xdr:spPr bwMode="auto">
        <a:xfrm flipV="1">
          <a:off x="10629900" y="7048500"/>
          <a:ext cx="0" cy="7239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43962</xdr:colOff>
      <xdr:row>16</xdr:row>
      <xdr:rowOff>153865</xdr:rowOff>
    </xdr:from>
    <xdr:to>
      <xdr:col>14</xdr:col>
      <xdr:colOff>373673</xdr:colOff>
      <xdr:row>18</xdr:row>
      <xdr:rowOff>39566</xdr:rowOff>
    </xdr:to>
    <xdr:sp macro="" textlink="">
      <xdr:nvSpPr>
        <xdr:cNvPr id="290" name="テキスト ボックス 289">
          <a:extLst>
            <a:ext uri="{FF2B5EF4-FFF2-40B4-BE49-F238E27FC236}">
              <a16:creationId xmlns:a16="http://schemas.microsoft.com/office/drawing/2014/main" id="{00000000-0008-0000-0600-000022010000}"/>
            </a:ext>
          </a:extLst>
        </xdr:cNvPr>
        <xdr:cNvSpPr txBox="1"/>
      </xdr:nvSpPr>
      <xdr:spPr>
        <a:xfrm>
          <a:off x="10578612" y="7345240"/>
          <a:ext cx="329711"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h0</a:t>
          </a:r>
          <a:endParaRPr kumimoji="1" lang="ja-JP" altLang="en-US" sz="1100" baseline="-25000"/>
        </a:p>
      </xdr:txBody>
    </xdr:sp>
    <xdr:clientData/>
  </xdr:twoCellAnchor>
  <xdr:twoCellAnchor>
    <xdr:from>
      <xdr:col>14</xdr:col>
      <xdr:colOff>76200</xdr:colOff>
      <xdr:row>4</xdr:row>
      <xdr:rowOff>19050</xdr:rowOff>
    </xdr:from>
    <xdr:to>
      <xdr:col>14</xdr:col>
      <xdr:colOff>76200</xdr:colOff>
      <xdr:row>15</xdr:row>
      <xdr:rowOff>9525</xdr:rowOff>
    </xdr:to>
    <xdr:cxnSp macro="">
      <xdr:nvCxnSpPr>
        <xdr:cNvPr id="291" name="直線矢印コネクタ 32">
          <a:extLst>
            <a:ext uri="{FF2B5EF4-FFF2-40B4-BE49-F238E27FC236}">
              <a16:creationId xmlns:a16="http://schemas.microsoft.com/office/drawing/2014/main" id="{00000000-0008-0000-0600-000023010000}"/>
            </a:ext>
          </a:extLst>
        </xdr:cNvPr>
        <xdr:cNvCxnSpPr>
          <a:cxnSpLocks noChangeShapeType="1"/>
        </xdr:cNvCxnSpPr>
      </xdr:nvCxnSpPr>
      <xdr:spPr bwMode="auto">
        <a:xfrm flipV="1">
          <a:off x="10610850" y="4924425"/>
          <a:ext cx="0" cy="208597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21982</xdr:colOff>
      <xdr:row>7</xdr:row>
      <xdr:rowOff>153866</xdr:rowOff>
    </xdr:from>
    <xdr:to>
      <xdr:col>14</xdr:col>
      <xdr:colOff>373674</xdr:colOff>
      <xdr:row>9</xdr:row>
      <xdr:rowOff>39567</xdr:rowOff>
    </xdr:to>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10556632" y="5630741"/>
          <a:ext cx="351692"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h1</a:t>
          </a:r>
          <a:endParaRPr kumimoji="1" lang="ja-JP" altLang="en-US" sz="1100" baseline="0"/>
        </a:p>
      </xdr:txBody>
    </xdr:sp>
    <xdr:clientData/>
  </xdr:twoCellAnchor>
  <xdr:twoCellAnchor>
    <xdr:from>
      <xdr:col>15</xdr:col>
      <xdr:colOff>9525</xdr:colOff>
      <xdr:row>2</xdr:row>
      <xdr:rowOff>47625</xdr:rowOff>
    </xdr:from>
    <xdr:to>
      <xdr:col>15</xdr:col>
      <xdr:colOff>238125</xdr:colOff>
      <xdr:row>4</xdr:row>
      <xdr:rowOff>28575</xdr:rowOff>
    </xdr:to>
    <xdr:cxnSp macro="">
      <xdr:nvCxnSpPr>
        <xdr:cNvPr id="293" name="直線コネクタ 8">
          <a:extLst>
            <a:ext uri="{FF2B5EF4-FFF2-40B4-BE49-F238E27FC236}">
              <a16:creationId xmlns:a16="http://schemas.microsoft.com/office/drawing/2014/main" id="{00000000-0008-0000-0600-000025010000}"/>
            </a:ext>
          </a:extLst>
        </xdr:cNvPr>
        <xdr:cNvCxnSpPr>
          <a:cxnSpLocks noChangeShapeType="1"/>
        </xdr:cNvCxnSpPr>
      </xdr:nvCxnSpPr>
      <xdr:spPr bwMode="auto">
        <a:xfrm flipV="1">
          <a:off x="11534775" y="4572000"/>
          <a:ext cx="228600" cy="36195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266700</xdr:colOff>
      <xdr:row>2</xdr:row>
      <xdr:rowOff>57150</xdr:rowOff>
    </xdr:from>
    <xdr:to>
      <xdr:col>15</xdr:col>
      <xdr:colOff>476250</xdr:colOff>
      <xdr:row>4</xdr:row>
      <xdr:rowOff>9525</xdr:rowOff>
    </xdr:to>
    <xdr:cxnSp macro="">
      <xdr:nvCxnSpPr>
        <xdr:cNvPr id="294" name="直線コネクタ 9">
          <a:extLst>
            <a:ext uri="{FF2B5EF4-FFF2-40B4-BE49-F238E27FC236}">
              <a16:creationId xmlns:a16="http://schemas.microsoft.com/office/drawing/2014/main" id="{00000000-0008-0000-0600-000026010000}"/>
            </a:ext>
          </a:extLst>
        </xdr:cNvPr>
        <xdr:cNvCxnSpPr>
          <a:cxnSpLocks noChangeShapeType="1"/>
        </xdr:cNvCxnSpPr>
      </xdr:nvCxnSpPr>
      <xdr:spPr bwMode="auto">
        <a:xfrm flipV="1">
          <a:off x="11791950" y="4581525"/>
          <a:ext cx="209550" cy="33337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228600</xdr:colOff>
      <xdr:row>2</xdr:row>
      <xdr:rowOff>57150</xdr:rowOff>
    </xdr:from>
    <xdr:to>
      <xdr:col>15</xdr:col>
      <xdr:colOff>485775</xdr:colOff>
      <xdr:row>2</xdr:row>
      <xdr:rowOff>66675</xdr:rowOff>
    </xdr:to>
    <xdr:cxnSp macro="">
      <xdr:nvCxnSpPr>
        <xdr:cNvPr id="295" name="直線矢印コネクタ 11">
          <a:extLst>
            <a:ext uri="{FF2B5EF4-FFF2-40B4-BE49-F238E27FC236}">
              <a16:creationId xmlns:a16="http://schemas.microsoft.com/office/drawing/2014/main" id="{00000000-0008-0000-0600-000027010000}"/>
            </a:ext>
          </a:extLst>
        </xdr:cNvPr>
        <xdr:cNvCxnSpPr>
          <a:cxnSpLocks noChangeShapeType="1"/>
        </xdr:cNvCxnSpPr>
      </xdr:nvCxnSpPr>
      <xdr:spPr bwMode="auto">
        <a:xfrm flipV="1">
          <a:off x="11753850" y="4581525"/>
          <a:ext cx="257175" cy="95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527539</xdr:colOff>
      <xdr:row>1</xdr:row>
      <xdr:rowOff>87923</xdr:rowOff>
    </xdr:from>
    <xdr:to>
      <xdr:col>15</xdr:col>
      <xdr:colOff>864577</xdr:colOff>
      <xdr:row>2</xdr:row>
      <xdr:rowOff>164123</xdr:rowOff>
    </xdr:to>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12052789" y="4421798"/>
          <a:ext cx="337038"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ｄ</a:t>
          </a:r>
          <a:endParaRPr kumimoji="1" lang="ja-JP" altLang="en-US" sz="1100" baseline="-25000"/>
        </a:p>
      </xdr:txBody>
    </xdr:sp>
    <xdr:clientData/>
  </xdr:twoCellAnchor>
  <xdr:twoCellAnchor>
    <xdr:from>
      <xdr:col>15</xdr:col>
      <xdr:colOff>419100</xdr:colOff>
      <xdr:row>15</xdr:row>
      <xdr:rowOff>19050</xdr:rowOff>
    </xdr:from>
    <xdr:to>
      <xdr:col>15</xdr:col>
      <xdr:colOff>571500</xdr:colOff>
      <xdr:row>15</xdr:row>
      <xdr:rowOff>171450</xdr:rowOff>
    </xdr:to>
    <xdr:cxnSp macro="">
      <xdr:nvCxnSpPr>
        <xdr:cNvPr id="297" name="直線コネクタ 13">
          <a:extLst>
            <a:ext uri="{FF2B5EF4-FFF2-40B4-BE49-F238E27FC236}">
              <a16:creationId xmlns:a16="http://schemas.microsoft.com/office/drawing/2014/main" id="{00000000-0008-0000-0600-000029010000}"/>
            </a:ext>
          </a:extLst>
        </xdr:cNvPr>
        <xdr:cNvCxnSpPr>
          <a:cxnSpLocks noChangeShapeType="1"/>
        </xdr:cNvCxnSpPr>
      </xdr:nvCxnSpPr>
      <xdr:spPr bwMode="auto">
        <a:xfrm flipH="1">
          <a:off x="11944350" y="7019925"/>
          <a:ext cx="152400" cy="1524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533400</xdr:colOff>
      <xdr:row>15</xdr:row>
      <xdr:rowOff>19050</xdr:rowOff>
    </xdr:from>
    <xdr:to>
      <xdr:col>15</xdr:col>
      <xdr:colOff>685800</xdr:colOff>
      <xdr:row>15</xdr:row>
      <xdr:rowOff>171450</xdr:rowOff>
    </xdr:to>
    <xdr:cxnSp macro="">
      <xdr:nvCxnSpPr>
        <xdr:cNvPr id="298" name="直線コネクタ 68">
          <a:extLst>
            <a:ext uri="{FF2B5EF4-FFF2-40B4-BE49-F238E27FC236}">
              <a16:creationId xmlns:a16="http://schemas.microsoft.com/office/drawing/2014/main" id="{00000000-0008-0000-0600-00002A010000}"/>
            </a:ext>
          </a:extLst>
        </xdr:cNvPr>
        <xdr:cNvCxnSpPr>
          <a:cxnSpLocks noChangeShapeType="1"/>
        </xdr:cNvCxnSpPr>
      </xdr:nvCxnSpPr>
      <xdr:spPr bwMode="auto">
        <a:xfrm flipH="1">
          <a:off x="12058650" y="7019925"/>
          <a:ext cx="152400" cy="1524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666750</xdr:colOff>
      <xdr:row>15</xdr:row>
      <xdr:rowOff>9525</xdr:rowOff>
    </xdr:from>
    <xdr:to>
      <xdr:col>15</xdr:col>
      <xdr:colOff>819150</xdr:colOff>
      <xdr:row>15</xdr:row>
      <xdr:rowOff>161925</xdr:rowOff>
    </xdr:to>
    <xdr:cxnSp macro="">
      <xdr:nvCxnSpPr>
        <xdr:cNvPr id="299" name="直線コネクタ 69">
          <a:extLst>
            <a:ext uri="{FF2B5EF4-FFF2-40B4-BE49-F238E27FC236}">
              <a16:creationId xmlns:a16="http://schemas.microsoft.com/office/drawing/2014/main" id="{00000000-0008-0000-0600-00002B010000}"/>
            </a:ext>
          </a:extLst>
        </xdr:cNvPr>
        <xdr:cNvCxnSpPr>
          <a:cxnSpLocks noChangeShapeType="1"/>
        </xdr:cNvCxnSpPr>
      </xdr:nvCxnSpPr>
      <xdr:spPr bwMode="auto">
        <a:xfrm flipH="1">
          <a:off x="12192000" y="7010400"/>
          <a:ext cx="152400" cy="1524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447675</xdr:colOff>
      <xdr:row>15</xdr:row>
      <xdr:rowOff>19050</xdr:rowOff>
    </xdr:from>
    <xdr:to>
      <xdr:col>15</xdr:col>
      <xdr:colOff>685800</xdr:colOff>
      <xdr:row>15</xdr:row>
      <xdr:rowOff>152400</xdr:rowOff>
    </xdr:to>
    <xdr:cxnSp macro="">
      <xdr:nvCxnSpPr>
        <xdr:cNvPr id="300" name="直線コネクタ 18">
          <a:extLst>
            <a:ext uri="{FF2B5EF4-FFF2-40B4-BE49-F238E27FC236}">
              <a16:creationId xmlns:a16="http://schemas.microsoft.com/office/drawing/2014/main" id="{00000000-0008-0000-0600-00002C010000}"/>
            </a:ext>
          </a:extLst>
        </xdr:cNvPr>
        <xdr:cNvCxnSpPr>
          <a:cxnSpLocks noChangeShapeType="1"/>
        </xdr:cNvCxnSpPr>
      </xdr:nvCxnSpPr>
      <xdr:spPr bwMode="auto">
        <a:xfrm>
          <a:off x="11972925" y="7019925"/>
          <a:ext cx="238125" cy="13335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581025</xdr:colOff>
      <xdr:row>15</xdr:row>
      <xdr:rowOff>19050</xdr:rowOff>
    </xdr:from>
    <xdr:to>
      <xdr:col>15</xdr:col>
      <xdr:colOff>819150</xdr:colOff>
      <xdr:row>15</xdr:row>
      <xdr:rowOff>152400</xdr:rowOff>
    </xdr:to>
    <xdr:cxnSp macro="">
      <xdr:nvCxnSpPr>
        <xdr:cNvPr id="301" name="直線コネクタ 72">
          <a:extLst>
            <a:ext uri="{FF2B5EF4-FFF2-40B4-BE49-F238E27FC236}">
              <a16:creationId xmlns:a16="http://schemas.microsoft.com/office/drawing/2014/main" id="{00000000-0008-0000-0600-00002D010000}"/>
            </a:ext>
          </a:extLst>
        </xdr:cNvPr>
        <xdr:cNvCxnSpPr>
          <a:cxnSpLocks noChangeShapeType="1"/>
        </xdr:cNvCxnSpPr>
      </xdr:nvCxnSpPr>
      <xdr:spPr bwMode="auto">
        <a:xfrm>
          <a:off x="12106275" y="7019925"/>
          <a:ext cx="238125" cy="13335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593480</xdr:colOff>
      <xdr:row>10</xdr:row>
      <xdr:rowOff>43961</xdr:rowOff>
    </xdr:from>
    <xdr:to>
      <xdr:col>13</xdr:col>
      <xdr:colOff>923191</xdr:colOff>
      <xdr:row>11</xdr:row>
      <xdr:rowOff>120162</xdr:rowOff>
    </xdr:to>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137530" y="6092336"/>
          <a:ext cx="329711"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h</a:t>
          </a:r>
          <a:endParaRPr kumimoji="1" lang="ja-JP" altLang="en-US" sz="1100" baseline="-25000"/>
        </a:p>
      </xdr:txBody>
    </xdr:sp>
    <xdr:clientData/>
  </xdr:twoCellAnchor>
  <xdr:twoCellAnchor>
    <xdr:from>
      <xdr:col>14</xdr:col>
      <xdr:colOff>895350</xdr:colOff>
      <xdr:row>6</xdr:row>
      <xdr:rowOff>114300</xdr:rowOff>
    </xdr:from>
    <xdr:to>
      <xdr:col>15</xdr:col>
      <xdr:colOff>400050</xdr:colOff>
      <xdr:row>8</xdr:row>
      <xdr:rowOff>47625</xdr:rowOff>
    </xdr:to>
    <xdr:sp macro="" textlink="">
      <xdr:nvSpPr>
        <xdr:cNvPr id="303" name="正方形/長方形 54">
          <a:extLst>
            <a:ext uri="{FF2B5EF4-FFF2-40B4-BE49-F238E27FC236}">
              <a16:creationId xmlns:a16="http://schemas.microsoft.com/office/drawing/2014/main" id="{00000000-0008-0000-0600-00002F010000}"/>
            </a:ext>
          </a:extLst>
        </xdr:cNvPr>
        <xdr:cNvSpPr>
          <a:spLocks noChangeArrowheads="1"/>
        </xdr:cNvSpPr>
      </xdr:nvSpPr>
      <xdr:spPr bwMode="auto">
        <a:xfrm>
          <a:off x="11430000" y="5400675"/>
          <a:ext cx="495300" cy="314325"/>
        </a:xfrm>
        <a:prstGeom prst="rect">
          <a:avLst/>
        </a:prstGeom>
        <a:noFill/>
        <a:ln w="1270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747346</xdr:colOff>
      <xdr:row>6</xdr:row>
      <xdr:rowOff>87923</xdr:rowOff>
    </xdr:from>
    <xdr:to>
      <xdr:col>16</xdr:col>
      <xdr:colOff>498230</xdr:colOff>
      <xdr:row>7</xdr:row>
      <xdr:rowOff>146538</xdr:rowOff>
    </xdr:to>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2272596" y="5374298"/>
          <a:ext cx="741484" cy="2491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1100" baseline="-25000"/>
            <a:t>録画装置</a:t>
          </a:r>
          <a:r>
            <a:rPr kumimoji="1" lang="en-US" altLang="ja-JP" sz="1100" baseline="-25000"/>
            <a:t>BOX</a:t>
          </a:r>
          <a:endParaRPr kumimoji="1" lang="ja-JP" altLang="en-US" sz="1100" baseline="-25000"/>
        </a:p>
      </xdr:txBody>
    </xdr:sp>
    <xdr:clientData/>
  </xdr:twoCellAnchor>
  <xdr:twoCellAnchor>
    <xdr:from>
      <xdr:col>15</xdr:col>
      <xdr:colOff>400050</xdr:colOff>
      <xdr:row>7</xdr:row>
      <xdr:rowOff>19050</xdr:rowOff>
    </xdr:from>
    <xdr:to>
      <xdr:col>15</xdr:col>
      <xdr:colOff>742950</xdr:colOff>
      <xdr:row>7</xdr:row>
      <xdr:rowOff>76200</xdr:rowOff>
    </xdr:to>
    <xdr:cxnSp macro="">
      <xdr:nvCxnSpPr>
        <xdr:cNvPr id="305" name="直線矢印コネクタ 56">
          <a:extLst>
            <a:ext uri="{FF2B5EF4-FFF2-40B4-BE49-F238E27FC236}">
              <a16:creationId xmlns:a16="http://schemas.microsoft.com/office/drawing/2014/main" id="{00000000-0008-0000-0600-000031010000}"/>
            </a:ext>
          </a:extLst>
        </xdr:cNvPr>
        <xdr:cNvCxnSpPr>
          <a:cxnSpLocks noChangeShapeType="1"/>
          <a:stCxn id="304" idx="1"/>
          <a:endCxn id="303" idx="3"/>
        </xdr:cNvCxnSpPr>
      </xdr:nvCxnSpPr>
      <xdr:spPr bwMode="auto">
        <a:xfrm flipH="1">
          <a:off x="11925300" y="5495925"/>
          <a:ext cx="342900" cy="571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323850</xdr:colOff>
      <xdr:row>4</xdr:row>
      <xdr:rowOff>171450</xdr:rowOff>
    </xdr:from>
    <xdr:to>
      <xdr:col>15</xdr:col>
      <xdr:colOff>714375</xdr:colOff>
      <xdr:row>5</xdr:row>
      <xdr:rowOff>95250</xdr:rowOff>
    </xdr:to>
    <xdr:sp macro="" textlink="">
      <xdr:nvSpPr>
        <xdr:cNvPr id="306" name="正方形/長方形 71">
          <a:extLst>
            <a:ext uri="{FF2B5EF4-FFF2-40B4-BE49-F238E27FC236}">
              <a16:creationId xmlns:a16="http://schemas.microsoft.com/office/drawing/2014/main" id="{00000000-0008-0000-0600-000032010000}"/>
            </a:ext>
          </a:extLst>
        </xdr:cNvPr>
        <xdr:cNvSpPr>
          <a:spLocks noChangeArrowheads="1"/>
        </xdr:cNvSpPr>
      </xdr:nvSpPr>
      <xdr:spPr bwMode="auto">
        <a:xfrm>
          <a:off x="11849100" y="5076825"/>
          <a:ext cx="390525" cy="114300"/>
        </a:xfrm>
        <a:prstGeom prst="rect">
          <a:avLst/>
        </a:prstGeom>
        <a:noFill/>
        <a:ln w="1270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590550</xdr:colOff>
      <xdr:row>4</xdr:row>
      <xdr:rowOff>171450</xdr:rowOff>
    </xdr:from>
    <xdr:to>
      <xdr:col>14</xdr:col>
      <xdr:colOff>981075</xdr:colOff>
      <xdr:row>5</xdr:row>
      <xdr:rowOff>95250</xdr:rowOff>
    </xdr:to>
    <xdr:sp macro="" textlink="">
      <xdr:nvSpPr>
        <xdr:cNvPr id="307" name="正方形/長方形 95">
          <a:extLst>
            <a:ext uri="{FF2B5EF4-FFF2-40B4-BE49-F238E27FC236}">
              <a16:creationId xmlns:a16="http://schemas.microsoft.com/office/drawing/2014/main" id="{00000000-0008-0000-0600-000033010000}"/>
            </a:ext>
          </a:extLst>
        </xdr:cNvPr>
        <xdr:cNvSpPr>
          <a:spLocks noChangeArrowheads="1"/>
        </xdr:cNvSpPr>
      </xdr:nvSpPr>
      <xdr:spPr bwMode="auto">
        <a:xfrm>
          <a:off x="11125200" y="5076825"/>
          <a:ext cx="390525" cy="114300"/>
        </a:xfrm>
        <a:prstGeom prst="rect">
          <a:avLst/>
        </a:prstGeom>
        <a:noFill/>
        <a:ln w="1270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263770</xdr:colOff>
      <xdr:row>3</xdr:row>
      <xdr:rowOff>109904</xdr:rowOff>
    </xdr:from>
    <xdr:to>
      <xdr:col>16</xdr:col>
      <xdr:colOff>14654</xdr:colOff>
      <xdr:row>4</xdr:row>
      <xdr:rowOff>168519</xdr:rowOff>
    </xdr:to>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1789020" y="4824779"/>
          <a:ext cx="741484"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1100" baseline="-25000"/>
            <a:t>監視カメラ</a:t>
          </a:r>
        </a:p>
      </xdr:txBody>
    </xdr:sp>
    <xdr:clientData/>
  </xdr:twoCellAnchor>
  <xdr:twoCellAnchor>
    <xdr:from>
      <xdr:col>14</xdr:col>
      <xdr:colOff>315058</xdr:colOff>
      <xdr:row>3</xdr:row>
      <xdr:rowOff>117231</xdr:rowOff>
    </xdr:from>
    <xdr:to>
      <xdr:col>15</xdr:col>
      <xdr:colOff>65942</xdr:colOff>
      <xdr:row>4</xdr:row>
      <xdr:rowOff>175846</xdr:rowOff>
    </xdr:to>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10849708" y="4832106"/>
          <a:ext cx="741484"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1100" baseline="-25000"/>
            <a:t>監視カメラ</a:t>
          </a:r>
        </a:p>
      </xdr:txBody>
    </xdr:sp>
    <xdr:clientData/>
  </xdr:twoCellAnchor>
  <xdr:twoCellAnchor>
    <xdr:from>
      <xdr:col>14</xdr:col>
      <xdr:colOff>704850</xdr:colOff>
      <xdr:row>7</xdr:row>
      <xdr:rowOff>76200</xdr:rowOff>
    </xdr:from>
    <xdr:to>
      <xdr:col>15</xdr:col>
      <xdr:colOff>666750</xdr:colOff>
      <xdr:row>7</xdr:row>
      <xdr:rowOff>76200</xdr:rowOff>
    </xdr:to>
    <xdr:cxnSp macro="">
      <xdr:nvCxnSpPr>
        <xdr:cNvPr id="310" name="直線コネクタ 74">
          <a:extLst>
            <a:ext uri="{FF2B5EF4-FFF2-40B4-BE49-F238E27FC236}">
              <a16:creationId xmlns:a16="http://schemas.microsoft.com/office/drawing/2014/main" id="{00000000-0008-0000-0600-000036010000}"/>
            </a:ext>
          </a:extLst>
        </xdr:cNvPr>
        <xdr:cNvCxnSpPr>
          <a:cxnSpLocks noChangeShapeType="1"/>
        </xdr:cNvCxnSpPr>
      </xdr:nvCxnSpPr>
      <xdr:spPr bwMode="auto">
        <a:xfrm>
          <a:off x="11239500" y="5553075"/>
          <a:ext cx="9525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742950</xdr:colOff>
      <xdr:row>7</xdr:row>
      <xdr:rowOff>85725</xdr:rowOff>
    </xdr:from>
    <xdr:to>
      <xdr:col>14</xdr:col>
      <xdr:colOff>742950</xdr:colOff>
      <xdr:row>15</xdr:row>
      <xdr:rowOff>0</xdr:rowOff>
    </xdr:to>
    <xdr:cxnSp macro="">
      <xdr:nvCxnSpPr>
        <xdr:cNvPr id="311" name="直線矢印コネクタ 32">
          <a:extLst>
            <a:ext uri="{FF2B5EF4-FFF2-40B4-BE49-F238E27FC236}">
              <a16:creationId xmlns:a16="http://schemas.microsoft.com/office/drawing/2014/main" id="{00000000-0008-0000-0600-000037010000}"/>
            </a:ext>
          </a:extLst>
        </xdr:cNvPr>
        <xdr:cNvCxnSpPr>
          <a:cxnSpLocks noChangeShapeType="1"/>
        </xdr:cNvCxnSpPr>
      </xdr:nvCxnSpPr>
      <xdr:spPr bwMode="auto">
        <a:xfrm flipV="1">
          <a:off x="11277600" y="5562600"/>
          <a:ext cx="0" cy="143827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495300</xdr:colOff>
      <xdr:row>5</xdr:row>
      <xdr:rowOff>57150</xdr:rowOff>
    </xdr:from>
    <xdr:to>
      <xdr:col>14</xdr:col>
      <xdr:colOff>495300</xdr:colOff>
      <xdr:row>15</xdr:row>
      <xdr:rowOff>0</xdr:rowOff>
    </xdr:to>
    <xdr:cxnSp macro="">
      <xdr:nvCxnSpPr>
        <xdr:cNvPr id="312" name="直線矢印コネクタ 32">
          <a:extLst>
            <a:ext uri="{FF2B5EF4-FFF2-40B4-BE49-F238E27FC236}">
              <a16:creationId xmlns:a16="http://schemas.microsoft.com/office/drawing/2014/main" id="{00000000-0008-0000-0600-000038010000}"/>
            </a:ext>
          </a:extLst>
        </xdr:cNvPr>
        <xdr:cNvCxnSpPr>
          <a:cxnSpLocks noChangeShapeType="1"/>
        </xdr:cNvCxnSpPr>
      </xdr:nvCxnSpPr>
      <xdr:spPr bwMode="auto">
        <a:xfrm flipV="1">
          <a:off x="11029950" y="5153025"/>
          <a:ext cx="0" cy="18478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457200</xdr:colOff>
      <xdr:row>5</xdr:row>
      <xdr:rowOff>38100</xdr:rowOff>
    </xdr:from>
    <xdr:to>
      <xdr:col>15</xdr:col>
      <xdr:colOff>885825</xdr:colOff>
      <xdr:row>5</xdr:row>
      <xdr:rowOff>38100</xdr:rowOff>
    </xdr:to>
    <xdr:cxnSp macro="">
      <xdr:nvCxnSpPr>
        <xdr:cNvPr id="313" name="直線コネクタ 312">
          <a:extLst>
            <a:ext uri="{FF2B5EF4-FFF2-40B4-BE49-F238E27FC236}">
              <a16:creationId xmlns:a16="http://schemas.microsoft.com/office/drawing/2014/main" id="{00000000-0008-0000-0600-000039010000}"/>
            </a:ext>
          </a:extLst>
        </xdr:cNvPr>
        <xdr:cNvCxnSpPr>
          <a:cxnSpLocks noChangeShapeType="1"/>
        </xdr:cNvCxnSpPr>
      </xdr:nvCxnSpPr>
      <xdr:spPr bwMode="auto">
        <a:xfrm>
          <a:off x="10991850" y="5133975"/>
          <a:ext cx="141922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424961</xdr:colOff>
      <xdr:row>9</xdr:row>
      <xdr:rowOff>51288</xdr:rowOff>
    </xdr:from>
    <xdr:to>
      <xdr:col>14</xdr:col>
      <xdr:colOff>842596</xdr:colOff>
      <xdr:row>10</xdr:row>
      <xdr:rowOff>127489</xdr:rowOff>
    </xdr:to>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10959611" y="5909163"/>
          <a:ext cx="41763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hx</a:t>
          </a:r>
          <a:endParaRPr kumimoji="1" lang="ja-JP" altLang="en-US" sz="1100" baseline="-25000"/>
        </a:p>
      </xdr:txBody>
    </xdr:sp>
    <xdr:clientData/>
  </xdr:twoCellAnchor>
  <xdr:twoCellAnchor>
    <xdr:from>
      <xdr:col>14</xdr:col>
      <xdr:colOff>694592</xdr:colOff>
      <xdr:row>11</xdr:row>
      <xdr:rowOff>93784</xdr:rowOff>
    </xdr:from>
    <xdr:to>
      <xdr:col>15</xdr:col>
      <xdr:colOff>123092</xdr:colOff>
      <xdr:row>12</xdr:row>
      <xdr:rowOff>169985</xdr:rowOff>
    </xdr:to>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11229242" y="6332659"/>
          <a:ext cx="41910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hx</a:t>
          </a:r>
          <a:endParaRPr kumimoji="1" lang="ja-JP" altLang="en-US" sz="1100" baseline="-25000"/>
        </a:p>
      </xdr:txBody>
    </xdr:sp>
    <xdr:clientData/>
  </xdr:twoCellAnchor>
  <xdr:twoCellAnchor>
    <xdr:from>
      <xdr:col>12</xdr:col>
      <xdr:colOff>866775</xdr:colOff>
      <xdr:row>23</xdr:row>
      <xdr:rowOff>161925</xdr:rowOff>
    </xdr:from>
    <xdr:to>
      <xdr:col>12</xdr:col>
      <xdr:colOff>981075</xdr:colOff>
      <xdr:row>34</xdr:row>
      <xdr:rowOff>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bwMode="auto">
        <a:xfrm>
          <a:off x="9086850" y="8686800"/>
          <a:ext cx="114300" cy="1933575"/>
        </a:xfrm>
        <a:prstGeom prst="rect">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381000</xdr:colOff>
      <xdr:row>33</xdr:row>
      <xdr:rowOff>180975</xdr:rowOff>
    </xdr:from>
    <xdr:to>
      <xdr:col>16</xdr:col>
      <xdr:colOff>47625</xdr:colOff>
      <xdr:row>33</xdr:row>
      <xdr:rowOff>180975</xdr:rowOff>
    </xdr:to>
    <xdr:cxnSp macro="">
      <xdr:nvCxnSpPr>
        <xdr:cNvPr id="317" name="直線コネクタ 316">
          <a:extLst>
            <a:ext uri="{FF2B5EF4-FFF2-40B4-BE49-F238E27FC236}">
              <a16:creationId xmlns:a16="http://schemas.microsoft.com/office/drawing/2014/main" id="{00000000-0008-0000-0600-00003D010000}"/>
            </a:ext>
          </a:extLst>
        </xdr:cNvPr>
        <xdr:cNvCxnSpPr/>
      </xdr:nvCxnSpPr>
      <xdr:spPr bwMode="auto">
        <a:xfrm>
          <a:off x="8601075" y="10610850"/>
          <a:ext cx="3962400" cy="0"/>
        </a:xfrm>
        <a:prstGeom prst="line">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628650</xdr:colOff>
      <xdr:row>22</xdr:row>
      <xdr:rowOff>161925</xdr:rowOff>
    </xdr:from>
    <xdr:to>
      <xdr:col>15</xdr:col>
      <xdr:colOff>638175</xdr:colOff>
      <xdr:row>34</xdr:row>
      <xdr:rowOff>0</xdr:rowOff>
    </xdr:to>
    <xdr:cxnSp macro="">
      <xdr:nvCxnSpPr>
        <xdr:cNvPr id="318" name="直線コネクタ 317">
          <a:extLst>
            <a:ext uri="{FF2B5EF4-FFF2-40B4-BE49-F238E27FC236}">
              <a16:creationId xmlns:a16="http://schemas.microsoft.com/office/drawing/2014/main" id="{00000000-0008-0000-0600-00003E010000}"/>
            </a:ext>
          </a:extLst>
        </xdr:cNvPr>
        <xdr:cNvCxnSpPr/>
      </xdr:nvCxnSpPr>
      <xdr:spPr bwMode="auto">
        <a:xfrm>
          <a:off x="12153900" y="8496300"/>
          <a:ext cx="9525" cy="2124075"/>
        </a:xfrm>
        <a:prstGeom prst="line">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759883</xdr:colOff>
      <xdr:row>20</xdr:row>
      <xdr:rowOff>123825</xdr:rowOff>
    </xdr:from>
    <xdr:to>
      <xdr:col>15</xdr:col>
      <xdr:colOff>657223</xdr:colOff>
      <xdr:row>25</xdr:row>
      <xdr:rowOff>104775</xdr:rowOff>
    </xdr:to>
    <xdr:sp macro="" textlink="">
      <xdr:nvSpPr>
        <xdr:cNvPr id="319" name="円弧 318">
          <a:extLst>
            <a:ext uri="{FF2B5EF4-FFF2-40B4-BE49-F238E27FC236}">
              <a16:creationId xmlns:a16="http://schemas.microsoft.com/office/drawing/2014/main" id="{00000000-0008-0000-0600-00003F010000}"/>
            </a:ext>
          </a:extLst>
        </xdr:cNvPr>
        <xdr:cNvSpPr/>
      </xdr:nvSpPr>
      <xdr:spPr bwMode="auto">
        <a:xfrm rot="10593439">
          <a:off x="8989483" y="3552825"/>
          <a:ext cx="3202515" cy="838200"/>
        </a:xfrm>
        <a:prstGeom prst="arc">
          <a:avLst>
            <a:gd name="adj1" fmla="val 10880551"/>
            <a:gd name="adj2" fmla="val 21065433"/>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1002850</xdr:colOff>
      <xdr:row>23</xdr:row>
      <xdr:rowOff>1</xdr:rowOff>
    </xdr:from>
    <xdr:to>
      <xdr:col>15</xdr:col>
      <xdr:colOff>590550</xdr:colOff>
      <xdr:row>24</xdr:row>
      <xdr:rowOff>154575</xdr:rowOff>
    </xdr:to>
    <xdr:cxnSp macro="">
      <xdr:nvCxnSpPr>
        <xdr:cNvPr id="320" name="直線コネクタ 319">
          <a:extLst>
            <a:ext uri="{FF2B5EF4-FFF2-40B4-BE49-F238E27FC236}">
              <a16:creationId xmlns:a16="http://schemas.microsoft.com/office/drawing/2014/main" id="{00000000-0008-0000-0600-000040010000}"/>
            </a:ext>
          </a:extLst>
        </xdr:cNvPr>
        <xdr:cNvCxnSpPr>
          <a:stCxn id="319" idx="2"/>
        </xdr:cNvCxnSpPr>
      </xdr:nvCxnSpPr>
      <xdr:spPr bwMode="auto">
        <a:xfrm flipV="1">
          <a:off x="9232450" y="3943351"/>
          <a:ext cx="2892875" cy="326024"/>
        </a:xfrm>
        <a:prstGeom prst="line">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476250</xdr:colOff>
      <xdr:row>24</xdr:row>
      <xdr:rowOff>57150</xdr:rowOff>
    </xdr:from>
    <xdr:to>
      <xdr:col>12</xdr:col>
      <xdr:colOff>752475</xdr:colOff>
      <xdr:row>24</xdr:row>
      <xdr:rowOff>152400</xdr:rowOff>
    </xdr:to>
    <xdr:sp macro="" textlink="">
      <xdr:nvSpPr>
        <xdr:cNvPr id="321" name="左矢印 320">
          <a:extLst>
            <a:ext uri="{FF2B5EF4-FFF2-40B4-BE49-F238E27FC236}">
              <a16:creationId xmlns:a16="http://schemas.microsoft.com/office/drawing/2014/main" id="{00000000-0008-0000-0600-000041010000}"/>
            </a:ext>
          </a:extLst>
        </xdr:cNvPr>
        <xdr:cNvSpPr/>
      </xdr:nvSpPr>
      <xdr:spPr bwMode="auto">
        <a:xfrm>
          <a:off x="8696325" y="8772525"/>
          <a:ext cx="276225" cy="95250"/>
        </a:xfrm>
        <a:prstGeom prst="leftArrow">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476251</xdr:colOff>
      <xdr:row>23</xdr:row>
      <xdr:rowOff>9524</xdr:rowOff>
    </xdr:from>
    <xdr:to>
      <xdr:col>12</xdr:col>
      <xdr:colOff>733425</xdr:colOff>
      <xdr:row>24</xdr:row>
      <xdr:rowOff>104775</xdr:rowOff>
    </xdr:to>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8696326" y="8534399"/>
          <a:ext cx="257174"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a:t>
          </a:r>
          <a:endParaRPr kumimoji="1" lang="ja-JP" altLang="en-US" sz="1100"/>
        </a:p>
      </xdr:txBody>
    </xdr:sp>
    <xdr:clientData/>
  </xdr:twoCellAnchor>
  <xdr:twoCellAnchor>
    <xdr:from>
      <xdr:col>14</xdr:col>
      <xdr:colOff>133350</xdr:colOff>
      <xdr:row>23</xdr:row>
      <xdr:rowOff>161925</xdr:rowOff>
    </xdr:from>
    <xdr:to>
      <xdr:col>14</xdr:col>
      <xdr:colOff>161925</xdr:colOff>
      <xdr:row>25</xdr:row>
      <xdr:rowOff>85725</xdr:rowOff>
    </xdr:to>
    <xdr:cxnSp macro="">
      <xdr:nvCxnSpPr>
        <xdr:cNvPr id="323" name="直線矢印コネクタ 322">
          <a:extLst>
            <a:ext uri="{FF2B5EF4-FFF2-40B4-BE49-F238E27FC236}">
              <a16:creationId xmlns:a16="http://schemas.microsoft.com/office/drawing/2014/main" id="{00000000-0008-0000-0600-000043010000}"/>
            </a:ext>
          </a:extLst>
        </xdr:cNvPr>
        <xdr:cNvCxnSpPr/>
      </xdr:nvCxnSpPr>
      <xdr:spPr bwMode="auto">
        <a:xfrm flipH="1" flipV="1">
          <a:off x="10668000" y="8686800"/>
          <a:ext cx="28575" cy="304800"/>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sm" len="med"/>
          <a:tailEnd type="arrow" w="sm"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180974</xdr:colOff>
      <xdr:row>24</xdr:row>
      <xdr:rowOff>9525</xdr:rowOff>
    </xdr:from>
    <xdr:to>
      <xdr:col>14</xdr:col>
      <xdr:colOff>590549</xdr:colOff>
      <xdr:row>25</xdr:row>
      <xdr:rowOff>104776</xdr:rowOff>
    </xdr:to>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10715624" y="8724900"/>
          <a:ext cx="409575"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dk</a:t>
          </a:r>
          <a:endParaRPr kumimoji="1" lang="ja-JP" altLang="en-US" sz="1100"/>
        </a:p>
      </xdr:txBody>
    </xdr:sp>
    <xdr:clientData/>
  </xdr:twoCellAnchor>
  <xdr:twoCellAnchor>
    <xdr:from>
      <xdr:col>14</xdr:col>
      <xdr:colOff>771524</xdr:colOff>
      <xdr:row>25</xdr:row>
      <xdr:rowOff>9525</xdr:rowOff>
    </xdr:from>
    <xdr:to>
      <xdr:col>15</xdr:col>
      <xdr:colOff>361949</xdr:colOff>
      <xdr:row>26</xdr:row>
      <xdr:rowOff>104776</xdr:rowOff>
    </xdr:to>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11306174" y="8915400"/>
          <a:ext cx="581025"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架線</a:t>
          </a:r>
        </a:p>
      </xdr:txBody>
    </xdr:sp>
    <xdr:clientData/>
  </xdr:twoCellAnchor>
  <xdr:twoCellAnchor>
    <xdr:from>
      <xdr:col>12</xdr:col>
      <xdr:colOff>1002850</xdr:colOff>
      <xdr:row>24</xdr:row>
      <xdr:rowOff>133351</xdr:rowOff>
    </xdr:from>
    <xdr:to>
      <xdr:col>13</xdr:col>
      <xdr:colOff>142875</xdr:colOff>
      <xdr:row>24</xdr:row>
      <xdr:rowOff>154575</xdr:rowOff>
    </xdr:to>
    <xdr:cxnSp macro="">
      <xdr:nvCxnSpPr>
        <xdr:cNvPr id="326" name="直線コネクタ 325">
          <a:extLst>
            <a:ext uri="{FF2B5EF4-FFF2-40B4-BE49-F238E27FC236}">
              <a16:creationId xmlns:a16="http://schemas.microsoft.com/office/drawing/2014/main" id="{00000000-0008-0000-0600-000046010000}"/>
            </a:ext>
          </a:extLst>
        </xdr:cNvPr>
        <xdr:cNvCxnSpPr>
          <a:stCxn id="319" idx="2"/>
        </xdr:cNvCxnSpPr>
      </xdr:nvCxnSpPr>
      <xdr:spPr bwMode="auto">
        <a:xfrm flipV="1">
          <a:off x="9232450" y="4248151"/>
          <a:ext cx="464000" cy="21224"/>
        </a:xfrm>
        <a:prstGeom prst="line">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188382</xdr:colOff>
      <xdr:row>23</xdr:row>
      <xdr:rowOff>142875</xdr:rowOff>
    </xdr:from>
    <xdr:to>
      <xdr:col>13</xdr:col>
      <xdr:colOff>685799</xdr:colOff>
      <xdr:row>25</xdr:row>
      <xdr:rowOff>47626</xdr:rowOff>
    </xdr:to>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9732432" y="8667750"/>
          <a:ext cx="497417"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θ</a:t>
          </a:r>
          <a:r>
            <a:rPr kumimoji="1" lang="ja-JP" altLang="en-US" sz="1100"/>
            <a:t>２</a:t>
          </a:r>
        </a:p>
      </xdr:txBody>
    </xdr:sp>
    <xdr:clientData/>
  </xdr:twoCellAnchor>
  <xdr:twoCellAnchor>
    <xdr:from>
      <xdr:col>12</xdr:col>
      <xdr:colOff>1000125</xdr:colOff>
      <xdr:row>31</xdr:row>
      <xdr:rowOff>152400</xdr:rowOff>
    </xdr:from>
    <xdr:to>
      <xdr:col>15</xdr:col>
      <xdr:colOff>609600</xdr:colOff>
      <xdr:row>31</xdr:row>
      <xdr:rowOff>152400</xdr:rowOff>
    </xdr:to>
    <xdr:cxnSp macro="">
      <xdr:nvCxnSpPr>
        <xdr:cNvPr id="328" name="直線矢印コネクタ 327">
          <a:extLst>
            <a:ext uri="{FF2B5EF4-FFF2-40B4-BE49-F238E27FC236}">
              <a16:creationId xmlns:a16="http://schemas.microsoft.com/office/drawing/2014/main" id="{00000000-0008-0000-0600-000048010000}"/>
            </a:ext>
          </a:extLst>
        </xdr:cNvPr>
        <xdr:cNvCxnSpPr/>
      </xdr:nvCxnSpPr>
      <xdr:spPr bwMode="auto">
        <a:xfrm>
          <a:off x="9220200" y="10201275"/>
          <a:ext cx="2914650" cy="0"/>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sm" len="sm"/>
          <a:tailEnd type="arrow" w="sm"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962025</xdr:colOff>
      <xdr:row>30</xdr:row>
      <xdr:rowOff>95250</xdr:rowOff>
    </xdr:from>
    <xdr:to>
      <xdr:col>14</xdr:col>
      <xdr:colOff>390525</xdr:colOff>
      <xdr:row>32</xdr:row>
      <xdr:rowOff>1</xdr:rowOff>
    </xdr:to>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10506075" y="9953625"/>
          <a:ext cx="419100"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L1</a:t>
          </a:r>
          <a:endParaRPr kumimoji="1" lang="ja-JP" altLang="en-US" sz="1100"/>
        </a:p>
      </xdr:txBody>
    </xdr:sp>
    <xdr:clientData/>
  </xdr:twoCellAnchor>
  <xdr:twoCellAnchor>
    <xdr:from>
      <xdr:col>12</xdr:col>
      <xdr:colOff>685800</xdr:colOff>
      <xdr:row>25</xdr:row>
      <xdr:rowOff>19050</xdr:rowOff>
    </xdr:from>
    <xdr:to>
      <xdr:col>12</xdr:col>
      <xdr:colOff>685800</xdr:colOff>
      <xdr:row>33</xdr:row>
      <xdr:rowOff>161925</xdr:rowOff>
    </xdr:to>
    <xdr:cxnSp macro="">
      <xdr:nvCxnSpPr>
        <xdr:cNvPr id="330" name="直線矢印コネクタ 329">
          <a:extLst>
            <a:ext uri="{FF2B5EF4-FFF2-40B4-BE49-F238E27FC236}">
              <a16:creationId xmlns:a16="http://schemas.microsoft.com/office/drawing/2014/main" id="{00000000-0008-0000-0600-00004A010000}"/>
            </a:ext>
          </a:extLst>
        </xdr:cNvPr>
        <xdr:cNvCxnSpPr/>
      </xdr:nvCxnSpPr>
      <xdr:spPr bwMode="auto">
        <a:xfrm>
          <a:off x="8905875" y="8924925"/>
          <a:ext cx="0" cy="1666875"/>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sm" len="sm"/>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352425</xdr:colOff>
      <xdr:row>28</xdr:row>
      <xdr:rowOff>104775</xdr:rowOff>
    </xdr:from>
    <xdr:to>
      <xdr:col>12</xdr:col>
      <xdr:colOff>752474</xdr:colOff>
      <xdr:row>30</xdr:row>
      <xdr:rowOff>9526</xdr:rowOff>
    </xdr:to>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8572500" y="9582150"/>
          <a:ext cx="400049"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h1'</a:t>
          </a:r>
          <a:endParaRPr kumimoji="1" lang="ja-JP" altLang="en-US" sz="1100"/>
        </a:p>
      </xdr:txBody>
    </xdr:sp>
    <xdr:clientData/>
  </xdr:twoCellAnchor>
  <xdr:twoCellAnchor editAs="oneCell">
    <xdr:from>
      <xdr:col>1</xdr:col>
      <xdr:colOff>0</xdr:colOff>
      <xdr:row>24</xdr:row>
      <xdr:rowOff>0</xdr:rowOff>
    </xdr:from>
    <xdr:to>
      <xdr:col>10</xdr:col>
      <xdr:colOff>152889</xdr:colOff>
      <xdr:row>35</xdr:row>
      <xdr:rowOff>144972</xdr:rowOff>
    </xdr:to>
    <xdr:pic>
      <xdr:nvPicPr>
        <xdr:cNvPr id="56" name="図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3"/>
        <a:stretch>
          <a:fillRect/>
        </a:stretch>
      </xdr:blipFill>
      <xdr:spPr>
        <a:xfrm>
          <a:off x="685800" y="4114800"/>
          <a:ext cx="6325089" cy="2030922"/>
        </a:xfrm>
        <a:prstGeom prst="rect">
          <a:avLst/>
        </a:prstGeom>
      </xdr:spPr>
    </xdr:pic>
    <xdr:clientData/>
  </xdr:twoCellAnchor>
  <xdr:twoCellAnchor>
    <xdr:from>
      <xdr:col>15</xdr:col>
      <xdr:colOff>275723</xdr:colOff>
      <xdr:row>6</xdr:row>
      <xdr:rowOff>25066</xdr:rowOff>
    </xdr:from>
    <xdr:to>
      <xdr:col>15</xdr:col>
      <xdr:colOff>541421</xdr:colOff>
      <xdr:row>6</xdr:row>
      <xdr:rowOff>25066</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a:off x="11826039" y="1047750"/>
          <a:ext cx="265698" cy="0"/>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triangle" w="sm" len="sm"/>
          <a:tailEnd type="triangl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526381</xdr:colOff>
      <xdr:row>5</xdr:row>
      <xdr:rowOff>25066</xdr:rowOff>
    </xdr:from>
    <xdr:to>
      <xdr:col>15</xdr:col>
      <xdr:colOff>526381</xdr:colOff>
      <xdr:row>6</xdr:row>
      <xdr:rowOff>50132</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bwMode="auto">
        <a:xfrm>
          <a:off x="12076697" y="877303"/>
          <a:ext cx="0" cy="195513"/>
        </a:xfrm>
        <a:prstGeom prst="line">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350923</xdr:colOff>
      <xdr:row>5</xdr:row>
      <xdr:rowOff>150395</xdr:rowOff>
    </xdr:from>
    <xdr:to>
      <xdr:col>15</xdr:col>
      <xdr:colOff>621633</xdr:colOff>
      <xdr:row>7</xdr:row>
      <xdr:rowOff>0</xdr:rowOff>
    </xdr:to>
    <xdr:sp macro="" textlink="">
      <xdr:nvSpPr>
        <xdr:cNvPr id="63" name="テキスト ボックス 62">
          <a:extLst>
            <a:ext uri="{FF2B5EF4-FFF2-40B4-BE49-F238E27FC236}">
              <a16:creationId xmlns:a16="http://schemas.microsoft.com/office/drawing/2014/main" id="{00000000-0008-0000-0600-00003F000000}"/>
            </a:ext>
          </a:extLst>
        </xdr:cNvPr>
        <xdr:cNvSpPr txBox="1"/>
      </xdr:nvSpPr>
      <xdr:spPr>
        <a:xfrm>
          <a:off x="11901239" y="1002632"/>
          <a:ext cx="27071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t" anchorCtr="1"/>
        <a:lstStyle/>
        <a:p>
          <a:pPr algn="ctr"/>
          <a:r>
            <a:rPr kumimoji="1" lang="en-US" altLang="ja-JP" sz="1100" baseline="-25000"/>
            <a:t>Lx</a:t>
          </a:r>
          <a:endParaRPr kumimoji="1" lang="ja-JP" altLang="en-US" sz="1100" baseline="-25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sm" len="sm"/>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J3:T23"/>
  <sheetViews>
    <sheetView workbookViewId="0">
      <selection activeCell="Q3" sqref="Q3:T3"/>
    </sheetView>
  </sheetViews>
  <sheetFormatPr defaultRowHeight="13.5" x14ac:dyDescent="0.15"/>
  <cols>
    <col min="18" max="18" width="18.75" customWidth="1"/>
    <col min="19" max="19" width="14.125" customWidth="1"/>
    <col min="20" max="20" width="33.5" customWidth="1"/>
  </cols>
  <sheetData>
    <row r="3" spans="10:20" x14ac:dyDescent="0.15">
      <c r="Q3" s="169" t="s">
        <v>597</v>
      </c>
      <c r="R3" s="169" t="s">
        <v>620</v>
      </c>
      <c r="S3" s="169" t="s">
        <v>616</v>
      </c>
      <c r="T3" s="169" t="s">
        <v>622</v>
      </c>
    </row>
    <row r="4" spans="10:20" x14ac:dyDescent="0.15">
      <c r="Q4" s="173" t="s">
        <v>227</v>
      </c>
      <c r="R4" s="173" t="s">
        <v>621</v>
      </c>
      <c r="S4" s="173" t="s">
        <v>619</v>
      </c>
      <c r="T4" s="173"/>
    </row>
    <row r="5" spans="10:20" x14ac:dyDescent="0.15">
      <c r="J5" s="5"/>
      <c r="K5" s="5"/>
      <c r="L5" s="5"/>
      <c r="M5" s="5"/>
      <c r="Q5" s="173" t="s">
        <v>598</v>
      </c>
      <c r="R5" s="173" t="s">
        <v>623</v>
      </c>
      <c r="S5" s="173" t="s">
        <v>624</v>
      </c>
      <c r="T5" s="173" t="s">
        <v>628</v>
      </c>
    </row>
    <row r="6" spans="10:20" x14ac:dyDescent="0.15">
      <c r="J6" s="5"/>
      <c r="K6" s="5"/>
      <c r="L6" s="5"/>
      <c r="M6" s="5"/>
      <c r="Q6" s="173" t="s">
        <v>243</v>
      </c>
      <c r="R6" s="173" t="s">
        <v>625</v>
      </c>
      <c r="S6" s="173" t="s">
        <v>617</v>
      </c>
      <c r="T6" s="173"/>
    </row>
    <row r="7" spans="10:20" x14ac:dyDescent="0.15">
      <c r="Q7" s="173" t="s">
        <v>599</v>
      </c>
      <c r="R7" s="173" t="s">
        <v>626</v>
      </c>
      <c r="S7" s="173" t="s">
        <v>617</v>
      </c>
      <c r="T7" s="173" t="s">
        <v>627</v>
      </c>
    </row>
    <row r="8" spans="10:20" x14ac:dyDescent="0.15">
      <c r="Q8" s="173" t="s">
        <v>600</v>
      </c>
      <c r="R8" s="173" t="s">
        <v>629</v>
      </c>
      <c r="S8" s="173" t="s">
        <v>617</v>
      </c>
      <c r="T8" s="173"/>
    </row>
    <row r="9" spans="10:20" x14ac:dyDescent="0.15">
      <c r="Q9" s="173" t="s">
        <v>601</v>
      </c>
      <c r="R9" s="173" t="s">
        <v>630</v>
      </c>
      <c r="S9" s="173" t="s">
        <v>617</v>
      </c>
      <c r="T9" s="173" t="s">
        <v>627</v>
      </c>
    </row>
    <row r="10" spans="10:20" x14ac:dyDescent="0.15">
      <c r="Q10" s="173" t="s">
        <v>602</v>
      </c>
      <c r="R10" s="173" t="s">
        <v>13</v>
      </c>
      <c r="S10" s="173" t="s">
        <v>617</v>
      </c>
      <c r="T10" s="173" t="s">
        <v>638</v>
      </c>
    </row>
    <row r="11" spans="10:20" x14ac:dyDescent="0.15">
      <c r="Q11" s="173" t="s">
        <v>603</v>
      </c>
      <c r="R11" s="173" t="s">
        <v>631</v>
      </c>
      <c r="S11" s="173" t="s">
        <v>617</v>
      </c>
      <c r="T11" s="173" t="s">
        <v>632</v>
      </c>
    </row>
    <row r="12" spans="10:20" x14ac:dyDescent="0.15">
      <c r="Q12" s="173" t="s">
        <v>604</v>
      </c>
      <c r="R12" s="173" t="s">
        <v>633</v>
      </c>
      <c r="S12" s="173" t="s">
        <v>618</v>
      </c>
      <c r="T12" s="173" t="s">
        <v>632</v>
      </c>
    </row>
    <row r="13" spans="10:20" x14ac:dyDescent="0.15">
      <c r="Q13" s="173" t="s">
        <v>605</v>
      </c>
      <c r="R13" s="173" t="s">
        <v>634</v>
      </c>
      <c r="S13" s="173" t="s">
        <v>618</v>
      </c>
      <c r="T13" s="173" t="s">
        <v>635</v>
      </c>
    </row>
    <row r="14" spans="10:20" x14ac:dyDescent="0.15">
      <c r="Q14" s="173" t="s">
        <v>606</v>
      </c>
      <c r="R14" s="173" t="s">
        <v>636</v>
      </c>
      <c r="S14" s="173" t="s">
        <v>618</v>
      </c>
      <c r="T14" s="173" t="s">
        <v>641</v>
      </c>
    </row>
    <row r="15" spans="10:20" x14ac:dyDescent="0.15">
      <c r="Q15" s="173" t="s">
        <v>607</v>
      </c>
      <c r="R15" s="173" t="s">
        <v>13</v>
      </c>
      <c r="S15" s="173" t="s">
        <v>618</v>
      </c>
      <c r="T15" s="173" t="s">
        <v>637</v>
      </c>
    </row>
    <row r="16" spans="10:20" x14ac:dyDescent="0.15">
      <c r="Q16" s="173" t="s">
        <v>608</v>
      </c>
      <c r="R16" s="173" t="s">
        <v>639</v>
      </c>
      <c r="S16" s="173" t="s">
        <v>624</v>
      </c>
      <c r="T16" s="173" t="s">
        <v>640</v>
      </c>
    </row>
    <row r="17" spans="17:20" x14ac:dyDescent="0.15">
      <c r="Q17" s="173" t="s">
        <v>609</v>
      </c>
      <c r="R17" s="173" t="s">
        <v>643</v>
      </c>
      <c r="S17" s="173" t="s">
        <v>646</v>
      </c>
      <c r="T17" s="173" t="s">
        <v>653</v>
      </c>
    </row>
    <row r="18" spans="17:20" x14ac:dyDescent="0.15">
      <c r="Q18" s="173" t="s">
        <v>610</v>
      </c>
      <c r="R18" s="173" t="s">
        <v>644</v>
      </c>
      <c r="S18" s="173" t="s">
        <v>646</v>
      </c>
      <c r="T18" s="173" t="s">
        <v>653</v>
      </c>
    </row>
    <row r="19" spans="17:20" x14ac:dyDescent="0.15">
      <c r="Q19" s="173" t="s">
        <v>611</v>
      </c>
      <c r="R19" s="173" t="s">
        <v>645</v>
      </c>
      <c r="S19" s="173" t="s">
        <v>646</v>
      </c>
      <c r="T19" s="173" t="s">
        <v>653</v>
      </c>
    </row>
    <row r="20" spans="17:20" x14ac:dyDescent="0.15">
      <c r="Q20" s="173" t="s">
        <v>612</v>
      </c>
      <c r="R20" s="173" t="s">
        <v>647</v>
      </c>
      <c r="S20" s="173" t="s">
        <v>646</v>
      </c>
      <c r="T20" s="173" t="s">
        <v>654</v>
      </c>
    </row>
    <row r="21" spans="17:20" x14ac:dyDescent="0.15">
      <c r="Q21" s="173" t="s">
        <v>613</v>
      </c>
      <c r="R21" s="173" t="s">
        <v>648</v>
      </c>
      <c r="S21" s="173" t="s">
        <v>646</v>
      </c>
      <c r="T21" s="173" t="s">
        <v>654</v>
      </c>
    </row>
    <row r="22" spans="17:20" x14ac:dyDescent="0.15">
      <c r="Q22" s="173" t="s">
        <v>614</v>
      </c>
      <c r="R22" s="173" t="s">
        <v>649</v>
      </c>
      <c r="S22" s="173" t="s">
        <v>624</v>
      </c>
      <c r="T22" s="173" t="s">
        <v>650</v>
      </c>
    </row>
    <row r="23" spans="17:20" x14ac:dyDescent="0.15">
      <c r="Q23" s="173" t="s">
        <v>615</v>
      </c>
      <c r="R23" s="173" t="s">
        <v>651</v>
      </c>
      <c r="S23" s="173" t="s">
        <v>624</v>
      </c>
      <c r="T23" s="173" t="s">
        <v>652</v>
      </c>
    </row>
  </sheetData>
  <sheetProtection algorithmName="SHA-512" hashValue="N2zjUxSwml7nX7GOiVzZL5mJOQ85SCSHqUAAEQc9XlWygDQ8E6KlQwi+mS76vNkuoRIJb6/WFKh82lLpctAFYQ==" saltValue="RICp6DmyZ8L5nbbVuuXPhQ==" spinCount="100000" sheet="1" objects="1" scenarios="1"/>
  <phoneticPr fontId="2"/>
  <pageMargins left="0.7" right="0.7" top="0.75" bottom="0.75" header="0.3" footer="0.3"/>
  <pageSetup paperSize="8" scale="61"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66"/>
  <sheetViews>
    <sheetView tabSelected="1" view="pageBreakPreview" zoomScaleNormal="100" zoomScaleSheetLayoutView="100" workbookViewId="0">
      <selection activeCell="C4" sqref="C4:L4"/>
    </sheetView>
  </sheetViews>
  <sheetFormatPr defaultRowHeight="18.75" x14ac:dyDescent="0.15"/>
  <cols>
    <col min="1" max="1" width="2.75" style="10" customWidth="1"/>
    <col min="2" max="2" width="4" style="10" customWidth="1"/>
    <col min="3" max="12" width="16.875" style="10" customWidth="1"/>
    <col min="13" max="15" width="12" style="10" customWidth="1"/>
    <col min="16" max="16" width="13.5" style="10" customWidth="1"/>
    <col min="17" max="17" width="13.25" style="10" customWidth="1"/>
    <col min="18" max="253" width="9" style="10"/>
    <col min="254" max="254" width="2.75" style="10" customWidth="1"/>
    <col min="255" max="255" width="4" style="10" customWidth="1"/>
    <col min="256" max="265" width="13" style="10" customWidth="1"/>
    <col min="266" max="268" width="12" style="10" customWidth="1"/>
    <col min="269" max="269" width="13.5" style="10" customWidth="1"/>
    <col min="270" max="509" width="9" style="10"/>
    <col min="510" max="510" width="2.75" style="10" customWidth="1"/>
    <col min="511" max="511" width="4" style="10" customWidth="1"/>
    <col min="512" max="521" width="13" style="10" customWidth="1"/>
    <col min="522" max="524" width="12" style="10" customWidth="1"/>
    <col min="525" max="525" width="13.5" style="10" customWidth="1"/>
    <col min="526" max="765" width="9" style="10"/>
    <col min="766" max="766" width="2.75" style="10" customWidth="1"/>
    <col min="767" max="767" width="4" style="10" customWidth="1"/>
    <col min="768" max="777" width="13" style="10" customWidth="1"/>
    <col min="778" max="780" width="12" style="10" customWidth="1"/>
    <col min="781" max="781" width="13.5" style="10" customWidth="1"/>
    <col min="782" max="1021" width="9" style="10"/>
    <col min="1022" max="1022" width="2.75" style="10" customWidth="1"/>
    <col min="1023" max="1023" width="4" style="10" customWidth="1"/>
    <col min="1024" max="1033" width="13" style="10" customWidth="1"/>
    <col min="1034" max="1036" width="12" style="10" customWidth="1"/>
    <col min="1037" max="1037" width="13.5" style="10" customWidth="1"/>
    <col min="1038" max="1277" width="9" style="10"/>
    <col min="1278" max="1278" width="2.75" style="10" customWidth="1"/>
    <col min="1279" max="1279" width="4" style="10" customWidth="1"/>
    <col min="1280" max="1289" width="13" style="10" customWidth="1"/>
    <col min="1290" max="1292" width="12" style="10" customWidth="1"/>
    <col min="1293" max="1293" width="13.5" style="10" customWidth="1"/>
    <col min="1294" max="1533" width="9" style="10"/>
    <col min="1534" max="1534" width="2.75" style="10" customWidth="1"/>
    <col min="1535" max="1535" width="4" style="10" customWidth="1"/>
    <col min="1536" max="1545" width="13" style="10" customWidth="1"/>
    <col min="1546" max="1548" width="12" style="10" customWidth="1"/>
    <col min="1549" max="1549" width="13.5" style="10" customWidth="1"/>
    <col min="1550" max="1789" width="9" style="10"/>
    <col min="1790" max="1790" width="2.75" style="10" customWidth="1"/>
    <col min="1791" max="1791" width="4" style="10" customWidth="1"/>
    <col min="1792" max="1801" width="13" style="10" customWidth="1"/>
    <col min="1802" max="1804" width="12" style="10" customWidth="1"/>
    <col min="1805" max="1805" width="13.5" style="10" customWidth="1"/>
    <col min="1806" max="2045" width="9" style="10"/>
    <col min="2046" max="2046" width="2.75" style="10" customWidth="1"/>
    <col min="2047" max="2047" width="4" style="10" customWidth="1"/>
    <col min="2048" max="2057" width="13" style="10" customWidth="1"/>
    <col min="2058" max="2060" width="12" style="10" customWidth="1"/>
    <col min="2061" max="2061" width="13.5" style="10" customWidth="1"/>
    <col min="2062" max="2301" width="9" style="10"/>
    <col min="2302" max="2302" width="2.75" style="10" customWidth="1"/>
    <col min="2303" max="2303" width="4" style="10" customWidth="1"/>
    <col min="2304" max="2313" width="13" style="10" customWidth="1"/>
    <col min="2314" max="2316" width="12" style="10" customWidth="1"/>
    <col min="2317" max="2317" width="13.5" style="10" customWidth="1"/>
    <col min="2318" max="2557" width="9" style="10"/>
    <col min="2558" max="2558" width="2.75" style="10" customWidth="1"/>
    <col min="2559" max="2559" width="4" style="10" customWidth="1"/>
    <col min="2560" max="2569" width="13" style="10" customWidth="1"/>
    <col min="2570" max="2572" width="12" style="10" customWidth="1"/>
    <col min="2573" max="2573" width="13.5" style="10" customWidth="1"/>
    <col min="2574" max="2813" width="9" style="10"/>
    <col min="2814" max="2814" width="2.75" style="10" customWidth="1"/>
    <col min="2815" max="2815" width="4" style="10" customWidth="1"/>
    <col min="2816" max="2825" width="13" style="10" customWidth="1"/>
    <col min="2826" max="2828" width="12" style="10" customWidth="1"/>
    <col min="2829" max="2829" width="13.5" style="10" customWidth="1"/>
    <col min="2830" max="3069" width="9" style="10"/>
    <col min="3070" max="3070" width="2.75" style="10" customWidth="1"/>
    <col min="3071" max="3071" width="4" style="10" customWidth="1"/>
    <col min="3072" max="3081" width="13" style="10" customWidth="1"/>
    <col min="3082" max="3084" width="12" style="10" customWidth="1"/>
    <col min="3085" max="3085" width="13.5" style="10" customWidth="1"/>
    <col min="3086" max="3325" width="9" style="10"/>
    <col min="3326" max="3326" width="2.75" style="10" customWidth="1"/>
    <col min="3327" max="3327" width="4" style="10" customWidth="1"/>
    <col min="3328" max="3337" width="13" style="10" customWidth="1"/>
    <col min="3338" max="3340" width="12" style="10" customWidth="1"/>
    <col min="3341" max="3341" width="13.5" style="10" customWidth="1"/>
    <col min="3342" max="3581" width="9" style="10"/>
    <col min="3582" max="3582" width="2.75" style="10" customWidth="1"/>
    <col min="3583" max="3583" width="4" style="10" customWidth="1"/>
    <col min="3584" max="3593" width="13" style="10" customWidth="1"/>
    <col min="3594" max="3596" width="12" style="10" customWidth="1"/>
    <col min="3597" max="3597" width="13.5" style="10" customWidth="1"/>
    <col min="3598" max="3837" width="9" style="10"/>
    <col min="3838" max="3838" width="2.75" style="10" customWidth="1"/>
    <col min="3839" max="3839" width="4" style="10" customWidth="1"/>
    <col min="3840" max="3849" width="13" style="10" customWidth="1"/>
    <col min="3850" max="3852" width="12" style="10" customWidth="1"/>
    <col min="3853" max="3853" width="13.5" style="10" customWidth="1"/>
    <col min="3854" max="4093" width="9" style="10"/>
    <col min="4094" max="4094" width="2.75" style="10" customWidth="1"/>
    <col min="4095" max="4095" width="4" style="10" customWidth="1"/>
    <col min="4096" max="4105" width="13" style="10" customWidth="1"/>
    <col min="4106" max="4108" width="12" style="10" customWidth="1"/>
    <col min="4109" max="4109" width="13.5" style="10" customWidth="1"/>
    <col min="4110" max="4349" width="9" style="10"/>
    <col min="4350" max="4350" width="2.75" style="10" customWidth="1"/>
    <col min="4351" max="4351" width="4" style="10" customWidth="1"/>
    <col min="4352" max="4361" width="13" style="10" customWidth="1"/>
    <col min="4362" max="4364" width="12" style="10" customWidth="1"/>
    <col min="4365" max="4365" width="13.5" style="10" customWidth="1"/>
    <col min="4366" max="4605" width="9" style="10"/>
    <col min="4606" max="4606" width="2.75" style="10" customWidth="1"/>
    <col min="4607" max="4607" width="4" style="10" customWidth="1"/>
    <col min="4608" max="4617" width="13" style="10" customWidth="1"/>
    <col min="4618" max="4620" width="12" style="10" customWidth="1"/>
    <col min="4621" max="4621" width="13.5" style="10" customWidth="1"/>
    <col min="4622" max="4861" width="9" style="10"/>
    <col min="4862" max="4862" width="2.75" style="10" customWidth="1"/>
    <col min="4863" max="4863" width="4" style="10" customWidth="1"/>
    <col min="4864" max="4873" width="13" style="10" customWidth="1"/>
    <col min="4874" max="4876" width="12" style="10" customWidth="1"/>
    <col min="4877" max="4877" width="13.5" style="10" customWidth="1"/>
    <col min="4878" max="5117" width="9" style="10"/>
    <col min="5118" max="5118" width="2.75" style="10" customWidth="1"/>
    <col min="5119" max="5119" width="4" style="10" customWidth="1"/>
    <col min="5120" max="5129" width="13" style="10" customWidth="1"/>
    <col min="5130" max="5132" width="12" style="10" customWidth="1"/>
    <col min="5133" max="5133" width="13.5" style="10" customWidth="1"/>
    <col min="5134" max="5373" width="9" style="10"/>
    <col min="5374" max="5374" width="2.75" style="10" customWidth="1"/>
    <col min="5375" max="5375" width="4" style="10" customWidth="1"/>
    <col min="5376" max="5385" width="13" style="10" customWidth="1"/>
    <col min="5386" max="5388" width="12" style="10" customWidth="1"/>
    <col min="5389" max="5389" width="13.5" style="10" customWidth="1"/>
    <col min="5390" max="5629" width="9" style="10"/>
    <col min="5630" max="5630" width="2.75" style="10" customWidth="1"/>
    <col min="5631" max="5631" width="4" style="10" customWidth="1"/>
    <col min="5632" max="5641" width="13" style="10" customWidth="1"/>
    <col min="5642" max="5644" width="12" style="10" customWidth="1"/>
    <col min="5645" max="5645" width="13.5" style="10" customWidth="1"/>
    <col min="5646" max="5885" width="9" style="10"/>
    <col min="5886" max="5886" width="2.75" style="10" customWidth="1"/>
    <col min="5887" max="5887" width="4" style="10" customWidth="1"/>
    <col min="5888" max="5897" width="13" style="10" customWidth="1"/>
    <col min="5898" max="5900" width="12" style="10" customWidth="1"/>
    <col min="5901" max="5901" width="13.5" style="10" customWidth="1"/>
    <col min="5902" max="6141" width="9" style="10"/>
    <col min="6142" max="6142" width="2.75" style="10" customWidth="1"/>
    <col min="6143" max="6143" width="4" style="10" customWidth="1"/>
    <col min="6144" max="6153" width="13" style="10" customWidth="1"/>
    <col min="6154" max="6156" width="12" style="10" customWidth="1"/>
    <col min="6157" max="6157" width="13.5" style="10" customWidth="1"/>
    <col min="6158" max="6397" width="9" style="10"/>
    <col min="6398" max="6398" width="2.75" style="10" customWidth="1"/>
    <col min="6399" max="6399" width="4" style="10" customWidth="1"/>
    <col min="6400" max="6409" width="13" style="10" customWidth="1"/>
    <col min="6410" max="6412" width="12" style="10" customWidth="1"/>
    <col min="6413" max="6413" width="13.5" style="10" customWidth="1"/>
    <col min="6414" max="6653" width="9" style="10"/>
    <col min="6654" max="6654" width="2.75" style="10" customWidth="1"/>
    <col min="6655" max="6655" width="4" style="10" customWidth="1"/>
    <col min="6656" max="6665" width="13" style="10" customWidth="1"/>
    <col min="6666" max="6668" width="12" style="10" customWidth="1"/>
    <col min="6669" max="6669" width="13.5" style="10" customWidth="1"/>
    <col min="6670" max="6909" width="9" style="10"/>
    <col min="6910" max="6910" width="2.75" style="10" customWidth="1"/>
    <col min="6911" max="6911" width="4" style="10" customWidth="1"/>
    <col min="6912" max="6921" width="13" style="10" customWidth="1"/>
    <col min="6922" max="6924" width="12" style="10" customWidth="1"/>
    <col min="6925" max="6925" width="13.5" style="10" customWidth="1"/>
    <col min="6926" max="7165" width="9" style="10"/>
    <col min="7166" max="7166" width="2.75" style="10" customWidth="1"/>
    <col min="7167" max="7167" width="4" style="10" customWidth="1"/>
    <col min="7168" max="7177" width="13" style="10" customWidth="1"/>
    <col min="7178" max="7180" width="12" style="10" customWidth="1"/>
    <col min="7181" max="7181" width="13.5" style="10" customWidth="1"/>
    <col min="7182" max="7421" width="9" style="10"/>
    <col min="7422" max="7422" width="2.75" style="10" customWidth="1"/>
    <col min="7423" max="7423" width="4" style="10" customWidth="1"/>
    <col min="7424" max="7433" width="13" style="10" customWidth="1"/>
    <col min="7434" max="7436" width="12" style="10" customWidth="1"/>
    <col min="7437" max="7437" width="13.5" style="10" customWidth="1"/>
    <col min="7438" max="7677" width="9" style="10"/>
    <col min="7678" max="7678" width="2.75" style="10" customWidth="1"/>
    <col min="7679" max="7679" width="4" style="10" customWidth="1"/>
    <col min="7680" max="7689" width="13" style="10" customWidth="1"/>
    <col min="7690" max="7692" width="12" style="10" customWidth="1"/>
    <col min="7693" max="7693" width="13.5" style="10" customWidth="1"/>
    <col min="7694" max="7933" width="9" style="10"/>
    <col min="7934" max="7934" width="2.75" style="10" customWidth="1"/>
    <col min="7935" max="7935" width="4" style="10" customWidth="1"/>
    <col min="7936" max="7945" width="13" style="10" customWidth="1"/>
    <col min="7946" max="7948" width="12" style="10" customWidth="1"/>
    <col min="7949" max="7949" width="13.5" style="10" customWidth="1"/>
    <col min="7950" max="8189" width="9" style="10"/>
    <col min="8190" max="8190" width="2.75" style="10" customWidth="1"/>
    <col min="8191" max="8191" width="4" style="10" customWidth="1"/>
    <col min="8192" max="8201" width="13" style="10" customWidth="1"/>
    <col min="8202" max="8204" width="12" style="10" customWidth="1"/>
    <col min="8205" max="8205" width="13.5" style="10" customWidth="1"/>
    <col min="8206" max="8445" width="9" style="10"/>
    <col min="8446" max="8446" width="2.75" style="10" customWidth="1"/>
    <col min="8447" max="8447" width="4" style="10" customWidth="1"/>
    <col min="8448" max="8457" width="13" style="10" customWidth="1"/>
    <col min="8458" max="8460" width="12" style="10" customWidth="1"/>
    <col min="8461" max="8461" width="13.5" style="10" customWidth="1"/>
    <col min="8462" max="8701" width="9" style="10"/>
    <col min="8702" max="8702" width="2.75" style="10" customWidth="1"/>
    <col min="8703" max="8703" width="4" style="10" customWidth="1"/>
    <col min="8704" max="8713" width="13" style="10" customWidth="1"/>
    <col min="8714" max="8716" width="12" style="10" customWidth="1"/>
    <col min="8717" max="8717" width="13.5" style="10" customWidth="1"/>
    <col min="8718" max="8957" width="9" style="10"/>
    <col min="8958" max="8958" width="2.75" style="10" customWidth="1"/>
    <col min="8959" max="8959" width="4" style="10" customWidth="1"/>
    <col min="8960" max="8969" width="13" style="10" customWidth="1"/>
    <col min="8970" max="8972" width="12" style="10" customWidth="1"/>
    <col min="8973" max="8973" width="13.5" style="10" customWidth="1"/>
    <col min="8974" max="9213" width="9" style="10"/>
    <col min="9214" max="9214" width="2.75" style="10" customWidth="1"/>
    <col min="9215" max="9215" width="4" style="10" customWidth="1"/>
    <col min="9216" max="9225" width="13" style="10" customWidth="1"/>
    <col min="9226" max="9228" width="12" style="10" customWidth="1"/>
    <col min="9229" max="9229" width="13.5" style="10" customWidth="1"/>
    <col min="9230" max="9469" width="9" style="10"/>
    <col min="9470" max="9470" width="2.75" style="10" customWidth="1"/>
    <col min="9471" max="9471" width="4" style="10" customWidth="1"/>
    <col min="9472" max="9481" width="13" style="10" customWidth="1"/>
    <col min="9482" max="9484" width="12" style="10" customWidth="1"/>
    <col min="9485" max="9485" width="13.5" style="10" customWidth="1"/>
    <col min="9486" max="9725" width="9" style="10"/>
    <col min="9726" max="9726" width="2.75" style="10" customWidth="1"/>
    <col min="9727" max="9727" width="4" style="10" customWidth="1"/>
    <col min="9728" max="9737" width="13" style="10" customWidth="1"/>
    <col min="9738" max="9740" width="12" style="10" customWidth="1"/>
    <col min="9741" max="9741" width="13.5" style="10" customWidth="1"/>
    <col min="9742" max="9981" width="9" style="10"/>
    <col min="9982" max="9982" width="2.75" style="10" customWidth="1"/>
    <col min="9983" max="9983" width="4" style="10" customWidth="1"/>
    <col min="9984" max="9993" width="13" style="10" customWidth="1"/>
    <col min="9994" max="9996" width="12" style="10" customWidth="1"/>
    <col min="9997" max="9997" width="13.5" style="10" customWidth="1"/>
    <col min="9998" max="10237" width="9" style="10"/>
    <col min="10238" max="10238" width="2.75" style="10" customWidth="1"/>
    <col min="10239" max="10239" width="4" style="10" customWidth="1"/>
    <col min="10240" max="10249" width="13" style="10" customWidth="1"/>
    <col min="10250" max="10252" width="12" style="10" customWidth="1"/>
    <col min="10253" max="10253" width="13.5" style="10" customWidth="1"/>
    <col min="10254" max="10493" width="9" style="10"/>
    <col min="10494" max="10494" width="2.75" style="10" customWidth="1"/>
    <col min="10495" max="10495" width="4" style="10" customWidth="1"/>
    <col min="10496" max="10505" width="13" style="10" customWidth="1"/>
    <col min="10506" max="10508" width="12" style="10" customWidth="1"/>
    <col min="10509" max="10509" width="13.5" style="10" customWidth="1"/>
    <col min="10510" max="10749" width="9" style="10"/>
    <col min="10750" max="10750" width="2.75" style="10" customWidth="1"/>
    <col min="10751" max="10751" width="4" style="10" customWidth="1"/>
    <col min="10752" max="10761" width="13" style="10" customWidth="1"/>
    <col min="10762" max="10764" width="12" style="10" customWidth="1"/>
    <col min="10765" max="10765" width="13.5" style="10" customWidth="1"/>
    <col min="10766" max="11005" width="9" style="10"/>
    <col min="11006" max="11006" width="2.75" style="10" customWidth="1"/>
    <col min="11007" max="11007" width="4" style="10" customWidth="1"/>
    <col min="11008" max="11017" width="13" style="10" customWidth="1"/>
    <col min="11018" max="11020" width="12" style="10" customWidth="1"/>
    <col min="11021" max="11021" width="13.5" style="10" customWidth="1"/>
    <col min="11022" max="11261" width="9" style="10"/>
    <col min="11262" max="11262" width="2.75" style="10" customWidth="1"/>
    <col min="11263" max="11263" width="4" style="10" customWidth="1"/>
    <col min="11264" max="11273" width="13" style="10" customWidth="1"/>
    <col min="11274" max="11276" width="12" style="10" customWidth="1"/>
    <col min="11277" max="11277" width="13.5" style="10" customWidth="1"/>
    <col min="11278" max="11517" width="9" style="10"/>
    <col min="11518" max="11518" width="2.75" style="10" customWidth="1"/>
    <col min="11519" max="11519" width="4" style="10" customWidth="1"/>
    <col min="11520" max="11529" width="13" style="10" customWidth="1"/>
    <col min="11530" max="11532" width="12" style="10" customWidth="1"/>
    <col min="11533" max="11533" width="13.5" style="10" customWidth="1"/>
    <col min="11534" max="11773" width="9" style="10"/>
    <col min="11774" max="11774" width="2.75" style="10" customWidth="1"/>
    <col min="11775" max="11775" width="4" style="10" customWidth="1"/>
    <col min="11776" max="11785" width="13" style="10" customWidth="1"/>
    <col min="11786" max="11788" width="12" style="10" customWidth="1"/>
    <col min="11789" max="11789" width="13.5" style="10" customWidth="1"/>
    <col min="11790" max="12029" width="9" style="10"/>
    <col min="12030" max="12030" width="2.75" style="10" customWidth="1"/>
    <col min="12031" max="12031" width="4" style="10" customWidth="1"/>
    <col min="12032" max="12041" width="13" style="10" customWidth="1"/>
    <col min="12042" max="12044" width="12" style="10" customWidth="1"/>
    <col min="12045" max="12045" width="13.5" style="10" customWidth="1"/>
    <col min="12046" max="12285" width="9" style="10"/>
    <col min="12286" max="12286" width="2.75" style="10" customWidth="1"/>
    <col min="12287" max="12287" width="4" style="10" customWidth="1"/>
    <col min="12288" max="12297" width="13" style="10" customWidth="1"/>
    <col min="12298" max="12300" width="12" style="10" customWidth="1"/>
    <col min="12301" max="12301" width="13.5" style="10" customWidth="1"/>
    <col min="12302" max="12541" width="9" style="10"/>
    <col min="12542" max="12542" width="2.75" style="10" customWidth="1"/>
    <col min="12543" max="12543" width="4" style="10" customWidth="1"/>
    <col min="12544" max="12553" width="13" style="10" customWidth="1"/>
    <col min="12554" max="12556" width="12" style="10" customWidth="1"/>
    <col min="12557" max="12557" width="13.5" style="10" customWidth="1"/>
    <col min="12558" max="12797" width="9" style="10"/>
    <col min="12798" max="12798" width="2.75" style="10" customWidth="1"/>
    <col min="12799" max="12799" width="4" style="10" customWidth="1"/>
    <col min="12800" max="12809" width="13" style="10" customWidth="1"/>
    <col min="12810" max="12812" width="12" style="10" customWidth="1"/>
    <col min="12813" max="12813" width="13.5" style="10" customWidth="1"/>
    <col min="12814" max="13053" width="9" style="10"/>
    <col min="13054" max="13054" width="2.75" style="10" customWidth="1"/>
    <col min="13055" max="13055" width="4" style="10" customWidth="1"/>
    <col min="13056" max="13065" width="13" style="10" customWidth="1"/>
    <col min="13066" max="13068" width="12" style="10" customWidth="1"/>
    <col min="13069" max="13069" width="13.5" style="10" customWidth="1"/>
    <col min="13070" max="13309" width="9" style="10"/>
    <col min="13310" max="13310" width="2.75" style="10" customWidth="1"/>
    <col min="13311" max="13311" width="4" style="10" customWidth="1"/>
    <col min="13312" max="13321" width="13" style="10" customWidth="1"/>
    <col min="13322" max="13324" width="12" style="10" customWidth="1"/>
    <col min="13325" max="13325" width="13.5" style="10" customWidth="1"/>
    <col min="13326" max="13565" width="9" style="10"/>
    <col min="13566" max="13566" width="2.75" style="10" customWidth="1"/>
    <col min="13567" max="13567" width="4" style="10" customWidth="1"/>
    <col min="13568" max="13577" width="13" style="10" customWidth="1"/>
    <col min="13578" max="13580" width="12" style="10" customWidth="1"/>
    <col min="13581" max="13581" width="13.5" style="10" customWidth="1"/>
    <col min="13582" max="13821" width="9" style="10"/>
    <col min="13822" max="13822" width="2.75" style="10" customWidth="1"/>
    <col min="13823" max="13823" width="4" style="10" customWidth="1"/>
    <col min="13824" max="13833" width="13" style="10" customWidth="1"/>
    <col min="13834" max="13836" width="12" style="10" customWidth="1"/>
    <col min="13837" max="13837" width="13.5" style="10" customWidth="1"/>
    <col min="13838" max="14077" width="9" style="10"/>
    <col min="14078" max="14078" width="2.75" style="10" customWidth="1"/>
    <col min="14079" max="14079" width="4" style="10" customWidth="1"/>
    <col min="14080" max="14089" width="13" style="10" customWidth="1"/>
    <col min="14090" max="14092" width="12" style="10" customWidth="1"/>
    <col min="14093" max="14093" width="13.5" style="10" customWidth="1"/>
    <col min="14094" max="14333" width="9" style="10"/>
    <col min="14334" max="14334" width="2.75" style="10" customWidth="1"/>
    <col min="14335" max="14335" width="4" style="10" customWidth="1"/>
    <col min="14336" max="14345" width="13" style="10" customWidth="1"/>
    <col min="14346" max="14348" width="12" style="10" customWidth="1"/>
    <col min="14349" max="14349" width="13.5" style="10" customWidth="1"/>
    <col min="14350" max="14589" width="9" style="10"/>
    <col min="14590" max="14590" width="2.75" style="10" customWidth="1"/>
    <col min="14591" max="14591" width="4" style="10" customWidth="1"/>
    <col min="14592" max="14601" width="13" style="10" customWidth="1"/>
    <col min="14602" max="14604" width="12" style="10" customWidth="1"/>
    <col min="14605" max="14605" width="13.5" style="10" customWidth="1"/>
    <col min="14606" max="14845" width="9" style="10"/>
    <col min="14846" max="14846" width="2.75" style="10" customWidth="1"/>
    <col min="14847" max="14847" width="4" style="10" customWidth="1"/>
    <col min="14848" max="14857" width="13" style="10" customWidth="1"/>
    <col min="14858" max="14860" width="12" style="10" customWidth="1"/>
    <col min="14861" max="14861" width="13.5" style="10" customWidth="1"/>
    <col min="14862" max="15101" width="9" style="10"/>
    <col min="15102" max="15102" width="2.75" style="10" customWidth="1"/>
    <col min="15103" max="15103" width="4" style="10" customWidth="1"/>
    <col min="15104" max="15113" width="13" style="10" customWidth="1"/>
    <col min="15114" max="15116" width="12" style="10" customWidth="1"/>
    <col min="15117" max="15117" width="13.5" style="10" customWidth="1"/>
    <col min="15118" max="15357" width="9" style="10"/>
    <col min="15358" max="15358" width="2.75" style="10" customWidth="1"/>
    <col min="15359" max="15359" width="4" style="10" customWidth="1"/>
    <col min="15360" max="15369" width="13" style="10" customWidth="1"/>
    <col min="15370" max="15372" width="12" style="10" customWidth="1"/>
    <col min="15373" max="15373" width="13.5" style="10" customWidth="1"/>
    <col min="15374" max="15613" width="9" style="10"/>
    <col min="15614" max="15614" width="2.75" style="10" customWidth="1"/>
    <col min="15615" max="15615" width="4" style="10" customWidth="1"/>
    <col min="15616" max="15625" width="13" style="10" customWidth="1"/>
    <col min="15626" max="15628" width="12" style="10" customWidth="1"/>
    <col min="15629" max="15629" width="13.5" style="10" customWidth="1"/>
    <col min="15630" max="15869" width="9" style="10"/>
    <col min="15870" max="15870" width="2.75" style="10" customWidth="1"/>
    <col min="15871" max="15871" width="4" style="10" customWidth="1"/>
    <col min="15872" max="15881" width="13" style="10" customWidth="1"/>
    <col min="15882" max="15884" width="12" style="10" customWidth="1"/>
    <col min="15885" max="15885" width="13.5" style="10" customWidth="1"/>
    <col min="15886" max="16125" width="9" style="10"/>
    <col min="16126" max="16126" width="2.75" style="10" customWidth="1"/>
    <col min="16127" max="16127" width="4" style="10" customWidth="1"/>
    <col min="16128" max="16137" width="13" style="10" customWidth="1"/>
    <col min="16138" max="16140" width="12" style="10" customWidth="1"/>
    <col min="16141" max="16141" width="13.5" style="10" customWidth="1"/>
    <col min="16142" max="16384" width="9" style="10"/>
  </cols>
  <sheetData>
    <row r="1" spans="1:25" ht="23.25" customHeight="1" x14ac:dyDescent="0.15">
      <c r="A1" s="8"/>
      <c r="B1" s="8"/>
      <c r="C1" s="8"/>
      <c r="D1" s="8"/>
      <c r="E1" s="8"/>
      <c r="F1" s="8"/>
      <c r="G1" s="8"/>
      <c r="H1" s="8"/>
      <c r="I1" s="8"/>
      <c r="J1" s="8"/>
      <c r="K1" s="8"/>
      <c r="L1" s="8"/>
      <c r="M1" s="8"/>
      <c r="N1" s="8"/>
      <c r="O1" s="9"/>
      <c r="P1" s="9"/>
    </row>
    <row r="2" spans="1:25" ht="18.75" customHeight="1" x14ac:dyDescent="0.15">
      <c r="A2" s="9"/>
    </row>
    <row r="3" spans="1:25" ht="18.75" customHeight="1" x14ac:dyDescent="0.15">
      <c r="A3" s="9"/>
      <c r="C3" s="223" t="s">
        <v>449</v>
      </c>
      <c r="D3" s="223"/>
      <c r="E3" s="223"/>
      <c r="F3" s="223"/>
      <c r="G3" s="223"/>
      <c r="H3" s="223"/>
      <c r="I3" s="223"/>
      <c r="J3" s="223"/>
      <c r="K3" s="223"/>
      <c r="L3" s="223"/>
      <c r="M3" s="11"/>
      <c r="O3" s="12"/>
      <c r="P3" s="12"/>
      <c r="Q3" s="12"/>
      <c r="R3" s="12"/>
      <c r="S3" s="12"/>
      <c r="T3" s="12"/>
      <c r="U3" s="12"/>
      <c r="V3" s="12"/>
      <c r="W3" s="12"/>
      <c r="X3" s="12"/>
      <c r="Y3" s="12"/>
    </row>
    <row r="4" spans="1:25" ht="18.75" customHeight="1" x14ac:dyDescent="0.15">
      <c r="A4" s="9"/>
      <c r="C4" s="223" t="s">
        <v>448</v>
      </c>
      <c r="D4" s="223"/>
      <c r="E4" s="223"/>
      <c r="F4" s="223"/>
      <c r="G4" s="223"/>
      <c r="H4" s="223"/>
      <c r="I4" s="223"/>
      <c r="J4" s="223"/>
      <c r="K4" s="223"/>
      <c r="L4" s="223"/>
      <c r="M4" s="11"/>
      <c r="O4" s="12"/>
      <c r="P4" s="12"/>
      <c r="Q4" s="12"/>
      <c r="R4" s="12"/>
      <c r="S4" s="12"/>
      <c r="T4" s="12"/>
      <c r="U4" s="12"/>
      <c r="V4" s="12"/>
      <c r="W4" s="12"/>
      <c r="X4" s="12"/>
      <c r="Y4" s="12"/>
    </row>
    <row r="5" spans="1:25" ht="18.75" customHeight="1" x14ac:dyDescent="0.15">
      <c r="A5" s="9"/>
      <c r="C5" s="223" t="s">
        <v>450</v>
      </c>
      <c r="D5" s="223"/>
      <c r="E5" s="223"/>
      <c r="F5" s="223"/>
      <c r="G5" s="223"/>
      <c r="H5" s="223"/>
      <c r="I5" s="223"/>
      <c r="J5" s="223"/>
      <c r="K5" s="223"/>
      <c r="L5" s="223"/>
      <c r="M5" s="223"/>
      <c r="O5" s="12"/>
      <c r="P5" s="12"/>
      <c r="Q5" s="12"/>
      <c r="R5" s="12"/>
      <c r="S5" s="12"/>
      <c r="T5" s="12"/>
      <c r="U5" s="12"/>
      <c r="V5" s="12"/>
      <c r="W5" s="12"/>
      <c r="X5" s="12"/>
      <c r="Y5" s="12"/>
    </row>
    <row r="6" spans="1:25" ht="18.75" customHeight="1" x14ac:dyDescent="0.15">
      <c r="A6" s="9"/>
      <c r="C6" s="9" t="s">
        <v>447</v>
      </c>
      <c r="O6" s="12"/>
      <c r="P6" s="12"/>
      <c r="Q6" s="12"/>
      <c r="R6" s="12"/>
      <c r="S6" s="12"/>
      <c r="T6" s="12"/>
      <c r="U6" s="12"/>
      <c r="V6" s="12"/>
      <c r="W6" s="12"/>
      <c r="X6" s="12"/>
      <c r="Y6" s="12"/>
    </row>
    <row r="7" spans="1:25" ht="18.75" customHeight="1" x14ac:dyDescent="0.15">
      <c r="A7" s="9"/>
      <c r="C7" s="9"/>
      <c r="O7" s="12"/>
      <c r="P7" s="12"/>
      <c r="Q7" s="12"/>
      <c r="R7" s="12"/>
      <c r="S7" s="12"/>
      <c r="T7" s="12"/>
      <c r="U7" s="12"/>
      <c r="V7" s="12"/>
      <c r="W7" s="12"/>
      <c r="X7" s="12"/>
      <c r="Y7" s="12"/>
    </row>
    <row r="8" spans="1:25" ht="18.75" customHeight="1" x14ac:dyDescent="0.15">
      <c r="A8" s="9"/>
      <c r="C8" s="9"/>
      <c r="D8" s="230" t="s">
        <v>466</v>
      </c>
      <c r="E8" s="231"/>
      <c r="F8" s="231"/>
      <c r="G8" s="231"/>
      <c r="H8" s="232"/>
      <c r="O8" s="12"/>
      <c r="P8" s="12"/>
      <c r="Q8" s="12"/>
      <c r="R8" s="12"/>
      <c r="S8" s="12"/>
      <c r="T8" s="12"/>
      <c r="U8" s="12"/>
      <c r="V8" s="12"/>
      <c r="W8" s="12"/>
      <c r="X8" s="12"/>
      <c r="Y8" s="12"/>
    </row>
    <row r="9" spans="1:25" ht="18.75" customHeight="1" x14ac:dyDescent="0.15">
      <c r="A9" s="9"/>
      <c r="C9" s="9"/>
      <c r="D9" s="230" t="s">
        <v>462</v>
      </c>
      <c r="E9" s="232"/>
      <c r="F9" s="230" t="s">
        <v>463</v>
      </c>
      <c r="G9" s="231"/>
      <c r="H9" s="232"/>
      <c r="O9" s="12"/>
      <c r="P9" s="12"/>
      <c r="Q9" s="12"/>
      <c r="R9" s="12"/>
      <c r="S9" s="12"/>
      <c r="T9" s="12"/>
      <c r="U9" s="12"/>
      <c r="V9" s="12"/>
      <c r="W9" s="12"/>
      <c r="X9" s="12"/>
      <c r="Y9" s="12"/>
    </row>
    <row r="10" spans="1:25" ht="18.75" customHeight="1" x14ac:dyDescent="0.15">
      <c r="A10" s="9"/>
      <c r="C10" s="9"/>
      <c r="D10" s="230" t="s">
        <v>464</v>
      </c>
      <c r="E10" s="232"/>
      <c r="F10" s="230" t="s">
        <v>465</v>
      </c>
      <c r="G10" s="231"/>
      <c r="H10" s="232"/>
      <c r="O10" s="12"/>
      <c r="P10" s="12"/>
      <c r="Q10" s="12"/>
      <c r="R10" s="12"/>
      <c r="S10" s="12"/>
      <c r="T10" s="12"/>
      <c r="U10" s="12"/>
      <c r="V10" s="12"/>
      <c r="W10" s="12"/>
      <c r="X10" s="12"/>
      <c r="Y10" s="12"/>
    </row>
    <row r="11" spans="1:25" ht="18.75" customHeight="1" x14ac:dyDescent="0.15">
      <c r="A11" s="9"/>
      <c r="O11" s="12"/>
      <c r="P11" s="12"/>
      <c r="Q11" s="12"/>
      <c r="R11" s="12"/>
      <c r="S11" s="12"/>
      <c r="T11" s="12"/>
      <c r="U11" s="12"/>
      <c r="V11" s="12"/>
      <c r="W11" s="12"/>
      <c r="X11" s="12"/>
      <c r="Y11" s="12"/>
    </row>
    <row r="12" spans="1:25" ht="18.75" customHeight="1" x14ac:dyDescent="0.15">
      <c r="A12" s="9"/>
      <c r="C12" s="13" t="s">
        <v>427</v>
      </c>
      <c r="D12" s="14" t="s">
        <v>428</v>
      </c>
      <c r="E12" s="15" t="s">
        <v>429</v>
      </c>
      <c r="F12" s="16" t="s">
        <v>655</v>
      </c>
      <c r="G12" s="10" t="s">
        <v>461</v>
      </c>
    </row>
    <row r="13" spans="1:25" ht="18" customHeight="1" x14ac:dyDescent="0.15">
      <c r="B13" s="17" t="s">
        <v>96</v>
      </c>
      <c r="C13" s="17"/>
      <c r="D13" s="17"/>
      <c r="E13" s="17"/>
      <c r="F13" s="17"/>
      <c r="G13" s="17"/>
      <c r="H13" s="17"/>
      <c r="I13" s="17"/>
      <c r="J13" s="17"/>
      <c r="K13" s="17"/>
      <c r="L13" s="17"/>
      <c r="M13" s="17"/>
      <c r="N13" s="17"/>
    </row>
    <row r="14" spans="1:25" ht="15" customHeight="1" x14ac:dyDescent="0.15">
      <c r="B14" s="10" t="s">
        <v>97</v>
      </c>
      <c r="F14" s="18"/>
      <c r="G14" s="10" t="s">
        <v>98</v>
      </c>
    </row>
    <row r="15" spans="1:25" ht="15" customHeight="1" x14ac:dyDescent="0.15">
      <c r="F15" s="19"/>
    </row>
    <row r="16" spans="1:25" ht="15" customHeight="1" x14ac:dyDescent="0.15">
      <c r="C16" s="10" t="s">
        <v>99</v>
      </c>
      <c r="D16" s="20">
        <f>+IF(E22&lt;=6,50,60)</f>
        <v>50</v>
      </c>
      <c r="E16" s="10" t="s">
        <v>100</v>
      </c>
      <c r="G16" s="10" t="s">
        <v>467</v>
      </c>
    </row>
    <row r="17" spans="3:12" ht="15" customHeight="1" x14ac:dyDescent="0.15">
      <c r="D17" s="21" t="s">
        <v>101</v>
      </c>
    </row>
    <row r="18" spans="3:12" ht="15" customHeight="1" x14ac:dyDescent="0.15"/>
    <row r="19" spans="3:12" ht="15" customHeight="1" x14ac:dyDescent="0.15">
      <c r="C19" s="10" t="s">
        <v>102</v>
      </c>
    </row>
    <row r="20" spans="3:12" ht="15" customHeight="1" x14ac:dyDescent="0.15">
      <c r="C20" s="225" t="s">
        <v>103</v>
      </c>
      <c r="D20" s="172" t="s">
        <v>577</v>
      </c>
      <c r="E20" s="172" t="s">
        <v>578</v>
      </c>
      <c r="F20" s="23" t="s">
        <v>104</v>
      </c>
      <c r="G20" s="172" t="s">
        <v>579</v>
      </c>
      <c r="H20" s="172" t="s">
        <v>580</v>
      </c>
      <c r="I20" s="172" t="s">
        <v>581</v>
      </c>
      <c r="J20" s="172" t="s">
        <v>582</v>
      </c>
      <c r="K20" s="172" t="s">
        <v>583</v>
      </c>
      <c r="L20" s="22" t="s">
        <v>584</v>
      </c>
    </row>
    <row r="21" spans="3:12" ht="15" customHeight="1" x14ac:dyDescent="0.15">
      <c r="C21" s="226"/>
      <c r="D21" s="7" t="s">
        <v>105</v>
      </c>
      <c r="E21" s="7" t="s">
        <v>106</v>
      </c>
      <c r="F21" s="24" t="s">
        <v>107</v>
      </c>
      <c r="G21" s="7" t="s">
        <v>108</v>
      </c>
      <c r="H21" s="7" t="s">
        <v>109</v>
      </c>
      <c r="I21" s="7" t="s">
        <v>110</v>
      </c>
      <c r="J21" s="7" t="s">
        <v>111</v>
      </c>
      <c r="K21" s="7"/>
      <c r="L21" s="7" t="s">
        <v>112</v>
      </c>
    </row>
    <row r="22" spans="3:12" ht="15" customHeight="1" x14ac:dyDescent="0.15">
      <c r="C22" s="227"/>
      <c r="D22" s="25">
        <v>6</v>
      </c>
      <c r="E22" s="25">
        <v>5</v>
      </c>
      <c r="F22" s="26">
        <f>+D22-E22</f>
        <v>1</v>
      </c>
      <c r="G22" s="25">
        <v>114.3</v>
      </c>
      <c r="H22" s="25">
        <v>114.3</v>
      </c>
      <c r="I22" s="25">
        <v>2.2999999999999998</v>
      </c>
      <c r="J22" s="25">
        <v>2.2999999999999998</v>
      </c>
      <c r="K22" s="27" t="s">
        <v>23</v>
      </c>
      <c r="L22" s="25">
        <v>38.1</v>
      </c>
    </row>
    <row r="23" spans="3:12" ht="15" customHeight="1" x14ac:dyDescent="0.15"/>
    <row r="24" spans="3:12" ht="15" customHeight="1" x14ac:dyDescent="0.15">
      <c r="C24" s="23" t="s">
        <v>16</v>
      </c>
      <c r="D24" s="23" t="s">
        <v>113</v>
      </c>
      <c r="E24" s="28" t="s">
        <v>18</v>
      </c>
      <c r="F24" s="23" t="s">
        <v>19</v>
      </c>
      <c r="G24" s="28" t="s">
        <v>114</v>
      </c>
      <c r="H24" s="23" t="s">
        <v>115</v>
      </c>
    </row>
    <row r="25" spans="3:12" ht="15" customHeight="1" x14ac:dyDescent="0.15">
      <c r="C25" s="24" t="s">
        <v>291</v>
      </c>
      <c r="D25" s="24" t="s">
        <v>116</v>
      </c>
      <c r="E25" s="24" t="s">
        <v>292</v>
      </c>
      <c r="F25" s="24" t="s">
        <v>293</v>
      </c>
      <c r="G25" s="24" t="s">
        <v>117</v>
      </c>
      <c r="H25" s="24" t="s">
        <v>118</v>
      </c>
    </row>
    <row r="26" spans="3:12" ht="15" customHeight="1" x14ac:dyDescent="0.15">
      <c r="C26" s="26">
        <f>+ROUND(PI()/4*(G22^2-(G22-2*I22)^2)/100,2)</f>
        <v>8.09</v>
      </c>
      <c r="D26" s="26">
        <f>ROUND(IF(K22="円",+PI()/32*((G22/1000)^4-((G22-2*I22)/1000)^4)/(G22/1000)*1000000,IF(K22="角",+SQRT(2)/12*((G22/1000)^4-((G22-2*I22)/1000)^4)/(G22/1000)*1000000,"error")),2)</f>
        <v>22.21</v>
      </c>
      <c r="E26" s="26">
        <f>ROUND(PI()/64*(G22^4-(G22-2*I22)^4)/10000,0)</f>
        <v>127</v>
      </c>
      <c r="F26" s="26">
        <f>ROUND((1/16*(G22^2+(G22-2*I22)^2))^0.5/10,1)</f>
        <v>4</v>
      </c>
      <c r="G26" s="26">
        <f>+(G22+H22)/1000*E22/2*10000</f>
        <v>5715</v>
      </c>
      <c r="H26" s="26">
        <f>+IF(K22="円",0.7,+IF(K22="角",1.3,"error"))</f>
        <v>0.7</v>
      </c>
    </row>
    <row r="27" spans="3:12" ht="15" customHeight="1" x14ac:dyDescent="0.15"/>
    <row r="28" spans="3:12" ht="15" customHeight="1" x14ac:dyDescent="0.15">
      <c r="C28" s="29" t="s">
        <v>294</v>
      </c>
      <c r="D28" s="29" t="s">
        <v>306</v>
      </c>
      <c r="E28" s="29" t="s">
        <v>307</v>
      </c>
      <c r="F28" s="23" t="s">
        <v>431</v>
      </c>
    </row>
    <row r="29" spans="3:12" ht="15" customHeight="1" x14ac:dyDescent="0.15">
      <c r="C29" s="7" t="s">
        <v>470</v>
      </c>
      <c r="D29" s="7" t="s">
        <v>471</v>
      </c>
      <c r="E29" s="7" t="s">
        <v>472</v>
      </c>
      <c r="F29" s="24" t="s">
        <v>432</v>
      </c>
    </row>
    <row r="30" spans="3:12" ht="15" customHeight="1" x14ac:dyDescent="0.15">
      <c r="C30" s="25">
        <v>235</v>
      </c>
      <c r="D30" s="25">
        <v>156</v>
      </c>
      <c r="E30" s="25">
        <v>90.6</v>
      </c>
      <c r="F30" s="26">
        <f>+(G22-H22)/(E22*1000)</f>
        <v>0</v>
      </c>
    </row>
    <row r="31" spans="3:12" ht="15" customHeight="1" x14ac:dyDescent="0.15"/>
    <row r="32" spans="3:12" ht="15" customHeight="1" x14ac:dyDescent="0.15">
      <c r="D32" s="30" t="s">
        <v>295</v>
      </c>
      <c r="E32" s="10" t="s">
        <v>298</v>
      </c>
    </row>
    <row r="33" spans="3:12" ht="15" customHeight="1" x14ac:dyDescent="0.15">
      <c r="D33" s="30" t="s">
        <v>119</v>
      </c>
      <c r="E33" s="10" t="s">
        <v>300</v>
      </c>
    </row>
    <row r="34" spans="3:12" ht="15" customHeight="1" x14ac:dyDescent="0.15">
      <c r="D34" s="30" t="s">
        <v>297</v>
      </c>
      <c r="E34" s="10" t="s">
        <v>301</v>
      </c>
    </row>
    <row r="35" spans="3:12" ht="15" customHeight="1" x14ac:dyDescent="0.15">
      <c r="D35" s="30" t="s">
        <v>296</v>
      </c>
      <c r="E35" s="10" t="s">
        <v>299</v>
      </c>
    </row>
    <row r="36" spans="3:12" ht="15" customHeight="1" x14ac:dyDescent="0.15">
      <c r="D36" s="30" t="s">
        <v>302</v>
      </c>
      <c r="E36" s="10" t="s">
        <v>120</v>
      </c>
    </row>
    <row r="37" spans="3:12" ht="15" customHeight="1" x14ac:dyDescent="0.15">
      <c r="D37" s="30" t="s">
        <v>303</v>
      </c>
      <c r="E37" s="10" t="s">
        <v>121</v>
      </c>
    </row>
    <row r="38" spans="3:12" ht="15" customHeight="1" x14ac:dyDescent="0.15">
      <c r="D38" s="10" t="s">
        <v>473</v>
      </c>
      <c r="G38" s="10" t="s">
        <v>122</v>
      </c>
    </row>
    <row r="39" spans="3:12" ht="15" customHeight="1" x14ac:dyDescent="0.15"/>
    <row r="40" spans="3:12" ht="15" customHeight="1" x14ac:dyDescent="0.15">
      <c r="C40" s="31"/>
      <c r="D40" s="31"/>
      <c r="E40" s="31"/>
      <c r="F40" s="31"/>
      <c r="I40" s="10" t="s">
        <v>456</v>
      </c>
      <c r="L40" s="10" t="s">
        <v>455</v>
      </c>
    </row>
    <row r="41" spans="3:12" ht="15" customHeight="1" x14ac:dyDescent="0.15">
      <c r="C41" s="32" t="s">
        <v>420</v>
      </c>
      <c r="D41" s="33"/>
      <c r="E41" s="34"/>
      <c r="F41" s="34"/>
      <c r="G41" s="30" t="s">
        <v>498</v>
      </c>
    </row>
    <row r="42" spans="3:12" ht="15" customHeight="1" x14ac:dyDescent="0.15">
      <c r="D42" s="35" t="s">
        <v>423</v>
      </c>
      <c r="E42" s="195" t="s">
        <v>499</v>
      </c>
      <c r="F42" s="196"/>
      <c r="G42" s="161">
        <f>+F22</f>
        <v>1</v>
      </c>
    </row>
    <row r="43" spans="3:12" ht="15" customHeight="1" x14ac:dyDescent="0.15">
      <c r="C43" s="32"/>
      <c r="D43" s="174" t="s">
        <v>422</v>
      </c>
      <c r="E43" s="195" t="s">
        <v>499</v>
      </c>
      <c r="F43" s="196"/>
      <c r="G43" s="161">
        <f>+F22</f>
        <v>1</v>
      </c>
    </row>
    <row r="44" spans="3:12" ht="15" customHeight="1" x14ac:dyDescent="0.15">
      <c r="C44" s="32"/>
      <c r="D44" s="175"/>
      <c r="E44" s="233" t="s">
        <v>593</v>
      </c>
      <c r="F44" s="234"/>
      <c r="G44" s="162">
        <v>0.5</v>
      </c>
    </row>
    <row r="45" spans="3:12" ht="15" customHeight="1" x14ac:dyDescent="0.15">
      <c r="C45" s="32"/>
      <c r="D45" s="175"/>
      <c r="E45" s="233" t="s">
        <v>642</v>
      </c>
      <c r="F45" s="234"/>
      <c r="G45" s="162">
        <v>0.3</v>
      </c>
    </row>
    <row r="46" spans="3:12" ht="15" customHeight="1" x14ac:dyDescent="0.15">
      <c r="C46" s="32"/>
      <c r="D46" s="176"/>
      <c r="E46" s="233" t="s">
        <v>594</v>
      </c>
      <c r="F46" s="234"/>
      <c r="G46" s="162">
        <v>0.25</v>
      </c>
    </row>
    <row r="47" spans="3:12" ht="15" customHeight="1" x14ac:dyDescent="0.15">
      <c r="C47" s="32"/>
      <c r="D47" s="174" t="s">
        <v>421</v>
      </c>
      <c r="E47" s="195" t="s">
        <v>424</v>
      </c>
      <c r="F47" s="196"/>
      <c r="G47" s="161">
        <f>+F22</f>
        <v>1</v>
      </c>
    </row>
    <row r="48" spans="3:12" ht="15" customHeight="1" x14ac:dyDescent="0.15">
      <c r="C48" s="32"/>
      <c r="D48" s="175"/>
      <c r="E48" s="197" t="s">
        <v>595</v>
      </c>
      <c r="F48" s="198"/>
      <c r="G48" s="162">
        <v>0</v>
      </c>
    </row>
    <row r="49" spans="3:12" ht="15" customHeight="1" x14ac:dyDescent="0.15">
      <c r="C49" s="32"/>
      <c r="D49" s="176"/>
      <c r="E49" s="197" t="s">
        <v>596</v>
      </c>
      <c r="F49" s="198"/>
      <c r="G49" s="162">
        <v>0</v>
      </c>
    </row>
    <row r="50" spans="3:12" ht="15" customHeight="1" x14ac:dyDescent="0.15">
      <c r="E50" s="36"/>
      <c r="F50" s="36"/>
      <c r="I50" s="30"/>
    </row>
    <row r="51" spans="3:12" ht="15" customHeight="1" x14ac:dyDescent="0.15">
      <c r="C51" s="37" t="s">
        <v>419</v>
      </c>
      <c r="D51" s="19"/>
      <c r="E51" s="19"/>
    </row>
    <row r="52" spans="3:12" ht="15" customHeight="1" x14ac:dyDescent="0.15">
      <c r="C52" s="228"/>
      <c r="D52" s="38" t="s">
        <v>591</v>
      </c>
      <c r="E52" s="22" t="s">
        <v>592</v>
      </c>
    </row>
    <row r="53" spans="3:12" ht="15" customHeight="1" x14ac:dyDescent="0.15">
      <c r="C53" s="229"/>
      <c r="D53" s="7" t="s">
        <v>123</v>
      </c>
      <c r="E53" s="7" t="s">
        <v>124</v>
      </c>
    </row>
    <row r="54" spans="3:12" ht="15" customHeight="1" x14ac:dyDescent="0.15">
      <c r="C54" s="39" t="s">
        <v>125</v>
      </c>
      <c r="D54" s="25">
        <f>+E22-0.2</f>
        <v>4.8</v>
      </c>
      <c r="E54" s="25">
        <v>0</v>
      </c>
    </row>
    <row r="55" spans="3:12" ht="15" customHeight="1" x14ac:dyDescent="0.15">
      <c r="C55" s="31"/>
      <c r="D55" s="10" t="s">
        <v>467</v>
      </c>
      <c r="E55" s="31"/>
    </row>
    <row r="56" spans="3:12" ht="15" customHeight="1" x14ac:dyDescent="0.15">
      <c r="C56" s="31"/>
      <c r="D56" s="31"/>
      <c r="E56" s="31"/>
    </row>
    <row r="57" spans="3:12" ht="15" customHeight="1" x14ac:dyDescent="0.15"/>
    <row r="58" spans="3:12" ht="15" customHeight="1" x14ac:dyDescent="0.15">
      <c r="C58" s="10" t="s">
        <v>126</v>
      </c>
      <c r="J58" s="40"/>
    </row>
    <row r="59" spans="3:12" ht="15" customHeight="1" x14ac:dyDescent="0.15">
      <c r="C59" s="225" t="s">
        <v>127</v>
      </c>
      <c r="D59" s="172" t="s">
        <v>586</v>
      </c>
      <c r="E59" s="29" t="s">
        <v>587</v>
      </c>
      <c r="F59" s="23" t="s">
        <v>33</v>
      </c>
      <c r="G59" s="29" t="s">
        <v>588</v>
      </c>
      <c r="H59" s="22" t="s">
        <v>589</v>
      </c>
      <c r="I59" s="23" t="s">
        <v>128</v>
      </c>
      <c r="J59" s="41" t="s">
        <v>502</v>
      </c>
      <c r="K59" s="22" t="s">
        <v>590</v>
      </c>
      <c r="L59" s="23" t="s">
        <v>46</v>
      </c>
    </row>
    <row r="60" spans="3:12" ht="15" customHeight="1" x14ac:dyDescent="0.15">
      <c r="C60" s="227"/>
      <c r="D60" s="7" t="s">
        <v>501</v>
      </c>
      <c r="E60" s="7" t="s">
        <v>434</v>
      </c>
      <c r="F60" s="24" t="s">
        <v>500</v>
      </c>
      <c r="G60" s="7" t="s">
        <v>433</v>
      </c>
      <c r="H60" s="7"/>
      <c r="I60" s="24" t="s">
        <v>436</v>
      </c>
      <c r="J60" s="24" t="s">
        <v>503</v>
      </c>
      <c r="K60" s="7" t="s">
        <v>430</v>
      </c>
      <c r="L60" s="24" t="s">
        <v>441</v>
      </c>
    </row>
    <row r="61" spans="3:12" ht="15" customHeight="1" x14ac:dyDescent="0.15">
      <c r="C61" s="13" t="s">
        <v>129</v>
      </c>
      <c r="D61" s="25"/>
      <c r="E61" s="25"/>
      <c r="F61" s="26">
        <f>+IF(D61="",,ROUND(D61*E61*9.8,2))</f>
        <v>0</v>
      </c>
      <c r="G61" s="25"/>
      <c r="H61" s="42"/>
      <c r="I61" s="26" t="str">
        <f>+IF(D61="","",(IF(H61="円",0.7,+IF(H61="角",1.3,"error"))))</f>
        <v/>
      </c>
      <c r="J61" s="43">
        <f t="shared" ref="J61:J67" si="0">+IF(G61="",,I61*G61*$G$72*1000/10000)</f>
        <v>0</v>
      </c>
      <c r="K61" s="25"/>
      <c r="L61" s="26">
        <f>+IF(G61="",,ROUND(J61*K61,2))</f>
        <v>0</v>
      </c>
    </row>
    <row r="62" spans="3:12" ht="15" customHeight="1" x14ac:dyDescent="0.15">
      <c r="C62" s="13" t="s">
        <v>130</v>
      </c>
      <c r="D62" s="25"/>
      <c r="E62" s="25"/>
      <c r="F62" s="26">
        <f t="shared" ref="F62:F66" si="1">+IF(D62="",,ROUND(D62*E62*9.8,2))</f>
        <v>0</v>
      </c>
      <c r="G62" s="25"/>
      <c r="H62" s="42"/>
      <c r="I62" s="26" t="str">
        <f>+IF(D62="","",(IF(H62="円",0.7,+IF(H62="角",1.3,"error"))))</f>
        <v/>
      </c>
      <c r="J62" s="43">
        <f t="shared" si="0"/>
        <v>0</v>
      </c>
      <c r="K62" s="25"/>
      <c r="L62" s="26">
        <f t="shared" ref="L62:L67" si="2">+IF(G62="",,ROUND(J62*K62,2))</f>
        <v>0</v>
      </c>
    </row>
    <row r="63" spans="3:12" ht="15" customHeight="1" x14ac:dyDescent="0.15">
      <c r="C63" s="13" t="s">
        <v>131</v>
      </c>
      <c r="D63" s="25">
        <v>0.68500000000000005</v>
      </c>
      <c r="E63" s="25">
        <v>0.127</v>
      </c>
      <c r="F63" s="26">
        <f t="shared" si="1"/>
        <v>0.85</v>
      </c>
      <c r="G63" s="25">
        <v>215.5</v>
      </c>
      <c r="H63" s="42" t="s">
        <v>24</v>
      </c>
      <c r="I63" s="26">
        <f t="shared" ref="I63:I67" si="3">+IF(D63="","",(IF(H63="円",0.7,+IF(H63="角",1.3,"error"))))</f>
        <v>1.3</v>
      </c>
      <c r="J63" s="43">
        <f t="shared" si="0"/>
        <v>42.862950000000005</v>
      </c>
      <c r="K63" s="166">
        <v>4</v>
      </c>
      <c r="L63" s="26">
        <f t="shared" si="2"/>
        <v>171.45</v>
      </c>
    </row>
    <row r="64" spans="3:12" ht="15" customHeight="1" x14ac:dyDescent="0.15">
      <c r="C64" s="13" t="s">
        <v>132</v>
      </c>
      <c r="D64" s="25">
        <v>0.68500000000000005</v>
      </c>
      <c r="E64" s="25">
        <v>0.127</v>
      </c>
      <c r="F64" s="26">
        <f t="shared" si="1"/>
        <v>0.85</v>
      </c>
      <c r="G64" s="25">
        <v>215.5</v>
      </c>
      <c r="H64" s="42" t="s">
        <v>24</v>
      </c>
      <c r="I64" s="26">
        <f t="shared" si="3"/>
        <v>1.3</v>
      </c>
      <c r="J64" s="43">
        <f t="shared" si="0"/>
        <v>42.862950000000005</v>
      </c>
      <c r="K64" s="166">
        <v>4</v>
      </c>
      <c r="L64" s="26">
        <f t="shared" si="2"/>
        <v>171.45</v>
      </c>
    </row>
    <row r="65" spans="2:12" ht="15" customHeight="1" x14ac:dyDescent="0.15">
      <c r="C65" s="13" t="s">
        <v>585</v>
      </c>
      <c r="D65" s="25">
        <v>7</v>
      </c>
      <c r="E65" s="25">
        <v>0.1</v>
      </c>
      <c r="F65" s="26">
        <f t="shared" si="1"/>
        <v>6.86</v>
      </c>
      <c r="G65" s="25">
        <v>1521</v>
      </c>
      <c r="H65" s="42" t="s">
        <v>24</v>
      </c>
      <c r="I65" s="26">
        <f t="shared" si="3"/>
        <v>1.3</v>
      </c>
      <c r="J65" s="43">
        <f t="shared" si="0"/>
        <v>302.52690000000001</v>
      </c>
      <c r="K65" s="25">
        <v>3.2</v>
      </c>
      <c r="L65" s="26">
        <f t="shared" si="2"/>
        <v>968.09</v>
      </c>
    </row>
    <row r="66" spans="2:12" ht="15" customHeight="1" x14ac:dyDescent="0.15">
      <c r="C66" s="25"/>
      <c r="D66" s="25"/>
      <c r="E66" s="25"/>
      <c r="F66" s="26">
        <f t="shared" si="1"/>
        <v>0</v>
      </c>
      <c r="G66" s="25"/>
      <c r="H66" s="42" t="s">
        <v>560</v>
      </c>
      <c r="I66" s="26" t="str">
        <f t="shared" si="3"/>
        <v/>
      </c>
      <c r="J66" s="43">
        <f t="shared" si="0"/>
        <v>0</v>
      </c>
      <c r="K66" s="25"/>
      <c r="L66" s="26">
        <f t="shared" si="2"/>
        <v>0</v>
      </c>
    </row>
    <row r="67" spans="2:12" ht="15" customHeight="1" x14ac:dyDescent="0.15">
      <c r="C67" s="13" t="s">
        <v>12</v>
      </c>
      <c r="D67" s="26">
        <f>+ROUND(L22/D22*E22,2)</f>
        <v>31.75</v>
      </c>
      <c r="E67" s="44" t="s">
        <v>367</v>
      </c>
      <c r="F67" s="44" t="s">
        <v>367</v>
      </c>
      <c r="G67" s="26">
        <f>+G26</f>
        <v>5715</v>
      </c>
      <c r="H67" s="44" t="str">
        <f>+K22</f>
        <v>円</v>
      </c>
      <c r="I67" s="26">
        <f t="shared" si="3"/>
        <v>0.7</v>
      </c>
      <c r="J67" s="43">
        <f t="shared" si="0"/>
        <v>612.0764999999999</v>
      </c>
      <c r="K67" s="26">
        <f>+(G22+2*H22)/(G22+H22)*E22/3</f>
        <v>2.5</v>
      </c>
      <c r="L67" s="26">
        <f t="shared" si="2"/>
        <v>1530.19</v>
      </c>
    </row>
    <row r="68" spans="2:12" ht="15" customHeight="1" x14ac:dyDescent="0.15">
      <c r="C68" s="13" t="s">
        <v>133</v>
      </c>
      <c r="D68" s="26">
        <f>+ROUND(SUM(D61:D67),2)</f>
        <v>40.119999999999997</v>
      </c>
      <c r="E68" s="44" t="s">
        <v>367</v>
      </c>
      <c r="F68" s="26">
        <f>+SUM(F61:F65)</f>
        <v>8.56</v>
      </c>
      <c r="G68" s="44" t="s">
        <v>367</v>
      </c>
      <c r="H68" s="44" t="s">
        <v>367</v>
      </c>
      <c r="I68" s="44" t="s">
        <v>367</v>
      </c>
      <c r="J68" s="43">
        <f>+ROUND(SUM(J61:J67),2)</f>
        <v>1000.33</v>
      </c>
      <c r="K68" s="44" t="s">
        <v>367</v>
      </c>
      <c r="L68" s="43">
        <f>+ROUND(SUM(L61:L67),2)</f>
        <v>2841.18</v>
      </c>
    </row>
    <row r="69" spans="2:12" ht="15" customHeight="1" x14ac:dyDescent="0.15">
      <c r="J69" s="40"/>
    </row>
    <row r="70" spans="2:12" ht="15" customHeight="1" x14ac:dyDescent="0.15">
      <c r="D70" s="45" t="s">
        <v>134</v>
      </c>
      <c r="E70" s="10" t="s">
        <v>135</v>
      </c>
      <c r="J70" s="40"/>
    </row>
    <row r="71" spans="2:12" ht="15" customHeight="1" x14ac:dyDescent="0.15">
      <c r="D71" s="10" t="s">
        <v>136</v>
      </c>
    </row>
    <row r="72" spans="2:12" ht="15" customHeight="1" x14ac:dyDescent="0.15">
      <c r="E72" s="10" t="str">
        <f>"V＝"&amp;D16&amp;"m/s"</f>
        <v>V＝50m/s</v>
      </c>
      <c r="F72" s="10" t="s">
        <v>474</v>
      </c>
      <c r="G72" s="20">
        <f>ROUNDDOWN(1.23*D16^2/2/1000,2)</f>
        <v>1.53</v>
      </c>
      <c r="H72" s="10" t="s">
        <v>475</v>
      </c>
    </row>
    <row r="73" spans="2:12" ht="15" customHeight="1" x14ac:dyDescent="0.15">
      <c r="D73" s="10" t="s">
        <v>504</v>
      </c>
      <c r="I73" s="36"/>
    </row>
    <row r="74" spans="2:12" ht="15" customHeight="1" x14ac:dyDescent="0.15">
      <c r="E74" s="10" t="s">
        <v>505</v>
      </c>
      <c r="I74" s="36"/>
    </row>
    <row r="75" spans="2:12" ht="15" customHeight="1" x14ac:dyDescent="0.15">
      <c r="E75" s="10" t="s">
        <v>506</v>
      </c>
      <c r="I75" s="36"/>
    </row>
    <row r="76" spans="2:12" ht="15" customHeight="1" x14ac:dyDescent="0.15">
      <c r="D76" s="10" t="s">
        <v>137</v>
      </c>
      <c r="I76" s="36"/>
    </row>
    <row r="77" spans="2:12" ht="15" customHeight="1" x14ac:dyDescent="0.15">
      <c r="E77" s="10" t="s">
        <v>138</v>
      </c>
      <c r="I77" s="36"/>
    </row>
    <row r="78" spans="2:12" ht="15" customHeight="1" x14ac:dyDescent="0.15">
      <c r="E78" s="10" t="s">
        <v>507</v>
      </c>
      <c r="I78" s="36"/>
    </row>
    <row r="79" spans="2:12" ht="15" customHeight="1" x14ac:dyDescent="0.15">
      <c r="I79" s="36"/>
    </row>
    <row r="80" spans="2:12" ht="21.75" customHeight="1" x14ac:dyDescent="0.15">
      <c r="B80" s="10" t="s">
        <v>451</v>
      </c>
      <c r="D80" s="192" t="s">
        <v>408</v>
      </c>
      <c r="E80" s="193"/>
      <c r="F80" s="193"/>
      <c r="G80" s="194"/>
      <c r="H80" s="19"/>
      <c r="I80" s="36"/>
    </row>
    <row r="81" spans="3:10" ht="21.75" customHeight="1" x14ac:dyDescent="0.15">
      <c r="C81" s="19"/>
      <c r="D81" s="46"/>
      <c r="E81" s="46" t="s">
        <v>413</v>
      </c>
      <c r="F81" s="46" t="s">
        <v>412</v>
      </c>
      <c r="G81" s="47" t="s">
        <v>83</v>
      </c>
      <c r="H81" s="19"/>
      <c r="I81" s="36"/>
    </row>
    <row r="82" spans="3:10" ht="21.75" customHeight="1" x14ac:dyDescent="0.15">
      <c r="C82" s="19"/>
      <c r="D82" s="48" t="s">
        <v>409</v>
      </c>
      <c r="E82" s="48">
        <f>+F185</f>
        <v>0.74</v>
      </c>
      <c r="F82" s="48">
        <f>+E30</f>
        <v>90.6</v>
      </c>
      <c r="G82" s="49" t="str">
        <f>IF(E82&lt;F82,"OK","NG")</f>
        <v>OK</v>
      </c>
      <c r="H82" s="19"/>
      <c r="I82" s="36"/>
    </row>
    <row r="83" spans="3:10" ht="21.75" customHeight="1" x14ac:dyDescent="0.15">
      <c r="C83" s="19"/>
      <c r="D83" s="48" t="s">
        <v>77</v>
      </c>
      <c r="E83" s="48">
        <f>+F203</f>
        <v>127.92</v>
      </c>
      <c r="F83" s="48">
        <f>+C30</f>
        <v>235</v>
      </c>
      <c r="G83" s="49" t="str">
        <f>IF(E83&lt;F83,"OK","NG")</f>
        <v>OK</v>
      </c>
      <c r="H83" s="19"/>
      <c r="I83" s="36"/>
    </row>
    <row r="84" spans="3:10" ht="21.75" customHeight="1" x14ac:dyDescent="0.15">
      <c r="C84" s="19"/>
      <c r="D84" s="48" t="s">
        <v>410</v>
      </c>
      <c r="E84" s="48">
        <f>+G215</f>
        <v>0.47</v>
      </c>
      <c r="F84" s="48">
        <f>+E30</f>
        <v>90.6</v>
      </c>
      <c r="G84" s="49" t="str">
        <f>IF(E84&lt;F84,"OK","NG")</f>
        <v>OK</v>
      </c>
      <c r="H84" s="19"/>
      <c r="I84" s="36"/>
    </row>
    <row r="85" spans="3:10" ht="15" customHeight="1" x14ac:dyDescent="0.15">
      <c r="C85" s="19"/>
      <c r="D85" s="19"/>
      <c r="E85" s="19"/>
      <c r="F85" s="19"/>
      <c r="G85" s="19"/>
      <c r="H85" s="19"/>
      <c r="I85" s="36"/>
    </row>
    <row r="86" spans="3:10" ht="15" customHeight="1" x14ac:dyDescent="0.15">
      <c r="C86" s="19"/>
      <c r="D86" s="189" t="s">
        <v>414</v>
      </c>
      <c r="E86" s="190"/>
      <c r="F86" s="190"/>
      <c r="G86" s="190"/>
      <c r="H86" s="190"/>
      <c r="I86" s="191"/>
    </row>
    <row r="87" spans="3:10" ht="15" customHeight="1" x14ac:dyDescent="0.15">
      <c r="C87" s="19"/>
      <c r="D87" s="177" t="s">
        <v>415</v>
      </c>
      <c r="E87" s="178"/>
      <c r="F87" s="177" t="s">
        <v>416</v>
      </c>
      <c r="G87" s="178"/>
      <c r="H87" s="177" t="s">
        <v>417</v>
      </c>
      <c r="I87" s="178"/>
      <c r="J87" s="10" t="s">
        <v>426</v>
      </c>
    </row>
    <row r="88" spans="3:10" ht="15" customHeight="1" x14ac:dyDescent="0.15">
      <c r="C88" s="19"/>
      <c r="D88" s="179"/>
      <c r="E88" s="180"/>
      <c r="F88" s="179"/>
      <c r="G88" s="180"/>
      <c r="H88" s="179"/>
      <c r="I88" s="180"/>
      <c r="J88" s="19"/>
    </row>
    <row r="89" spans="3:10" ht="15" customHeight="1" x14ac:dyDescent="0.15">
      <c r="C89" s="19"/>
      <c r="D89" s="181"/>
      <c r="E89" s="182"/>
      <c r="F89" s="181"/>
      <c r="G89" s="182"/>
      <c r="H89" s="181"/>
      <c r="I89" s="182"/>
      <c r="J89" s="19"/>
    </row>
    <row r="90" spans="3:10" ht="15" customHeight="1" x14ac:dyDescent="0.15">
      <c r="C90" s="19"/>
      <c r="D90" s="181"/>
      <c r="E90" s="182"/>
      <c r="F90" s="181"/>
      <c r="G90" s="182"/>
      <c r="H90" s="181"/>
      <c r="I90" s="182"/>
      <c r="J90" s="19"/>
    </row>
    <row r="91" spans="3:10" ht="15" customHeight="1" x14ac:dyDescent="0.15">
      <c r="C91" s="19"/>
      <c r="D91" s="181"/>
      <c r="E91" s="182"/>
      <c r="F91" s="181"/>
      <c r="G91" s="182"/>
      <c r="H91" s="181"/>
      <c r="I91" s="182"/>
      <c r="J91" s="19"/>
    </row>
    <row r="92" spans="3:10" ht="15" customHeight="1" x14ac:dyDescent="0.15">
      <c r="C92" s="19"/>
      <c r="D92" s="181"/>
      <c r="E92" s="182"/>
      <c r="F92" s="181"/>
      <c r="G92" s="182"/>
      <c r="H92" s="181"/>
      <c r="I92" s="182"/>
      <c r="J92" s="19"/>
    </row>
    <row r="93" spans="3:10" ht="15" customHeight="1" x14ac:dyDescent="0.15">
      <c r="C93" s="19"/>
      <c r="D93" s="181"/>
      <c r="E93" s="182"/>
      <c r="F93" s="181"/>
      <c r="G93" s="182"/>
      <c r="H93" s="181"/>
      <c r="I93" s="182"/>
      <c r="J93" s="19"/>
    </row>
    <row r="94" spans="3:10" ht="15" customHeight="1" x14ac:dyDescent="0.15">
      <c r="C94" s="19"/>
      <c r="D94" s="181"/>
      <c r="E94" s="182"/>
      <c r="F94" s="181"/>
      <c r="G94" s="182"/>
      <c r="H94" s="181"/>
      <c r="I94" s="182"/>
      <c r="J94" s="19"/>
    </row>
    <row r="95" spans="3:10" ht="15" customHeight="1" x14ac:dyDescent="0.15">
      <c r="C95" s="19"/>
      <c r="D95" s="181"/>
      <c r="E95" s="182"/>
      <c r="F95" s="181"/>
      <c r="G95" s="182"/>
      <c r="H95" s="181"/>
      <c r="I95" s="182"/>
      <c r="J95" s="19"/>
    </row>
    <row r="96" spans="3:10" ht="15" customHeight="1" x14ac:dyDescent="0.15">
      <c r="C96" s="19"/>
      <c r="D96" s="181"/>
      <c r="E96" s="182"/>
      <c r="F96" s="181"/>
      <c r="G96" s="182"/>
      <c r="H96" s="181"/>
      <c r="I96" s="182"/>
      <c r="J96" s="19"/>
    </row>
    <row r="97" spans="2:12" ht="15" customHeight="1" x14ac:dyDescent="0.15">
      <c r="C97" s="19"/>
      <c r="D97" s="181"/>
      <c r="E97" s="182"/>
      <c r="F97" s="181"/>
      <c r="G97" s="182"/>
      <c r="H97" s="181"/>
      <c r="I97" s="182"/>
      <c r="J97" s="19"/>
    </row>
    <row r="98" spans="2:12" ht="15" customHeight="1" x14ac:dyDescent="0.15">
      <c r="C98" s="19"/>
      <c r="D98" s="181"/>
      <c r="E98" s="182"/>
      <c r="F98" s="181"/>
      <c r="G98" s="182"/>
      <c r="H98" s="181"/>
      <c r="I98" s="182"/>
      <c r="J98" s="19"/>
    </row>
    <row r="99" spans="2:12" ht="15" customHeight="1" x14ac:dyDescent="0.15">
      <c r="C99" s="19"/>
      <c r="D99" s="181"/>
      <c r="E99" s="182"/>
      <c r="F99" s="181"/>
      <c r="G99" s="182"/>
      <c r="H99" s="181"/>
      <c r="I99" s="182"/>
      <c r="J99" s="19"/>
    </row>
    <row r="100" spans="2:12" ht="15" customHeight="1" x14ac:dyDescent="0.15">
      <c r="C100" s="19"/>
      <c r="D100" s="181"/>
      <c r="E100" s="182"/>
      <c r="F100" s="181"/>
      <c r="G100" s="182"/>
      <c r="H100" s="181"/>
      <c r="I100" s="182"/>
      <c r="J100" s="19"/>
    </row>
    <row r="101" spans="2:12" ht="15" customHeight="1" x14ac:dyDescent="0.15">
      <c r="C101" s="19"/>
      <c r="D101" s="183"/>
      <c r="E101" s="184"/>
      <c r="F101" s="183"/>
      <c r="G101" s="184"/>
      <c r="H101" s="183"/>
      <c r="I101" s="184"/>
      <c r="J101" s="19"/>
    </row>
    <row r="102" spans="2:12" ht="20.25" customHeight="1" x14ac:dyDescent="0.15">
      <c r="C102" s="19"/>
      <c r="D102" s="50" t="s">
        <v>418</v>
      </c>
      <c r="E102" s="50" t="s">
        <v>411</v>
      </c>
      <c r="F102" s="50" t="s">
        <v>418</v>
      </c>
      <c r="G102" s="50" t="s">
        <v>411</v>
      </c>
      <c r="H102" s="50" t="s">
        <v>418</v>
      </c>
      <c r="I102" s="50" t="s">
        <v>411</v>
      </c>
      <c r="J102" s="19"/>
    </row>
    <row r="103" spans="2:12" ht="20.25" customHeight="1" x14ac:dyDescent="0.15">
      <c r="C103" s="19"/>
      <c r="D103" s="51">
        <f>+'基礎（直埋め）'!D29</f>
        <v>1.56</v>
      </c>
      <c r="E103" s="50" t="s">
        <v>425</v>
      </c>
      <c r="F103" s="51">
        <f>+'基礎（根枷）'!D41</f>
        <v>3.37</v>
      </c>
      <c r="G103" s="50" t="s">
        <v>425</v>
      </c>
      <c r="H103" s="51">
        <f>+'基礎（根巻）'!D50</f>
        <v>1.18</v>
      </c>
      <c r="I103" s="50" t="s">
        <v>425</v>
      </c>
      <c r="J103" s="19"/>
    </row>
    <row r="104" spans="2:12" ht="20.25" customHeight="1" x14ac:dyDescent="0.15">
      <c r="C104" s="19"/>
      <c r="D104" s="185" t="s">
        <v>83</v>
      </c>
      <c r="E104" s="186"/>
      <c r="F104" s="185" t="s">
        <v>83</v>
      </c>
      <c r="G104" s="186"/>
      <c r="H104" s="185" t="s">
        <v>83</v>
      </c>
      <c r="I104" s="186"/>
      <c r="J104" s="19"/>
    </row>
    <row r="105" spans="2:12" ht="20.25" customHeight="1" x14ac:dyDescent="0.15">
      <c r="C105" s="19"/>
      <c r="D105" s="187" t="str">
        <f>IF(D103&gt;=2,"OK","NG")</f>
        <v>NG</v>
      </c>
      <c r="E105" s="188"/>
      <c r="F105" s="187" t="str">
        <f>IF(F103&gt;=2,"OK","NG")</f>
        <v>OK</v>
      </c>
      <c r="G105" s="188"/>
      <c r="H105" s="187" t="str">
        <f>IF(H103&gt;=2,"OK","NG")</f>
        <v>NG</v>
      </c>
      <c r="I105" s="188"/>
      <c r="J105" s="19"/>
    </row>
    <row r="106" spans="2:12" ht="15" customHeight="1" x14ac:dyDescent="0.15">
      <c r="B106" s="10" t="s">
        <v>454</v>
      </c>
      <c r="I106" s="36"/>
    </row>
    <row r="107" spans="2:12" x14ac:dyDescent="0.15">
      <c r="C107" s="10" t="s">
        <v>453</v>
      </c>
    </row>
    <row r="108" spans="2:12" x14ac:dyDescent="0.15">
      <c r="C108" s="10" t="s">
        <v>26</v>
      </c>
    </row>
    <row r="109" spans="2:12" x14ac:dyDescent="0.15">
      <c r="D109" s="10" t="s">
        <v>27</v>
      </c>
    </row>
    <row r="110" spans="2:12" x14ac:dyDescent="0.15">
      <c r="D110" s="10" t="s">
        <v>9</v>
      </c>
      <c r="E110" s="30" t="s">
        <v>29</v>
      </c>
      <c r="F110" s="10">
        <f>+D63+D64+D65+D61+D62</f>
        <v>8.370000000000001</v>
      </c>
      <c r="G110" s="10" t="s">
        <v>363</v>
      </c>
    </row>
    <row r="111" spans="2:12" x14ac:dyDescent="0.15">
      <c r="E111" s="30" t="s">
        <v>37</v>
      </c>
      <c r="F111" s="10">
        <f>+F110*9.8</f>
        <v>82.02600000000001</v>
      </c>
      <c r="G111" s="10" t="s">
        <v>10</v>
      </c>
    </row>
    <row r="112" spans="2:12" x14ac:dyDescent="0.15">
      <c r="D112" s="10" t="s">
        <v>12</v>
      </c>
      <c r="E112" s="30" t="s">
        <v>28</v>
      </c>
      <c r="F112" s="10" t="s">
        <v>304</v>
      </c>
      <c r="G112" s="10">
        <f>+E22</f>
        <v>5</v>
      </c>
      <c r="H112" s="10" t="s">
        <v>42</v>
      </c>
      <c r="I112" s="10">
        <f>+L22</f>
        <v>38.1</v>
      </c>
      <c r="J112" s="10" t="s">
        <v>364</v>
      </c>
      <c r="K112" s="10">
        <f>+D22</f>
        <v>6</v>
      </c>
      <c r="L112" s="10" t="s">
        <v>365</v>
      </c>
    </row>
    <row r="113" spans="3:9" x14ac:dyDescent="0.15">
      <c r="E113" s="30" t="s">
        <v>25</v>
      </c>
      <c r="F113" s="10">
        <f>+ROUND(G112*I112/K112*9.8,1)</f>
        <v>311.2</v>
      </c>
      <c r="G113" s="10" t="s">
        <v>10</v>
      </c>
    </row>
    <row r="114" spans="3:9" x14ac:dyDescent="0.15">
      <c r="E114" s="30" t="s">
        <v>30</v>
      </c>
      <c r="F114" s="10" t="s">
        <v>31</v>
      </c>
      <c r="G114" s="10">
        <f>+ROUND(F113+F111,0)</f>
        <v>393</v>
      </c>
      <c r="H114" s="10" t="s">
        <v>10</v>
      </c>
    </row>
    <row r="115" spans="3:9" x14ac:dyDescent="0.15">
      <c r="E115" s="30" t="s">
        <v>32</v>
      </c>
      <c r="G115" s="10">
        <f>+G114</f>
        <v>393</v>
      </c>
      <c r="H115" s="10" t="s">
        <v>10</v>
      </c>
    </row>
    <row r="116" spans="3:9" x14ac:dyDescent="0.15">
      <c r="D116" s="10" t="s">
        <v>33</v>
      </c>
    </row>
    <row r="117" spans="3:9" x14ac:dyDescent="0.15">
      <c r="D117" s="10" t="s">
        <v>9</v>
      </c>
      <c r="E117" s="30" t="s">
        <v>305</v>
      </c>
      <c r="F117" s="30" t="s">
        <v>435</v>
      </c>
      <c r="G117" s="30" t="s">
        <v>37</v>
      </c>
      <c r="H117" s="10">
        <f>+F68</f>
        <v>8.56</v>
      </c>
      <c r="I117" s="10" t="s">
        <v>34</v>
      </c>
    </row>
    <row r="119" spans="3:9" x14ac:dyDescent="0.15">
      <c r="C119" s="10" t="s">
        <v>35</v>
      </c>
    </row>
    <row r="120" spans="3:9" x14ac:dyDescent="0.15">
      <c r="D120" s="10" t="s">
        <v>36</v>
      </c>
    </row>
    <row r="121" spans="3:9" x14ac:dyDescent="0.15">
      <c r="D121" s="10" t="s">
        <v>38</v>
      </c>
      <c r="E121" s="30" t="s">
        <v>39</v>
      </c>
      <c r="F121" s="10" t="s">
        <v>437</v>
      </c>
      <c r="G121" s="30" t="s">
        <v>25</v>
      </c>
      <c r="H121" s="10">
        <f>+J68</f>
        <v>1000.33</v>
      </c>
      <c r="I121" s="10" t="s">
        <v>10</v>
      </c>
    </row>
    <row r="123" spans="3:9" x14ac:dyDescent="0.15">
      <c r="D123" s="10" t="s">
        <v>40</v>
      </c>
    </row>
    <row r="124" spans="3:9" x14ac:dyDescent="0.15">
      <c r="D124" s="10" t="s">
        <v>9</v>
      </c>
      <c r="E124" s="30" t="s">
        <v>41</v>
      </c>
      <c r="F124" s="10" t="s">
        <v>438</v>
      </c>
      <c r="G124" s="30" t="s">
        <v>25</v>
      </c>
      <c r="H124" s="10">
        <f>+J61*E61+J62*E62+J63*E63+J64*E64+J65*E65+J66*E66</f>
        <v>41.139879300000004</v>
      </c>
      <c r="I124" s="10" t="s">
        <v>34</v>
      </c>
    </row>
    <row r="126" spans="3:9" x14ac:dyDescent="0.15">
      <c r="D126" s="10" t="s">
        <v>533</v>
      </c>
    </row>
    <row r="127" spans="3:9" x14ac:dyDescent="0.15">
      <c r="D127" s="10" t="s">
        <v>38</v>
      </c>
      <c r="E127" s="30" t="s">
        <v>43</v>
      </c>
      <c r="F127" s="10" t="s">
        <v>440</v>
      </c>
      <c r="G127" s="30" t="s">
        <v>439</v>
      </c>
      <c r="H127" s="10">
        <f>+L68</f>
        <v>2841.18</v>
      </c>
      <c r="I127" s="10" t="s">
        <v>44</v>
      </c>
    </row>
    <row r="128" spans="3:9" x14ac:dyDescent="0.15">
      <c r="E128" s="30"/>
    </row>
    <row r="129" spans="3:11" x14ac:dyDescent="0.15">
      <c r="C129" s="10" t="s">
        <v>368</v>
      </c>
    </row>
    <row r="130" spans="3:11" ht="20.25" x14ac:dyDescent="0.15">
      <c r="D130" s="10" t="s">
        <v>369</v>
      </c>
      <c r="E130" s="10" t="s">
        <v>442</v>
      </c>
      <c r="F130" s="10">
        <f>+G72</f>
        <v>1.53</v>
      </c>
      <c r="G130" s="10" t="s">
        <v>475</v>
      </c>
    </row>
    <row r="131" spans="3:11" x14ac:dyDescent="0.15">
      <c r="E131" s="10" t="s">
        <v>508</v>
      </c>
      <c r="F131" s="52">
        <v>1</v>
      </c>
    </row>
    <row r="132" spans="3:11" x14ac:dyDescent="0.15">
      <c r="E132" s="10" t="s">
        <v>509</v>
      </c>
      <c r="F132" s="10">
        <v>0</v>
      </c>
      <c r="G132" s="10" t="s">
        <v>372</v>
      </c>
    </row>
    <row r="133" spans="3:11" x14ac:dyDescent="0.15">
      <c r="E133" s="10" t="s">
        <v>510</v>
      </c>
      <c r="F133" s="10">
        <v>9.1999999999999998E-3</v>
      </c>
      <c r="G133" s="10" t="s">
        <v>371</v>
      </c>
    </row>
    <row r="134" spans="3:11" x14ac:dyDescent="0.15">
      <c r="E134" s="10" t="s">
        <v>511</v>
      </c>
      <c r="F134" s="10">
        <v>1.23</v>
      </c>
      <c r="G134" s="10" t="s">
        <v>370</v>
      </c>
    </row>
    <row r="135" spans="3:11" x14ac:dyDescent="0.15">
      <c r="E135" s="10" t="s">
        <v>512</v>
      </c>
      <c r="F135" s="10">
        <f>+E54</f>
        <v>0</v>
      </c>
      <c r="G135" s="10" t="s">
        <v>371</v>
      </c>
    </row>
    <row r="136" spans="3:11" x14ac:dyDescent="0.15">
      <c r="E136" s="10" t="s">
        <v>443</v>
      </c>
      <c r="F136" s="10">
        <f>+F135*H136</f>
        <v>0</v>
      </c>
      <c r="G136" s="10" t="s">
        <v>513</v>
      </c>
      <c r="H136" s="53">
        <v>0.05</v>
      </c>
    </row>
    <row r="138" spans="3:11" x14ac:dyDescent="0.15">
      <c r="E138" s="30" t="s">
        <v>515</v>
      </c>
      <c r="F138" s="10" t="s">
        <v>514</v>
      </c>
    </row>
    <row r="139" spans="3:11" x14ac:dyDescent="0.15">
      <c r="E139" s="30" t="s">
        <v>373</v>
      </c>
      <c r="F139" s="10" t="s">
        <v>374</v>
      </c>
      <c r="G139" s="10">
        <f>+F130</f>
        <v>1.53</v>
      </c>
      <c r="H139" s="10" t="s">
        <v>378</v>
      </c>
      <c r="J139" s="10">
        <f>+F132</f>
        <v>0</v>
      </c>
      <c r="K139" s="10" t="s">
        <v>375</v>
      </c>
    </row>
    <row r="140" spans="3:11" x14ac:dyDescent="0.15">
      <c r="E140" s="30" t="s">
        <v>376</v>
      </c>
      <c r="F140" s="10">
        <f>ROUND(1*F130*1000*F133/COS(RADIANS(F132)),2)</f>
        <v>14.08</v>
      </c>
      <c r="G140" s="10" t="s">
        <v>370</v>
      </c>
    </row>
    <row r="142" spans="3:11" x14ac:dyDescent="0.15">
      <c r="E142" s="30" t="s">
        <v>379</v>
      </c>
      <c r="F142" s="10" t="s">
        <v>516</v>
      </c>
    </row>
    <row r="143" spans="3:11" x14ac:dyDescent="0.15">
      <c r="E143" s="30" t="s">
        <v>373</v>
      </c>
      <c r="F143" s="10">
        <f>+F140</f>
        <v>14.08</v>
      </c>
      <c r="G143" s="10" t="s">
        <v>380</v>
      </c>
      <c r="H143" s="10">
        <f>+E54</f>
        <v>0</v>
      </c>
      <c r="I143" s="10" t="s">
        <v>381</v>
      </c>
    </row>
    <row r="144" spans="3:11" x14ac:dyDescent="0.15">
      <c r="E144" s="30" t="s">
        <v>25</v>
      </c>
      <c r="F144" s="10">
        <f>+ROUND(F143*H143/2/2^0.5,2)</f>
        <v>0</v>
      </c>
      <c r="G144" s="10" t="s">
        <v>377</v>
      </c>
    </row>
    <row r="145" spans="3:12" x14ac:dyDescent="0.15">
      <c r="E145" s="30" t="s">
        <v>383</v>
      </c>
      <c r="F145" s="10">
        <f>+F144</f>
        <v>0</v>
      </c>
      <c r="G145" s="10" t="s">
        <v>377</v>
      </c>
    </row>
    <row r="147" spans="3:12" x14ac:dyDescent="0.15">
      <c r="D147" s="10" t="s">
        <v>384</v>
      </c>
      <c r="E147" s="202" t="s">
        <v>517</v>
      </c>
      <c r="F147" s="202"/>
    </row>
    <row r="148" spans="3:12" x14ac:dyDescent="0.15">
      <c r="E148" s="30" t="s">
        <v>387</v>
      </c>
      <c r="F148" s="10" t="s">
        <v>518</v>
      </c>
    </row>
    <row r="149" spans="3:12" x14ac:dyDescent="0.15">
      <c r="E149" s="30" t="s">
        <v>385</v>
      </c>
      <c r="F149" s="10" t="s">
        <v>519</v>
      </c>
    </row>
    <row r="150" spans="3:12" x14ac:dyDescent="0.15">
      <c r="E150" s="30" t="s">
        <v>386</v>
      </c>
      <c r="F150" s="10" t="s">
        <v>388</v>
      </c>
      <c r="G150" s="10">
        <f>+F140</f>
        <v>14.08</v>
      </c>
      <c r="H150" s="10" t="s">
        <v>520</v>
      </c>
      <c r="I150" s="10">
        <f>+E54</f>
        <v>0</v>
      </c>
      <c r="J150" s="10" t="s">
        <v>394</v>
      </c>
      <c r="K150" s="10">
        <f>+F136</f>
        <v>0</v>
      </c>
      <c r="L150" s="10" t="s">
        <v>395</v>
      </c>
    </row>
    <row r="151" spans="3:12" x14ac:dyDescent="0.15">
      <c r="E151" s="30" t="s">
        <v>373</v>
      </c>
      <c r="F151" s="19">
        <f>ROUND((F134^2+(F140*1)^2)^0.5*I150/(8*H136),2)</f>
        <v>0</v>
      </c>
      <c r="G151" s="10" t="s">
        <v>377</v>
      </c>
    </row>
    <row r="152" spans="3:12" x14ac:dyDescent="0.15">
      <c r="E152" s="30" t="s">
        <v>389</v>
      </c>
      <c r="F152" s="19" t="s">
        <v>390</v>
      </c>
    </row>
    <row r="153" spans="3:12" x14ac:dyDescent="0.15">
      <c r="E153" s="30" t="s">
        <v>391</v>
      </c>
      <c r="F153" s="19">
        <f>ROUND(F151*COS(RADIANS(45)),2)</f>
        <v>0</v>
      </c>
      <c r="G153" s="10" t="s">
        <v>377</v>
      </c>
    </row>
    <row r="154" spans="3:12" x14ac:dyDescent="0.15">
      <c r="E154" s="30" t="s">
        <v>392</v>
      </c>
      <c r="F154" s="54" t="s">
        <v>393</v>
      </c>
    </row>
    <row r="155" spans="3:12" x14ac:dyDescent="0.15">
      <c r="E155" s="30" t="s">
        <v>382</v>
      </c>
      <c r="F155" s="54">
        <f>ROUND(-F151*SIN(RADIANS(45)),2)</f>
        <v>0</v>
      </c>
      <c r="G155" s="10" t="s">
        <v>377</v>
      </c>
    </row>
    <row r="156" spans="3:12" x14ac:dyDescent="0.15">
      <c r="E156" s="30"/>
      <c r="F156" s="55"/>
    </row>
    <row r="157" spans="3:12" x14ac:dyDescent="0.15">
      <c r="C157" s="10" t="s">
        <v>452</v>
      </c>
    </row>
    <row r="158" spans="3:12" x14ac:dyDescent="0.15">
      <c r="C158" s="10" t="s">
        <v>45</v>
      </c>
      <c r="D158" s="10" t="s">
        <v>46</v>
      </c>
      <c r="E158" s="30" t="s">
        <v>43</v>
      </c>
      <c r="F158" s="10">
        <f>+H127</f>
        <v>2841.18</v>
      </c>
      <c r="G158" s="10" t="s">
        <v>44</v>
      </c>
    </row>
    <row r="159" spans="3:12" x14ac:dyDescent="0.15">
      <c r="D159" s="10" t="s">
        <v>33</v>
      </c>
      <c r="E159" s="30" t="s">
        <v>521</v>
      </c>
      <c r="F159" s="10">
        <f>+H117</f>
        <v>8.56</v>
      </c>
      <c r="G159" s="10" t="s">
        <v>44</v>
      </c>
    </row>
    <row r="160" spans="3:12" x14ac:dyDescent="0.15">
      <c r="D160" s="10" t="s">
        <v>47</v>
      </c>
      <c r="E160" s="30" t="s">
        <v>522</v>
      </c>
      <c r="F160" s="10">
        <f>+H124</f>
        <v>41.139879300000004</v>
      </c>
      <c r="G160" s="10" t="s">
        <v>44</v>
      </c>
    </row>
    <row r="162" spans="3:10" x14ac:dyDescent="0.15">
      <c r="D162" s="10" t="s">
        <v>48</v>
      </c>
      <c r="E162" s="30" t="s">
        <v>49</v>
      </c>
      <c r="F162" s="10" t="s">
        <v>523</v>
      </c>
    </row>
    <row r="163" spans="3:10" x14ac:dyDescent="0.15">
      <c r="E163" s="30" t="s">
        <v>25</v>
      </c>
      <c r="F163" s="10" t="s">
        <v>50</v>
      </c>
      <c r="G163" s="10">
        <f>+F158</f>
        <v>2841.18</v>
      </c>
      <c r="H163" s="10" t="s">
        <v>51</v>
      </c>
      <c r="I163" s="10">
        <f>+F159</f>
        <v>8.56</v>
      </c>
      <c r="J163" s="10" t="s">
        <v>52</v>
      </c>
    </row>
    <row r="164" spans="3:10" x14ac:dyDescent="0.15">
      <c r="E164" s="30" t="s">
        <v>25</v>
      </c>
      <c r="F164" s="10">
        <f>ROUND((F158^2+F159^2)^0.5,0)</f>
        <v>2841</v>
      </c>
      <c r="G164" s="10" t="s">
        <v>34</v>
      </c>
    </row>
    <row r="166" spans="3:10" x14ac:dyDescent="0.15">
      <c r="C166" s="10" t="s">
        <v>53</v>
      </c>
      <c r="D166" s="10" t="s">
        <v>13</v>
      </c>
      <c r="E166" s="30"/>
      <c r="F166" s="10">
        <f>+G22</f>
        <v>114.3</v>
      </c>
      <c r="G166" s="10" t="s">
        <v>54</v>
      </c>
      <c r="H166" s="10">
        <f>+I22</f>
        <v>2.2999999999999998</v>
      </c>
      <c r="I166" s="10" t="s">
        <v>14</v>
      </c>
    </row>
    <row r="167" spans="3:10" x14ac:dyDescent="0.15">
      <c r="D167" s="10" t="s">
        <v>16</v>
      </c>
      <c r="E167" s="30" t="s">
        <v>524</v>
      </c>
      <c r="F167" s="10">
        <f>+C26</f>
        <v>8.09</v>
      </c>
      <c r="G167" s="10" t="s">
        <v>20</v>
      </c>
    </row>
    <row r="168" spans="3:10" x14ac:dyDescent="0.15">
      <c r="D168" s="10" t="s">
        <v>17</v>
      </c>
      <c r="E168" s="30" t="s">
        <v>525</v>
      </c>
      <c r="F168" s="10">
        <f>+D26</f>
        <v>22.21</v>
      </c>
      <c r="G168" s="10" t="s">
        <v>21</v>
      </c>
    </row>
    <row r="169" spans="3:10" x14ac:dyDescent="0.15">
      <c r="D169" s="10" t="s">
        <v>18</v>
      </c>
      <c r="E169" s="30" t="s">
        <v>526</v>
      </c>
      <c r="F169" s="10">
        <f>+E26</f>
        <v>127</v>
      </c>
      <c r="G169" s="10" t="s">
        <v>55</v>
      </c>
    </row>
    <row r="170" spans="3:10" x14ac:dyDescent="0.15">
      <c r="D170" s="10" t="s">
        <v>56</v>
      </c>
      <c r="E170" s="30" t="s">
        <v>57</v>
      </c>
      <c r="F170" s="10">
        <f>+F168*F166/10</f>
        <v>253.8603</v>
      </c>
      <c r="G170" s="10" t="s">
        <v>58</v>
      </c>
    </row>
    <row r="171" spans="3:10" x14ac:dyDescent="0.15">
      <c r="D171" s="10" t="s">
        <v>19</v>
      </c>
      <c r="E171" s="30" t="s">
        <v>59</v>
      </c>
      <c r="F171" s="10">
        <f>+F26</f>
        <v>4</v>
      </c>
      <c r="G171" s="10" t="s">
        <v>55</v>
      </c>
    </row>
    <row r="173" spans="3:10" x14ac:dyDescent="0.15">
      <c r="C173" s="10" t="s">
        <v>60</v>
      </c>
      <c r="D173" s="10" t="s">
        <v>61</v>
      </c>
      <c r="E173" s="30" t="s">
        <v>62</v>
      </c>
      <c r="F173" s="10" t="s">
        <v>63</v>
      </c>
      <c r="H173" s="10" t="s">
        <v>64</v>
      </c>
      <c r="I173" s="10" t="s">
        <v>65</v>
      </c>
    </row>
    <row r="174" spans="3:10" x14ac:dyDescent="0.15">
      <c r="E174" s="30" t="s">
        <v>25</v>
      </c>
      <c r="F174" s="10">
        <f>+E22*2</f>
        <v>10</v>
      </c>
      <c r="G174" s="10" t="s">
        <v>11</v>
      </c>
    </row>
    <row r="175" spans="3:10" x14ac:dyDescent="0.15">
      <c r="D175" s="10" t="s">
        <v>66</v>
      </c>
      <c r="E175" s="30" t="s">
        <v>67</v>
      </c>
      <c r="F175" s="10" t="s">
        <v>68</v>
      </c>
    </row>
    <row r="176" spans="3:10" x14ac:dyDescent="0.15">
      <c r="E176" s="30" t="s">
        <v>25</v>
      </c>
      <c r="F176" s="10">
        <f>+F174</f>
        <v>10</v>
      </c>
      <c r="G176" s="10" t="s">
        <v>70</v>
      </c>
      <c r="H176" s="10">
        <f>+F171</f>
        <v>4</v>
      </c>
      <c r="I176" s="10" t="s">
        <v>69</v>
      </c>
    </row>
    <row r="177" spans="3:13" x14ac:dyDescent="0.15">
      <c r="E177" s="30" t="s">
        <v>25</v>
      </c>
      <c r="F177" s="10">
        <f>+ROUND(F176/H176*100,0)</f>
        <v>250</v>
      </c>
    </row>
    <row r="179" spans="3:13" x14ac:dyDescent="0.15">
      <c r="C179" s="10" t="s">
        <v>72</v>
      </c>
      <c r="D179" s="10" t="s">
        <v>73</v>
      </c>
      <c r="E179" s="30" t="s">
        <v>74</v>
      </c>
      <c r="F179" s="10" t="s">
        <v>527</v>
      </c>
    </row>
    <row r="180" spans="3:13" x14ac:dyDescent="0.15">
      <c r="E180" s="30" t="s">
        <v>25</v>
      </c>
      <c r="F180" s="10">
        <f>+G114</f>
        <v>393</v>
      </c>
      <c r="G180" s="10" t="s">
        <v>75</v>
      </c>
      <c r="H180" s="10">
        <f>+F167</f>
        <v>8.09</v>
      </c>
      <c r="I180" s="10" t="s">
        <v>76</v>
      </c>
    </row>
    <row r="181" spans="3:13" x14ac:dyDescent="0.15">
      <c r="E181" s="30" t="s">
        <v>25</v>
      </c>
      <c r="F181" s="10">
        <f>+ROUND(F180/+H180/100,2)</f>
        <v>0.49</v>
      </c>
      <c r="G181" s="10" t="s">
        <v>71</v>
      </c>
    </row>
    <row r="183" spans="3:13" x14ac:dyDescent="0.15">
      <c r="E183" s="30" t="s">
        <v>82</v>
      </c>
      <c r="F183" s="10" t="s">
        <v>80</v>
      </c>
      <c r="G183" s="10" t="s">
        <v>445</v>
      </c>
      <c r="H183" s="10" t="s">
        <v>81</v>
      </c>
    </row>
    <row r="185" spans="3:13" x14ac:dyDescent="0.15">
      <c r="E185" s="56" t="s">
        <v>83</v>
      </c>
      <c r="F185" s="57">
        <f>+ROUND(F181*1.5,2)</f>
        <v>0.74</v>
      </c>
      <c r="G185" s="58" t="str">
        <f>IF(F185&lt;H185,"&lt;","&gt;")</f>
        <v>&lt;</v>
      </c>
      <c r="H185" s="57">
        <f>+D30</f>
        <v>156</v>
      </c>
      <c r="I185" s="57"/>
      <c r="J185" s="59" t="str">
        <f>IF(F185&lt;H185,"Ok","ＮＧ")</f>
        <v>Ok</v>
      </c>
    </row>
    <row r="187" spans="3:13" x14ac:dyDescent="0.15">
      <c r="D187" s="10" t="s">
        <v>77</v>
      </c>
    </row>
    <row r="188" spans="3:13" x14ac:dyDescent="0.15">
      <c r="E188" s="85" t="s">
        <v>397</v>
      </c>
      <c r="F188" s="10" t="s">
        <v>528</v>
      </c>
    </row>
    <row r="189" spans="3:13" x14ac:dyDescent="0.15">
      <c r="E189" s="85" t="s">
        <v>396</v>
      </c>
      <c r="F189" s="10">
        <f>+F158</f>
        <v>2841.18</v>
      </c>
      <c r="G189" s="10" t="s">
        <v>398</v>
      </c>
      <c r="H189" s="10">
        <f>+F145</f>
        <v>0</v>
      </c>
      <c r="I189" s="10" t="s">
        <v>399</v>
      </c>
      <c r="J189" s="10">
        <f>+F155</f>
        <v>0</v>
      </c>
      <c r="K189" s="10" t="s">
        <v>403</v>
      </c>
      <c r="L189" s="10">
        <f>+D54</f>
        <v>4.8</v>
      </c>
      <c r="M189" s="10" t="s">
        <v>400</v>
      </c>
    </row>
    <row r="190" spans="3:13" x14ac:dyDescent="0.15">
      <c r="E190" s="85" t="s">
        <v>396</v>
      </c>
      <c r="F190" s="10">
        <f>+ROUND(F189/2^0.5+(H189+J189)*L189,2)</f>
        <v>2009.02</v>
      </c>
      <c r="G190" s="10" t="s">
        <v>401</v>
      </c>
    </row>
    <row r="191" spans="3:13" x14ac:dyDescent="0.15">
      <c r="E191" s="85" t="s">
        <v>402</v>
      </c>
      <c r="F191" s="10" t="s">
        <v>529</v>
      </c>
    </row>
    <row r="192" spans="3:13" x14ac:dyDescent="0.15">
      <c r="E192" s="85" t="s">
        <v>396</v>
      </c>
      <c r="F192" s="10">
        <f>+F158</f>
        <v>2841.18</v>
      </c>
      <c r="G192" s="10" t="s">
        <v>398</v>
      </c>
      <c r="H192" s="10">
        <f>+F144</f>
        <v>0</v>
      </c>
      <c r="I192" s="10" t="s">
        <v>399</v>
      </c>
      <c r="J192" s="10">
        <f>+F153</f>
        <v>0</v>
      </c>
      <c r="K192" s="10" t="s">
        <v>403</v>
      </c>
      <c r="L192" s="10">
        <f>+D54</f>
        <v>4.8</v>
      </c>
      <c r="M192" s="10" t="s">
        <v>400</v>
      </c>
    </row>
    <row r="193" spans="3:12" x14ac:dyDescent="0.15">
      <c r="E193" s="85" t="s">
        <v>396</v>
      </c>
      <c r="F193" s="10">
        <f>+ROUND(F192/2^0.5+(H192+J192)*L192,2)</f>
        <v>2009.02</v>
      </c>
      <c r="G193" s="10" t="s">
        <v>401</v>
      </c>
    </row>
    <row r="194" spans="3:12" x14ac:dyDescent="0.15">
      <c r="D194" s="10" t="s">
        <v>457</v>
      </c>
      <c r="E194" s="85" t="s">
        <v>404</v>
      </c>
      <c r="F194" s="10" t="s">
        <v>405</v>
      </c>
    </row>
    <row r="195" spans="3:12" x14ac:dyDescent="0.15">
      <c r="E195" s="85" t="s">
        <v>406</v>
      </c>
      <c r="F195" s="10">
        <f>+ROUND((F190^2+F193^2)^0.5,2)</f>
        <v>2841.18</v>
      </c>
      <c r="G195" s="10" t="s">
        <v>401</v>
      </c>
    </row>
    <row r="196" spans="3:12" x14ac:dyDescent="0.15">
      <c r="D196" s="10" t="s">
        <v>407</v>
      </c>
    </row>
    <row r="197" spans="3:12" x14ac:dyDescent="0.15">
      <c r="E197" s="30" t="s">
        <v>78</v>
      </c>
      <c r="F197" s="10" t="s">
        <v>530</v>
      </c>
    </row>
    <row r="198" spans="3:12" x14ac:dyDescent="0.15">
      <c r="E198" s="30" t="s">
        <v>37</v>
      </c>
      <c r="F198" s="10">
        <f>F195</f>
        <v>2841.18</v>
      </c>
      <c r="G198" s="10" t="s">
        <v>79</v>
      </c>
      <c r="H198" s="10">
        <f>+F168</f>
        <v>22.21</v>
      </c>
      <c r="I198" s="10" t="s">
        <v>21</v>
      </c>
    </row>
    <row r="199" spans="3:12" x14ac:dyDescent="0.15">
      <c r="E199" s="30" t="s">
        <v>37</v>
      </c>
      <c r="F199" s="10">
        <f>+ROUND(F198*1000/+H198/1000,2)</f>
        <v>127.92</v>
      </c>
      <c r="G199" s="10" t="s">
        <v>71</v>
      </c>
    </row>
    <row r="200" spans="3:12" x14ac:dyDescent="0.15">
      <c r="E200" s="30"/>
    </row>
    <row r="201" spans="3:12" x14ac:dyDescent="0.15">
      <c r="E201" s="30" t="s">
        <v>308</v>
      </c>
      <c r="F201" s="10" t="s">
        <v>80</v>
      </c>
      <c r="G201" s="10" t="s">
        <v>444</v>
      </c>
      <c r="H201" s="10" t="s">
        <v>81</v>
      </c>
    </row>
    <row r="203" spans="3:12" x14ac:dyDescent="0.15">
      <c r="E203" s="56" t="s">
        <v>83</v>
      </c>
      <c r="F203" s="57">
        <f>+F199</f>
        <v>127.92</v>
      </c>
      <c r="G203" s="58" t="str">
        <f>IF(F203&lt;H203,"&lt;","&gt;")</f>
        <v>&lt;</v>
      </c>
      <c r="H203" s="57">
        <f>+C30</f>
        <v>235</v>
      </c>
      <c r="I203" s="57"/>
      <c r="J203" s="59" t="str">
        <f>IF(F203&lt;H203,"Ok","ＮＧ")</f>
        <v>Ok</v>
      </c>
    </row>
    <row r="205" spans="3:12" x14ac:dyDescent="0.15">
      <c r="C205" s="10" t="s">
        <v>84</v>
      </c>
      <c r="D205" s="10" t="s">
        <v>85</v>
      </c>
      <c r="E205" s="30" t="s">
        <v>86</v>
      </c>
      <c r="F205" s="10" t="s">
        <v>531</v>
      </c>
    </row>
    <row r="206" spans="3:12" x14ac:dyDescent="0.15">
      <c r="E206" s="30" t="s">
        <v>25</v>
      </c>
      <c r="F206" s="10">
        <f>+F160</f>
        <v>41.139879300000004</v>
      </c>
      <c r="G206" s="10" t="s">
        <v>87</v>
      </c>
      <c r="I206" s="10">
        <f>+G22</f>
        <v>114.3</v>
      </c>
      <c r="J206" s="10" t="s">
        <v>366</v>
      </c>
      <c r="K206" s="10">
        <f>+F170</f>
        <v>253.8603</v>
      </c>
      <c r="L206" s="10" t="s">
        <v>88</v>
      </c>
    </row>
    <row r="207" spans="3:12" x14ac:dyDescent="0.15">
      <c r="E207" s="30" t="s">
        <v>37</v>
      </c>
      <c r="F207" s="10">
        <f>+ROUND(F206*1000*I206/2/K206/10000,3)</f>
        <v>0.92600000000000005</v>
      </c>
      <c r="G207" s="10" t="s">
        <v>71</v>
      </c>
    </row>
    <row r="209" spans="4:11" x14ac:dyDescent="0.15">
      <c r="D209" s="10" t="s">
        <v>89</v>
      </c>
      <c r="E209" s="30" t="s">
        <v>90</v>
      </c>
      <c r="F209" s="10" t="s">
        <v>532</v>
      </c>
    </row>
    <row r="210" spans="4:11" x14ac:dyDescent="0.15">
      <c r="E210" s="30" t="s">
        <v>25</v>
      </c>
      <c r="F210" s="10" t="s">
        <v>91</v>
      </c>
      <c r="G210" s="10">
        <f>+F199</f>
        <v>127.92</v>
      </c>
      <c r="H210" s="10" t="s">
        <v>92</v>
      </c>
      <c r="I210" s="10">
        <f>+F207</f>
        <v>0.92600000000000005</v>
      </c>
      <c r="J210" s="10" t="s">
        <v>93</v>
      </c>
    </row>
    <row r="211" spans="4:11" x14ac:dyDescent="0.15">
      <c r="E211" s="30" t="s">
        <v>25</v>
      </c>
      <c r="F211" s="10">
        <f>ROUND(1/2*(G210^2+4*I210^2)^0.5,2)</f>
        <v>63.97</v>
      </c>
      <c r="G211" s="10" t="s">
        <v>22</v>
      </c>
    </row>
    <row r="213" spans="4:11" x14ac:dyDescent="0.15">
      <c r="E213" s="45" t="s">
        <v>446</v>
      </c>
    </row>
    <row r="215" spans="4:11" x14ac:dyDescent="0.15">
      <c r="E215" s="56" t="s">
        <v>460</v>
      </c>
      <c r="F215" s="57"/>
      <c r="G215" s="57">
        <f>+ROUND(F211/E30/1.5,2)</f>
        <v>0.47</v>
      </c>
      <c r="H215" s="58" t="str">
        <f>IF(G215&lt;I215,"&lt;","&gt;")</f>
        <v>&lt;</v>
      </c>
      <c r="I215" s="61">
        <f>+E30</f>
        <v>90.6</v>
      </c>
      <c r="J215" s="57"/>
      <c r="K215" s="59" t="str">
        <f>IF(G215&lt;I215,"Ok","ＮＧ")</f>
        <v>Ok</v>
      </c>
    </row>
    <row r="217" spans="4:11" ht="15" customHeight="1" x14ac:dyDescent="0.15">
      <c r="I217" s="36"/>
    </row>
    <row r="218" spans="4:11" ht="15" customHeight="1" x14ac:dyDescent="0.15">
      <c r="I218" s="36"/>
    </row>
    <row r="219" spans="4:11" ht="15" customHeight="1" x14ac:dyDescent="0.15">
      <c r="I219" s="36"/>
    </row>
    <row r="220" spans="4:11" ht="15" customHeight="1" x14ac:dyDescent="0.15">
      <c r="I220" s="36"/>
    </row>
    <row r="221" spans="4:11" ht="15" customHeight="1" x14ac:dyDescent="0.15">
      <c r="I221" s="36"/>
    </row>
    <row r="222" spans="4:11" ht="15" customHeight="1" x14ac:dyDescent="0.15">
      <c r="I222" s="36"/>
    </row>
    <row r="223" spans="4:11" ht="15" customHeight="1" x14ac:dyDescent="0.15">
      <c r="I223" s="36"/>
    </row>
    <row r="224" spans="4:11" ht="15" customHeight="1" x14ac:dyDescent="0.15">
      <c r="I224" s="36"/>
    </row>
    <row r="225" spans="9:9" ht="15" customHeight="1" x14ac:dyDescent="0.15">
      <c r="I225" s="36"/>
    </row>
    <row r="226" spans="9:9" ht="15" customHeight="1" x14ac:dyDescent="0.15">
      <c r="I226" s="36"/>
    </row>
    <row r="227" spans="9:9" ht="15" customHeight="1" x14ac:dyDescent="0.15">
      <c r="I227" s="36"/>
    </row>
    <row r="228" spans="9:9" ht="15" customHeight="1" x14ac:dyDescent="0.15">
      <c r="I228" s="36"/>
    </row>
    <row r="229" spans="9:9" ht="15" customHeight="1" x14ac:dyDescent="0.15">
      <c r="I229" s="36"/>
    </row>
    <row r="230" spans="9:9" ht="15" customHeight="1" x14ac:dyDescent="0.15">
      <c r="I230" s="36"/>
    </row>
    <row r="231" spans="9:9" ht="15" customHeight="1" x14ac:dyDescent="0.15">
      <c r="I231" s="36"/>
    </row>
    <row r="232" spans="9:9" ht="15" customHeight="1" x14ac:dyDescent="0.15">
      <c r="I232" s="36"/>
    </row>
    <row r="233" spans="9:9" ht="15" customHeight="1" x14ac:dyDescent="0.15">
      <c r="I233" s="36"/>
    </row>
    <row r="234" spans="9:9" ht="15" customHeight="1" x14ac:dyDescent="0.15">
      <c r="I234" s="36"/>
    </row>
    <row r="235" spans="9:9" ht="15" customHeight="1" x14ac:dyDescent="0.15">
      <c r="I235" s="36"/>
    </row>
    <row r="236" spans="9:9" ht="15" customHeight="1" x14ac:dyDescent="0.15">
      <c r="I236" s="36"/>
    </row>
    <row r="237" spans="9:9" ht="15" customHeight="1" x14ac:dyDescent="0.15">
      <c r="I237" s="36"/>
    </row>
    <row r="238" spans="9:9" ht="15" customHeight="1" x14ac:dyDescent="0.15">
      <c r="I238" s="36"/>
    </row>
    <row r="239" spans="9:9" ht="15" customHeight="1" x14ac:dyDescent="0.15">
      <c r="I239" s="36"/>
    </row>
    <row r="240" spans="9:9" ht="15" customHeight="1" x14ac:dyDescent="0.15">
      <c r="I240" s="36"/>
    </row>
    <row r="241" spans="9:9" ht="15" customHeight="1" x14ac:dyDescent="0.15">
      <c r="I241" s="36"/>
    </row>
    <row r="242" spans="9:9" ht="15" customHeight="1" x14ac:dyDescent="0.15">
      <c r="I242" s="36"/>
    </row>
    <row r="243" spans="9:9" ht="15" customHeight="1" x14ac:dyDescent="0.15">
      <c r="I243" s="36"/>
    </row>
    <row r="244" spans="9:9" ht="15" customHeight="1" x14ac:dyDescent="0.15">
      <c r="I244" s="36"/>
    </row>
    <row r="245" spans="9:9" ht="15" customHeight="1" x14ac:dyDescent="0.15">
      <c r="I245" s="36"/>
    </row>
    <row r="246" spans="9:9" ht="15" customHeight="1" x14ac:dyDescent="0.15">
      <c r="I246" s="36"/>
    </row>
    <row r="247" spans="9:9" ht="15" customHeight="1" x14ac:dyDescent="0.15">
      <c r="I247" s="36"/>
    </row>
    <row r="248" spans="9:9" ht="15" customHeight="1" x14ac:dyDescent="0.15">
      <c r="I248" s="36"/>
    </row>
    <row r="249" spans="9:9" ht="15" customHeight="1" x14ac:dyDescent="0.15">
      <c r="I249" s="36"/>
    </row>
    <row r="250" spans="9:9" ht="15" customHeight="1" x14ac:dyDescent="0.15">
      <c r="I250" s="36"/>
    </row>
    <row r="251" spans="9:9" ht="15" customHeight="1" x14ac:dyDescent="0.15">
      <c r="I251" s="36"/>
    </row>
    <row r="252" spans="9:9" ht="15" customHeight="1" x14ac:dyDescent="0.15">
      <c r="I252" s="36"/>
    </row>
    <row r="253" spans="9:9" ht="15" customHeight="1" x14ac:dyDescent="0.15">
      <c r="I253" s="36"/>
    </row>
    <row r="254" spans="9:9" ht="15" customHeight="1" x14ac:dyDescent="0.15">
      <c r="I254" s="36"/>
    </row>
    <row r="255" spans="9:9" ht="15" customHeight="1" x14ac:dyDescent="0.15">
      <c r="I255" s="36"/>
    </row>
    <row r="256" spans="9:9" ht="15" customHeight="1" x14ac:dyDescent="0.15">
      <c r="I256" s="36"/>
    </row>
    <row r="257" spans="2:14" ht="15" customHeight="1" x14ac:dyDescent="0.15">
      <c r="I257" s="36"/>
    </row>
    <row r="258" spans="2:14" ht="15" customHeight="1" x14ac:dyDescent="0.15">
      <c r="I258" s="36"/>
    </row>
    <row r="259" spans="2:14" ht="15" customHeight="1" x14ac:dyDescent="0.15">
      <c r="I259" s="36"/>
    </row>
    <row r="260" spans="2:14" ht="15" customHeight="1" x14ac:dyDescent="0.15">
      <c r="I260" s="36"/>
    </row>
    <row r="261" spans="2:14" ht="15" customHeight="1" x14ac:dyDescent="0.15">
      <c r="I261" s="36"/>
    </row>
    <row r="262" spans="2:14" ht="15" customHeight="1" x14ac:dyDescent="0.15">
      <c r="I262" s="36"/>
    </row>
    <row r="263" spans="2:14" ht="15" customHeight="1" x14ac:dyDescent="0.15">
      <c r="I263" s="36"/>
    </row>
    <row r="264" spans="2:14" x14ac:dyDescent="0.15">
      <c r="B264" s="10" t="s">
        <v>139</v>
      </c>
    </row>
    <row r="265" spans="2:14" ht="21.75" customHeight="1" x14ac:dyDescent="0.15">
      <c r="C265" s="200" t="s">
        <v>140</v>
      </c>
      <c r="D265" s="200"/>
      <c r="E265" s="200"/>
      <c r="F265" s="200"/>
      <c r="G265" s="200"/>
      <c r="H265" s="200"/>
      <c r="I265" s="200"/>
      <c r="J265" s="200"/>
      <c r="K265" s="200"/>
      <c r="L265" s="200"/>
      <c r="M265" s="200"/>
    </row>
    <row r="266" spans="2:14" ht="43.5" customHeight="1" x14ac:dyDescent="0.15">
      <c r="E266" s="203" t="s">
        <v>141</v>
      </c>
      <c r="F266" s="203"/>
      <c r="G266" s="203"/>
      <c r="H266" s="203"/>
      <c r="I266" s="203"/>
      <c r="J266" s="203"/>
      <c r="K266" s="203"/>
      <c r="L266" s="203"/>
      <c r="M266" s="203"/>
      <c r="N266" s="203"/>
    </row>
    <row r="267" spans="2:14" ht="33" customHeight="1" x14ac:dyDescent="0.15">
      <c r="E267" s="224" t="s">
        <v>142</v>
      </c>
      <c r="F267" s="224"/>
      <c r="G267" s="224"/>
      <c r="H267" s="224"/>
      <c r="I267" s="224"/>
      <c r="J267" s="224"/>
      <c r="K267" s="224"/>
      <c r="L267" s="224"/>
      <c r="M267" s="224"/>
      <c r="N267" s="224"/>
    </row>
    <row r="268" spans="2:14" ht="13.5" customHeight="1" x14ac:dyDescent="0.15">
      <c r="E268" s="62"/>
      <c r="F268" s="62"/>
      <c r="G268" s="62"/>
      <c r="H268" s="62"/>
      <c r="I268" s="62"/>
      <c r="J268" s="62"/>
      <c r="K268" s="62"/>
      <c r="L268" s="62"/>
      <c r="M268" s="62"/>
      <c r="N268" s="62"/>
    </row>
    <row r="269" spans="2:14" ht="13.5" customHeight="1" x14ac:dyDescent="0.15">
      <c r="E269" s="62"/>
      <c r="F269" s="63" t="s">
        <v>143</v>
      </c>
      <c r="G269" s="62"/>
      <c r="H269" s="62"/>
      <c r="I269" s="62"/>
      <c r="J269" s="62"/>
      <c r="K269" s="64">
        <v>1</v>
      </c>
      <c r="L269" s="62"/>
      <c r="M269" s="62"/>
      <c r="N269" s="62"/>
    </row>
    <row r="270" spans="2:14" ht="13.5" customHeight="1" x14ac:dyDescent="0.15">
      <c r="E270" s="62"/>
      <c r="F270" s="63" t="s">
        <v>144</v>
      </c>
      <c r="G270" s="62"/>
      <c r="H270" s="62"/>
      <c r="I270" s="62"/>
      <c r="J270" s="62"/>
      <c r="K270" s="65">
        <v>0.5</v>
      </c>
      <c r="L270" s="62" t="s">
        <v>145</v>
      </c>
      <c r="M270" s="62"/>
      <c r="N270" s="62"/>
    </row>
    <row r="271" spans="2:14" ht="13.5" customHeight="1" x14ac:dyDescent="0.15">
      <c r="E271" s="62"/>
      <c r="F271" s="63" t="s">
        <v>146</v>
      </c>
      <c r="G271" s="62"/>
      <c r="H271" s="62"/>
      <c r="I271" s="62"/>
      <c r="J271" s="62"/>
      <c r="K271" s="66">
        <v>9.1999999999999998E-3</v>
      </c>
      <c r="L271" s="62" t="s">
        <v>147</v>
      </c>
      <c r="M271" s="62"/>
      <c r="N271" s="62"/>
    </row>
    <row r="272" spans="2:14" ht="13.5" customHeight="1" x14ac:dyDescent="0.15">
      <c r="E272" s="62"/>
      <c r="F272" s="63" t="s">
        <v>148</v>
      </c>
      <c r="G272" s="62"/>
      <c r="H272" s="62"/>
      <c r="I272" s="62"/>
      <c r="J272" s="62"/>
      <c r="K272" s="67">
        <v>1.23</v>
      </c>
      <c r="L272" s="62" t="s">
        <v>149</v>
      </c>
      <c r="M272" s="62"/>
      <c r="N272" s="62"/>
    </row>
    <row r="273" spans="3:14" x14ac:dyDescent="0.15">
      <c r="F273" s="10" t="s">
        <v>458</v>
      </c>
    </row>
    <row r="274" spans="3:14" x14ac:dyDescent="0.15">
      <c r="G274" s="10" t="str">
        <f>"P=1.0×"&amp;G72&amp;"×1000×0.0092＝"</f>
        <v>P=1.0×1.53×1000×0.0092＝</v>
      </c>
      <c r="K274" s="20">
        <f>K269*G72*1000*K271</f>
        <v>14.076000000000001</v>
      </c>
      <c r="L274" s="10" t="s">
        <v>149</v>
      </c>
    </row>
    <row r="275" spans="3:14" ht="20.25" x14ac:dyDescent="0.15">
      <c r="F275" s="10" t="s">
        <v>476</v>
      </c>
    </row>
    <row r="276" spans="3:14" x14ac:dyDescent="0.15">
      <c r="G276" s="10" t="str">
        <f>"W=√（1.23^2+20.3^2）"</f>
        <v>W=√（1.23^2+20.3^2）</v>
      </c>
      <c r="K276" s="68">
        <f>ROUND((K272^2+K274^2)^0.5,3)</f>
        <v>14.13</v>
      </c>
      <c r="L276" s="10" t="s">
        <v>149</v>
      </c>
    </row>
    <row r="277" spans="3:14" ht="20.25" x14ac:dyDescent="0.15">
      <c r="F277" s="10" t="s">
        <v>477</v>
      </c>
    </row>
    <row r="278" spans="3:14" ht="13.5" customHeight="1" x14ac:dyDescent="0.15">
      <c r="G278" s="10" t="str">
        <f>"T="&amp;K276&amp;"×"&amp;E54&amp;"/(8*0.05)"</f>
        <v>T=14.13×0/(8*0.05)</v>
      </c>
      <c r="K278" s="68">
        <f>K276*E54/(8*0.05)</f>
        <v>0</v>
      </c>
      <c r="L278" s="10" t="s">
        <v>150</v>
      </c>
    </row>
    <row r="279" spans="3:14" ht="13.5" customHeight="1" x14ac:dyDescent="0.15">
      <c r="K279" s="69"/>
    </row>
    <row r="280" spans="3:14" x14ac:dyDescent="0.15">
      <c r="F280" s="10" t="s">
        <v>151</v>
      </c>
    </row>
    <row r="281" spans="3:14" x14ac:dyDescent="0.15">
      <c r="F281" s="70" t="s">
        <v>152</v>
      </c>
      <c r="G281" s="36" t="s">
        <v>153</v>
      </c>
      <c r="K281" s="71">
        <f>K278*D54</f>
        <v>0</v>
      </c>
      <c r="L281" s="9" t="s">
        <v>154</v>
      </c>
    </row>
    <row r="282" spans="3:14" x14ac:dyDescent="0.15">
      <c r="F282" s="30"/>
      <c r="G282" s="72"/>
      <c r="H282" s="9"/>
    </row>
    <row r="283" spans="3:14" x14ac:dyDescent="0.15">
      <c r="F283" s="30"/>
      <c r="G283" s="72"/>
      <c r="H283" s="9"/>
    </row>
    <row r="284" spans="3:14" x14ac:dyDescent="0.15">
      <c r="F284" s="30"/>
      <c r="G284" s="72"/>
      <c r="H284" s="9"/>
    </row>
    <row r="285" spans="3:14" ht="21.75" customHeight="1" x14ac:dyDescent="0.15">
      <c r="C285" s="200" t="s">
        <v>155</v>
      </c>
      <c r="D285" s="200"/>
      <c r="E285" s="200"/>
      <c r="F285" s="200"/>
      <c r="G285" s="200"/>
      <c r="H285" s="200"/>
      <c r="I285" s="200"/>
      <c r="J285" s="200"/>
      <c r="K285" s="200"/>
      <c r="L285" s="200"/>
      <c r="M285" s="200"/>
    </row>
    <row r="286" spans="3:14" x14ac:dyDescent="0.15">
      <c r="E286" s="45"/>
      <c r="F286" s="45"/>
      <c r="G286" s="45"/>
      <c r="H286" s="45"/>
      <c r="I286" s="45"/>
      <c r="J286" s="45"/>
      <c r="K286" s="45"/>
      <c r="L286" s="45"/>
      <c r="M286" s="45"/>
    </row>
    <row r="287" spans="3:14" ht="13.5" customHeight="1" x14ac:dyDescent="0.15">
      <c r="E287" s="203" t="s">
        <v>156</v>
      </c>
      <c r="F287" s="203"/>
      <c r="G287" s="203"/>
      <c r="H287" s="203"/>
      <c r="I287" s="203"/>
      <c r="J287" s="203"/>
      <c r="K287" s="203"/>
      <c r="L287" s="203"/>
      <c r="M287" s="203"/>
      <c r="N287" s="203"/>
    </row>
    <row r="288" spans="3:14" x14ac:dyDescent="0.15">
      <c r="E288" s="203"/>
      <c r="F288" s="203"/>
      <c r="G288" s="203"/>
      <c r="H288" s="203"/>
      <c r="I288" s="203"/>
      <c r="J288" s="203"/>
      <c r="K288" s="203"/>
      <c r="L288" s="203"/>
      <c r="M288" s="203"/>
      <c r="N288" s="203"/>
    </row>
    <row r="289" spans="5:14" x14ac:dyDescent="0.15">
      <c r="E289" s="203"/>
      <c r="F289" s="203"/>
      <c r="G289" s="203"/>
      <c r="H289" s="203"/>
      <c r="I289" s="203"/>
      <c r="J289" s="203"/>
      <c r="K289" s="203"/>
      <c r="L289" s="203"/>
      <c r="M289" s="203"/>
      <c r="N289" s="203"/>
    </row>
    <row r="290" spans="5:14" x14ac:dyDescent="0.15">
      <c r="E290" s="203"/>
      <c r="F290" s="203"/>
      <c r="G290" s="203"/>
      <c r="H290" s="203"/>
      <c r="I290" s="203"/>
      <c r="J290" s="203"/>
      <c r="K290" s="203"/>
      <c r="L290" s="203"/>
      <c r="M290" s="203"/>
      <c r="N290" s="203"/>
    </row>
    <row r="291" spans="5:14" ht="20.25" x14ac:dyDescent="0.15">
      <c r="E291" s="10" t="s">
        <v>157</v>
      </c>
      <c r="G291" s="73">
        <f>+D26</f>
        <v>22.21</v>
      </c>
      <c r="H291" s="10" t="s">
        <v>478</v>
      </c>
      <c r="I291" s="74" t="s">
        <v>158</v>
      </c>
      <c r="J291" s="10">
        <f>+D68</f>
        <v>40.119999999999997</v>
      </c>
      <c r="K291" s="10" t="s">
        <v>159</v>
      </c>
      <c r="L291" s="10" t="s">
        <v>160</v>
      </c>
      <c r="M291" s="10">
        <f>(PI()/4*(G22^2-(G22-2*I22)^2))</f>
        <v>809.27426756473039</v>
      </c>
      <c r="N291" s="10" t="s">
        <v>479</v>
      </c>
    </row>
    <row r="292" spans="5:14" x14ac:dyDescent="0.15">
      <c r="E292" s="10" t="s">
        <v>161</v>
      </c>
      <c r="G292" s="73">
        <f>+L68+K281</f>
        <v>2841.18</v>
      </c>
      <c r="H292" s="10" t="s">
        <v>154</v>
      </c>
      <c r="I292" s="74"/>
    </row>
    <row r="293" spans="5:14" x14ac:dyDescent="0.15">
      <c r="G293" s="75"/>
      <c r="I293" s="74"/>
    </row>
    <row r="294" spans="5:14" ht="13.5" customHeight="1" x14ac:dyDescent="0.15">
      <c r="E294" s="204" t="s">
        <v>162</v>
      </c>
      <c r="F294" s="76" t="s">
        <v>163</v>
      </c>
      <c r="G294" s="77"/>
      <c r="H294" s="78">
        <f>+G292*1000</f>
        <v>2841180</v>
      </c>
      <c r="I294" s="79">
        <f>+D68*9.8</f>
        <v>393.17599999999999</v>
      </c>
      <c r="J294" s="222">
        <f>H294/H295+I294/I295</f>
        <v>128.40929566508436</v>
      </c>
      <c r="K294" s="204" t="str">
        <f>IF(C30&gt;J294,"&lt;","&gt;")</f>
        <v>&lt;</v>
      </c>
      <c r="L294" s="204" t="s">
        <v>480</v>
      </c>
      <c r="M294" s="204"/>
      <c r="N294" s="204"/>
    </row>
    <row r="295" spans="5:14" ht="13.5" customHeight="1" x14ac:dyDescent="0.15">
      <c r="E295" s="204"/>
      <c r="F295" s="76" t="s">
        <v>164</v>
      </c>
      <c r="G295" s="77"/>
      <c r="H295" s="80">
        <f>G291*1000</f>
        <v>22210</v>
      </c>
      <c r="I295" s="79">
        <f>+M291</f>
        <v>809.27426756473039</v>
      </c>
      <c r="J295" s="222"/>
      <c r="K295" s="204"/>
      <c r="L295" s="204"/>
      <c r="M295" s="204"/>
      <c r="N295" s="204"/>
    </row>
    <row r="296" spans="5:14" x14ac:dyDescent="0.15">
      <c r="E296" s="81"/>
      <c r="F296" s="81"/>
      <c r="G296" s="81"/>
      <c r="H296" s="81"/>
      <c r="I296" s="81"/>
      <c r="J296" s="81"/>
      <c r="K296" s="81"/>
      <c r="L296" s="81"/>
      <c r="M296" s="81"/>
      <c r="N296" s="81"/>
    </row>
    <row r="297" spans="5:14" x14ac:dyDescent="0.15">
      <c r="E297" s="81"/>
      <c r="F297" s="82" t="str">
        <f>IF(K294="&lt;","となり、許容を下回るので安全である。","となり、許容を上回るので取り付けは不可である。")</f>
        <v>となり、許容を下回るので安全である。</v>
      </c>
      <c r="G297" s="82"/>
      <c r="H297" s="82"/>
      <c r="I297" s="82"/>
      <c r="J297" s="81"/>
      <c r="K297" s="81"/>
      <c r="L297" s="81"/>
      <c r="M297" s="81"/>
      <c r="N297" s="81"/>
    </row>
    <row r="298" spans="5:14" ht="9" customHeight="1" x14ac:dyDescent="0.15">
      <c r="E298" s="81"/>
      <c r="F298" s="81"/>
      <c r="G298" s="81"/>
      <c r="H298" s="81"/>
      <c r="I298" s="81"/>
      <c r="J298" s="81"/>
      <c r="K298" s="81"/>
      <c r="L298" s="81"/>
      <c r="M298" s="81"/>
      <c r="N298" s="81"/>
    </row>
    <row r="299" spans="5:14" x14ac:dyDescent="0.15">
      <c r="M299" s="30"/>
    </row>
    <row r="300" spans="5:14" ht="13.5" customHeight="1" x14ac:dyDescent="0.15">
      <c r="E300" s="203" t="s">
        <v>481</v>
      </c>
      <c r="F300" s="203"/>
      <c r="G300" s="203"/>
      <c r="H300" s="203"/>
      <c r="I300" s="203"/>
      <c r="J300" s="203"/>
      <c r="K300" s="203"/>
      <c r="L300" s="203"/>
      <c r="M300" s="203"/>
      <c r="N300" s="203"/>
    </row>
    <row r="301" spans="5:14" x14ac:dyDescent="0.15">
      <c r="E301" s="203"/>
      <c r="F301" s="203"/>
      <c r="G301" s="203"/>
      <c r="H301" s="203"/>
      <c r="I301" s="203"/>
      <c r="J301" s="203"/>
      <c r="K301" s="203"/>
      <c r="L301" s="203"/>
      <c r="M301" s="203"/>
      <c r="N301" s="203"/>
    </row>
    <row r="302" spans="5:14" x14ac:dyDescent="0.15">
      <c r="E302" s="203"/>
      <c r="F302" s="203"/>
      <c r="G302" s="203"/>
      <c r="H302" s="203"/>
      <c r="I302" s="203"/>
      <c r="J302" s="203"/>
      <c r="K302" s="203"/>
      <c r="L302" s="203"/>
      <c r="M302" s="203"/>
      <c r="N302" s="203"/>
    </row>
    <row r="303" spans="5:14" x14ac:dyDescent="0.15">
      <c r="E303" s="203"/>
      <c r="F303" s="203"/>
      <c r="G303" s="203"/>
      <c r="H303" s="203"/>
      <c r="I303" s="203"/>
      <c r="J303" s="203"/>
      <c r="K303" s="203"/>
      <c r="L303" s="203"/>
      <c r="M303" s="203"/>
      <c r="N303" s="203"/>
    </row>
    <row r="304" spans="5:14" ht="20.25" x14ac:dyDescent="0.15">
      <c r="E304" s="10" t="s">
        <v>157</v>
      </c>
      <c r="G304" s="83">
        <f>+D26</f>
        <v>22.21</v>
      </c>
      <c r="H304" s="10" t="s">
        <v>478</v>
      </c>
      <c r="I304" s="74"/>
    </row>
    <row r="305" spans="2:14" x14ac:dyDescent="0.15">
      <c r="E305" s="10" t="s">
        <v>165</v>
      </c>
      <c r="G305" s="73">
        <f>+L68+K281</f>
        <v>2841.18</v>
      </c>
      <c r="H305" s="10" t="s">
        <v>154</v>
      </c>
      <c r="I305" s="74"/>
    </row>
    <row r="306" spans="2:14" x14ac:dyDescent="0.15">
      <c r="G306" s="75"/>
      <c r="I306" s="74"/>
    </row>
    <row r="307" spans="2:14" ht="13.5" customHeight="1" x14ac:dyDescent="0.15">
      <c r="E307" s="204" t="s">
        <v>162</v>
      </c>
      <c r="F307" s="84" t="s">
        <v>166</v>
      </c>
      <c r="G307" s="205">
        <f>+G305</f>
        <v>2841.18</v>
      </c>
      <c r="H307" s="205"/>
      <c r="I307" s="206">
        <f>G307/G308</f>
        <v>127.92345790184601</v>
      </c>
      <c r="J307" s="204" t="str">
        <f>IF(C30&gt;I307,"&lt;","&gt;")</f>
        <v>&lt;</v>
      </c>
      <c r="K307" s="204" t="s">
        <v>480</v>
      </c>
      <c r="L307" s="204"/>
      <c r="M307" s="204"/>
      <c r="N307" s="204"/>
    </row>
    <row r="308" spans="2:14" ht="13.5" customHeight="1" x14ac:dyDescent="0.15">
      <c r="E308" s="204"/>
      <c r="F308" s="84" t="s">
        <v>167</v>
      </c>
      <c r="G308" s="204">
        <f>G304</f>
        <v>22.21</v>
      </c>
      <c r="H308" s="204"/>
      <c r="I308" s="206"/>
      <c r="J308" s="204"/>
      <c r="K308" s="204"/>
      <c r="L308" s="204"/>
      <c r="M308" s="204"/>
      <c r="N308" s="204"/>
    </row>
    <row r="309" spans="2:14" x14ac:dyDescent="0.15">
      <c r="E309" s="81"/>
      <c r="F309" s="81"/>
      <c r="G309" s="81"/>
      <c r="H309" s="81"/>
      <c r="I309" s="81"/>
      <c r="J309" s="81"/>
      <c r="K309" s="81"/>
      <c r="L309" s="81"/>
      <c r="M309" s="81"/>
      <c r="N309" s="81"/>
    </row>
    <row r="310" spans="2:14" x14ac:dyDescent="0.15">
      <c r="E310" s="81"/>
      <c r="F310" s="82" t="str">
        <f>IF(J307="&lt;","となり、許容を下回るので安全である。","となり、許容を上回るので取り付けは不可である。")</f>
        <v>となり、許容を下回るので安全である。</v>
      </c>
      <c r="G310" s="82"/>
      <c r="H310" s="82"/>
      <c r="I310" s="82"/>
      <c r="J310" s="81"/>
      <c r="K310" s="81"/>
      <c r="L310" s="81"/>
      <c r="M310" s="81"/>
      <c r="N310" s="81"/>
    </row>
    <row r="311" spans="2:14" ht="9" customHeight="1" x14ac:dyDescent="0.15">
      <c r="E311" s="81"/>
      <c r="F311" s="81"/>
      <c r="G311" s="81"/>
      <c r="H311" s="81"/>
      <c r="I311" s="81"/>
      <c r="J311" s="81"/>
      <c r="K311" s="81"/>
      <c r="L311" s="81"/>
      <c r="M311" s="81"/>
      <c r="N311" s="81"/>
    </row>
    <row r="312" spans="2:14" x14ac:dyDescent="0.15">
      <c r="M312" s="30"/>
    </row>
    <row r="313" spans="2:14" ht="33" customHeight="1" x14ac:dyDescent="0.15"/>
    <row r="314" spans="2:14" ht="21.75" customHeight="1" x14ac:dyDescent="0.15"/>
    <row r="315" spans="2:14" ht="42" customHeight="1" x14ac:dyDescent="0.15">
      <c r="B315" s="199" t="s">
        <v>168</v>
      </c>
      <c r="C315" s="199"/>
      <c r="D315" s="199"/>
      <c r="E315" s="199"/>
      <c r="F315" s="199"/>
      <c r="G315" s="199"/>
      <c r="H315" s="199"/>
      <c r="I315" s="199"/>
      <c r="J315" s="199"/>
      <c r="K315" s="199"/>
      <c r="L315" s="199"/>
      <c r="M315" s="199"/>
      <c r="N315" s="199"/>
    </row>
    <row r="316" spans="2:14" x14ac:dyDescent="0.15">
      <c r="B316" s="9"/>
    </row>
    <row r="318" spans="2:14" x14ac:dyDescent="0.15">
      <c r="B318" s="10" t="s">
        <v>169</v>
      </c>
    </row>
    <row r="320" spans="2:14" ht="21.75" customHeight="1" x14ac:dyDescent="0.15">
      <c r="C320" s="200" t="s">
        <v>170</v>
      </c>
      <c r="D320" s="200"/>
      <c r="E320" s="200"/>
      <c r="F320" s="200"/>
      <c r="G320" s="200"/>
    </row>
    <row r="322" spans="5:14" ht="13.5" customHeight="1" x14ac:dyDescent="0.15">
      <c r="E322" s="36" t="s">
        <v>171</v>
      </c>
      <c r="F322" s="201" t="s">
        <v>172</v>
      </c>
      <c r="G322" s="201"/>
      <c r="H322" s="201"/>
      <c r="I322" s="201"/>
      <c r="J322" s="201"/>
      <c r="K322" s="201"/>
      <c r="L322" s="201"/>
      <c r="M322" s="201"/>
      <c r="N322" s="201"/>
    </row>
    <row r="324" spans="5:14" x14ac:dyDescent="0.15">
      <c r="F324" s="216" t="s">
        <v>173</v>
      </c>
      <c r="G324" s="36" t="s">
        <v>166</v>
      </c>
      <c r="H324" s="217"/>
      <c r="I324" s="86">
        <f>G307</f>
        <v>2841.18</v>
      </c>
      <c r="J324" s="218" t="e">
        <f>I324/I325</f>
        <v>#REF!</v>
      </c>
      <c r="K324" s="218"/>
    </row>
    <row r="325" spans="5:14" x14ac:dyDescent="0.15">
      <c r="F325" s="216"/>
      <c r="G325" s="36" t="s">
        <v>174</v>
      </c>
      <c r="H325" s="217"/>
      <c r="I325" s="36" t="e">
        <f>#REF!</f>
        <v>#REF!</v>
      </c>
      <c r="J325" s="218"/>
      <c r="K325" s="218"/>
    </row>
    <row r="327" spans="5:14" x14ac:dyDescent="0.15">
      <c r="F327" s="10" t="s">
        <v>175</v>
      </c>
    </row>
    <row r="340" spans="3:14" ht="21.75" customHeight="1" x14ac:dyDescent="0.15">
      <c r="C340" s="200" t="s">
        <v>176</v>
      </c>
      <c r="D340" s="200"/>
      <c r="E340" s="200"/>
      <c r="F340" s="200"/>
      <c r="G340" s="200"/>
    </row>
    <row r="341" spans="3:14" x14ac:dyDescent="0.15">
      <c r="M341" s="87">
        <v>240</v>
      </c>
    </row>
    <row r="342" spans="3:14" x14ac:dyDescent="0.15">
      <c r="E342" s="36" t="s">
        <v>177</v>
      </c>
      <c r="F342" s="10" t="s">
        <v>459</v>
      </c>
    </row>
    <row r="344" spans="3:14" ht="13.5" customHeight="1" x14ac:dyDescent="0.15">
      <c r="E344" s="219" t="s">
        <v>178</v>
      </c>
      <c r="F344" s="84" t="s">
        <v>179</v>
      </c>
      <c r="G344" s="220" t="e">
        <f>J324</f>
        <v>#REF!</v>
      </c>
      <c r="H344" s="220"/>
      <c r="I344" s="220" t="e">
        <f>J324/#REF!</f>
        <v>#REF!</v>
      </c>
      <c r="J344" s="204" t="e">
        <f>IF(M341&gt;I344,"&lt;","&gt;")</f>
        <v>#REF!</v>
      </c>
      <c r="K344" s="221" t="s">
        <v>482</v>
      </c>
      <c r="L344" s="221"/>
      <c r="M344" s="221"/>
      <c r="N344" s="221"/>
    </row>
    <row r="345" spans="3:14" ht="13.5" customHeight="1" x14ac:dyDescent="0.15">
      <c r="E345" s="219"/>
      <c r="F345" s="84" t="s">
        <v>180</v>
      </c>
      <c r="G345" s="204" t="e">
        <f>#REF!</f>
        <v>#REF!</v>
      </c>
      <c r="H345" s="204"/>
      <c r="I345" s="220"/>
      <c r="J345" s="204"/>
      <c r="K345" s="221"/>
      <c r="L345" s="221"/>
      <c r="M345" s="221"/>
      <c r="N345" s="221"/>
    </row>
    <row r="346" spans="3:14" ht="13.5" customHeight="1" x14ac:dyDescent="0.15">
      <c r="E346" s="81"/>
      <c r="F346" s="82"/>
      <c r="G346" s="82"/>
      <c r="H346" s="82"/>
      <c r="I346" s="82"/>
      <c r="J346" s="82"/>
      <c r="K346" s="221"/>
      <c r="L346" s="221"/>
      <c r="M346" s="221"/>
      <c r="N346" s="221"/>
    </row>
    <row r="347" spans="3:14" x14ac:dyDescent="0.15">
      <c r="E347" s="81"/>
      <c r="F347" s="81"/>
      <c r="G347" s="82" t="e">
        <f>IF(J344="&lt;","となり、許容を下回るので安全である。","となり、許容を上回るので取り付けは不可である。")</f>
        <v>#REF!</v>
      </c>
      <c r="H347" s="81"/>
      <c r="I347" s="81"/>
      <c r="J347" s="81"/>
      <c r="K347" s="81"/>
      <c r="L347" s="81"/>
      <c r="M347" s="81"/>
      <c r="N347" s="81"/>
    </row>
    <row r="348" spans="3:14" ht="8.25" customHeight="1" x14ac:dyDescent="0.15">
      <c r="E348" s="81"/>
      <c r="F348" s="81"/>
      <c r="G348" s="82"/>
      <c r="H348" s="81"/>
      <c r="I348" s="81"/>
      <c r="J348" s="81"/>
      <c r="K348" s="81"/>
      <c r="L348" s="81"/>
      <c r="M348" s="81"/>
      <c r="N348" s="81"/>
    </row>
    <row r="350" spans="3:14" x14ac:dyDescent="0.15">
      <c r="F350" s="10" t="s">
        <v>181</v>
      </c>
    </row>
    <row r="351" spans="3:14" x14ac:dyDescent="0.15">
      <c r="F351" s="10" t="s">
        <v>182</v>
      </c>
    </row>
    <row r="356" spans="2:14" ht="51" customHeight="1" x14ac:dyDescent="0.15">
      <c r="B356" s="199" t="s">
        <v>183</v>
      </c>
      <c r="C356" s="199"/>
      <c r="D356" s="199"/>
      <c r="E356" s="199"/>
      <c r="F356" s="199"/>
      <c r="G356" s="199"/>
      <c r="H356" s="199"/>
      <c r="I356" s="199"/>
      <c r="J356" s="199"/>
      <c r="K356" s="199"/>
      <c r="L356" s="199"/>
      <c r="M356" s="199"/>
      <c r="N356" s="199"/>
    </row>
    <row r="357" spans="2:14" x14ac:dyDescent="0.15">
      <c r="B357" s="9"/>
    </row>
    <row r="358" spans="2:14" x14ac:dyDescent="0.15">
      <c r="B358" s="10" t="s">
        <v>184</v>
      </c>
      <c r="I358" s="10" t="s">
        <v>185</v>
      </c>
    </row>
    <row r="359" spans="2:14" x14ac:dyDescent="0.15">
      <c r="I359" s="10" t="s">
        <v>186</v>
      </c>
    </row>
    <row r="360" spans="2:14" x14ac:dyDescent="0.15">
      <c r="C360" s="200" t="s">
        <v>187</v>
      </c>
      <c r="D360" s="200"/>
      <c r="E360" s="200"/>
      <c r="F360" s="200"/>
      <c r="G360" s="200"/>
      <c r="I360" s="10" t="s">
        <v>188</v>
      </c>
    </row>
    <row r="362" spans="2:14" x14ac:dyDescent="0.15">
      <c r="D362" s="201" t="s">
        <v>189</v>
      </c>
      <c r="E362" s="201"/>
      <c r="F362" s="201"/>
      <c r="G362" s="201"/>
      <c r="H362" s="201"/>
      <c r="I362" s="201"/>
      <c r="J362" s="201"/>
      <c r="K362" s="201"/>
      <c r="L362" s="201"/>
    </row>
    <row r="363" spans="2:14" x14ac:dyDescent="0.15">
      <c r="D363" s="10" t="s">
        <v>190</v>
      </c>
    </row>
    <row r="364" spans="2:14" ht="19.5" thickBot="1" x14ac:dyDescent="0.2">
      <c r="F364" s="30"/>
      <c r="G364" s="36"/>
      <c r="H364" s="36"/>
      <c r="I364" s="86"/>
      <c r="J364" s="88"/>
      <c r="K364" s="88"/>
    </row>
    <row r="365" spans="2:14" x14ac:dyDescent="0.15">
      <c r="E365" s="89" t="s">
        <v>191</v>
      </c>
      <c r="F365" s="90"/>
      <c r="G365" s="91"/>
      <c r="H365" s="92" t="s">
        <v>192</v>
      </c>
      <c r="I365" s="93">
        <v>17</v>
      </c>
      <c r="J365" s="94" t="s">
        <v>95</v>
      </c>
      <c r="K365" s="88"/>
    </row>
    <row r="366" spans="2:14" x14ac:dyDescent="0.15">
      <c r="E366" s="95" t="s">
        <v>193</v>
      </c>
      <c r="F366" s="96"/>
      <c r="G366" s="96"/>
      <c r="H366" s="97" t="s">
        <v>194</v>
      </c>
      <c r="I366" s="97">
        <v>10</v>
      </c>
      <c r="J366" s="98"/>
    </row>
    <row r="367" spans="2:14" x14ac:dyDescent="0.15">
      <c r="E367" s="99" t="s">
        <v>195</v>
      </c>
      <c r="F367" s="100"/>
      <c r="G367" s="100"/>
      <c r="H367" s="101" t="s">
        <v>196</v>
      </c>
      <c r="I367" s="101">
        <v>3.53</v>
      </c>
      <c r="J367" s="102"/>
    </row>
    <row r="368" spans="2:14" ht="19.5" thickBot="1" x14ac:dyDescent="0.2">
      <c r="E368" s="103" t="s">
        <v>197</v>
      </c>
      <c r="F368" s="104"/>
      <c r="G368" s="104"/>
      <c r="H368" s="105" t="s">
        <v>198</v>
      </c>
      <c r="I368" s="105">
        <v>0</v>
      </c>
      <c r="J368" s="106" t="s">
        <v>199</v>
      </c>
    </row>
    <row r="371" spans="3:14" x14ac:dyDescent="0.15">
      <c r="C371" s="200" t="s">
        <v>200</v>
      </c>
      <c r="D371" s="200"/>
      <c r="E371" s="200"/>
      <c r="F371" s="200"/>
      <c r="G371" s="200"/>
    </row>
    <row r="372" spans="3:14" x14ac:dyDescent="0.15">
      <c r="L372" s="107"/>
      <c r="M372" s="10" t="s">
        <v>201</v>
      </c>
    </row>
    <row r="373" spans="3:14" ht="19.5" thickBot="1" x14ac:dyDescent="0.2">
      <c r="D373" s="10" t="s">
        <v>202</v>
      </c>
    </row>
    <row r="374" spans="3:14" ht="14.25" customHeight="1" x14ac:dyDescent="0.15">
      <c r="E374" s="10" t="s">
        <v>203</v>
      </c>
      <c r="J374" s="212" t="s">
        <v>204</v>
      </c>
      <c r="K374" s="108" t="s">
        <v>205</v>
      </c>
      <c r="L374" s="109" t="s">
        <v>15</v>
      </c>
      <c r="M374" s="110">
        <v>0.3</v>
      </c>
      <c r="N374" s="111" t="s">
        <v>206</v>
      </c>
    </row>
    <row r="375" spans="3:14" x14ac:dyDescent="0.15">
      <c r="E375" s="10" t="s">
        <v>207</v>
      </c>
      <c r="J375" s="213"/>
      <c r="K375" s="112" t="s">
        <v>208</v>
      </c>
      <c r="L375" s="113" t="s">
        <v>209</v>
      </c>
      <c r="M375" s="114">
        <f>+M374</f>
        <v>0.3</v>
      </c>
      <c r="N375" s="115" t="s">
        <v>94</v>
      </c>
    </row>
    <row r="376" spans="3:14" ht="17.25" customHeight="1" x14ac:dyDescent="0.15">
      <c r="E376" s="10" t="s">
        <v>210</v>
      </c>
      <c r="J376" s="213"/>
      <c r="K376" s="116" t="s">
        <v>211</v>
      </c>
      <c r="L376" s="113" t="s">
        <v>212</v>
      </c>
      <c r="M376" s="117">
        <v>1.43</v>
      </c>
      <c r="N376" s="118" t="s">
        <v>213</v>
      </c>
    </row>
    <row r="377" spans="3:14" x14ac:dyDescent="0.15">
      <c r="E377" s="10" t="s">
        <v>214</v>
      </c>
      <c r="J377" s="213"/>
      <c r="K377" s="112" t="s">
        <v>215</v>
      </c>
      <c r="L377" s="119" t="s">
        <v>216</v>
      </c>
      <c r="M377" s="114">
        <f>+IF(L377="あり",0.7,+IF(L377="なし",1,"error"))</f>
        <v>0.7</v>
      </c>
      <c r="N377" s="115"/>
    </row>
    <row r="378" spans="3:14" ht="19.5" thickBot="1" x14ac:dyDescent="0.2">
      <c r="E378" s="10" t="s">
        <v>217</v>
      </c>
      <c r="J378" s="214"/>
      <c r="K378" s="120" t="s">
        <v>218</v>
      </c>
      <c r="L378" s="121" t="s">
        <v>219</v>
      </c>
      <c r="M378" s="122">
        <v>23</v>
      </c>
      <c r="N378" s="123" t="s">
        <v>220</v>
      </c>
    </row>
    <row r="379" spans="3:14" x14ac:dyDescent="0.15">
      <c r="E379" s="10" t="s">
        <v>221</v>
      </c>
      <c r="K379" s="215" t="s">
        <v>222</v>
      </c>
      <c r="L379" s="215"/>
      <c r="M379" s="10">
        <v>23</v>
      </c>
      <c r="N379" s="10" t="s">
        <v>223</v>
      </c>
    </row>
    <row r="380" spans="3:14" x14ac:dyDescent="0.15">
      <c r="E380" s="10" t="s">
        <v>224</v>
      </c>
    </row>
    <row r="383" spans="3:14" x14ac:dyDescent="0.15">
      <c r="C383" s="207" t="s">
        <v>225</v>
      </c>
      <c r="D383" s="208"/>
      <c r="E383" s="208"/>
      <c r="F383" s="208"/>
      <c r="G383" s="208"/>
      <c r="H383" s="209"/>
      <c r="I383" s="210"/>
    </row>
    <row r="384" spans="3:14" x14ac:dyDescent="0.15">
      <c r="M384" s="87"/>
    </row>
    <row r="385" spans="4:14" x14ac:dyDescent="0.15">
      <c r="D385" s="10" t="s">
        <v>226</v>
      </c>
    </row>
    <row r="387" spans="4:14" ht="15.75" customHeight="1" x14ac:dyDescent="0.15">
      <c r="E387" s="36" t="s">
        <v>227</v>
      </c>
      <c r="F387" s="45" t="s">
        <v>228</v>
      </c>
      <c r="G387" s="124"/>
      <c r="H387" s="124"/>
      <c r="I387" s="125" t="e">
        <f>(+#REF!+#REF!+#REF!+#REF!+1.23*#REF!/2)/1000</f>
        <v>#REF!</v>
      </c>
      <c r="J387" s="126" t="s">
        <v>229</v>
      </c>
      <c r="K387" s="127"/>
      <c r="L387" s="127"/>
      <c r="M387" s="127"/>
      <c r="N387" s="127"/>
    </row>
    <row r="388" spans="4:14" x14ac:dyDescent="0.15">
      <c r="E388" s="70"/>
      <c r="G388" s="45" t="s">
        <v>230</v>
      </c>
      <c r="H388" s="60"/>
      <c r="I388" s="128"/>
      <c r="J388" s="126"/>
      <c r="K388" s="127"/>
      <c r="L388" s="127"/>
      <c r="M388" s="127"/>
      <c r="N388" s="127"/>
    </row>
    <row r="389" spans="4:14" x14ac:dyDescent="0.15">
      <c r="G389" s="9"/>
      <c r="I389" s="30"/>
      <c r="J389" s="45"/>
    </row>
    <row r="390" spans="4:14" x14ac:dyDescent="0.15">
      <c r="E390" s="36" t="s">
        <v>231</v>
      </c>
      <c r="F390" s="10" t="s">
        <v>232</v>
      </c>
      <c r="G390" s="9"/>
      <c r="I390" s="125" t="e">
        <f>(+J392+J394+J396+J398+J400)/1000</f>
        <v>#REF!</v>
      </c>
      <c r="J390" s="126" t="s">
        <v>229</v>
      </c>
    </row>
    <row r="391" spans="4:14" x14ac:dyDescent="0.15">
      <c r="G391" s="10" t="s">
        <v>233</v>
      </c>
    </row>
    <row r="392" spans="4:14" x14ac:dyDescent="0.15">
      <c r="G392" s="129" t="s">
        <v>234</v>
      </c>
      <c r="J392" s="10" t="e">
        <f>+#REF!*#REF!*1000*#REF!/10000</f>
        <v>#REF!</v>
      </c>
      <c r="K392" s="10" t="s">
        <v>235</v>
      </c>
    </row>
    <row r="393" spans="4:14" x14ac:dyDescent="0.15">
      <c r="G393" s="10" t="s">
        <v>236</v>
      </c>
    </row>
    <row r="394" spans="4:14" x14ac:dyDescent="0.15">
      <c r="G394" s="129" t="s">
        <v>237</v>
      </c>
      <c r="J394" s="10" t="e">
        <f>+#REF!*#REF!*1000*#REF!/10000</f>
        <v>#REF!</v>
      </c>
      <c r="K394" s="10" t="s">
        <v>235</v>
      </c>
    </row>
    <row r="395" spans="4:14" x14ac:dyDescent="0.15">
      <c r="G395" s="10" t="s">
        <v>238</v>
      </c>
    </row>
    <row r="396" spans="4:14" x14ac:dyDescent="0.15">
      <c r="G396" s="129" t="s">
        <v>239</v>
      </c>
      <c r="J396" s="10" t="e">
        <f>+#REF!*#REF!*1000*#REF!/10000</f>
        <v>#REF!</v>
      </c>
      <c r="K396" s="10" t="s">
        <v>235</v>
      </c>
    </row>
    <row r="397" spans="4:14" x14ac:dyDescent="0.15">
      <c r="G397" s="10" t="s">
        <v>240</v>
      </c>
    </row>
    <row r="398" spans="4:14" x14ac:dyDescent="0.15">
      <c r="G398" s="129" t="s">
        <v>241</v>
      </c>
      <c r="J398" s="10" t="e">
        <f>+#REF!*#REF!*1000*#REF!/10000</f>
        <v>#REF!</v>
      </c>
      <c r="K398" s="10" t="s">
        <v>10</v>
      </c>
    </row>
    <row r="400" spans="4:14" x14ac:dyDescent="0.15">
      <c r="G400" s="10" t="s">
        <v>242</v>
      </c>
      <c r="J400" s="83" t="e">
        <f>+#REF!</f>
        <v>#REF!</v>
      </c>
      <c r="K400" s="10" t="s">
        <v>235</v>
      </c>
    </row>
    <row r="402" spans="3:10" x14ac:dyDescent="0.15">
      <c r="E402" s="36" t="s">
        <v>243</v>
      </c>
      <c r="F402" s="10" t="s">
        <v>244</v>
      </c>
      <c r="I402" s="130" t="e">
        <f>+#REF!/1000</f>
        <v>#REF!</v>
      </c>
      <c r="J402" s="9" t="s">
        <v>245</v>
      </c>
    </row>
    <row r="404" spans="3:10" x14ac:dyDescent="0.15">
      <c r="E404" s="36" t="s">
        <v>246</v>
      </c>
      <c r="F404" s="10" t="s">
        <v>247</v>
      </c>
    </row>
    <row r="405" spans="3:10" x14ac:dyDescent="0.15">
      <c r="F405" s="10" t="s">
        <v>248</v>
      </c>
    </row>
    <row r="406" spans="3:10" x14ac:dyDescent="0.15">
      <c r="I406" s="10">
        <f>+M378*M374*M375*M376</f>
        <v>2.9600999999999997</v>
      </c>
      <c r="J406" s="10" t="s">
        <v>249</v>
      </c>
    </row>
    <row r="407" spans="3:10" x14ac:dyDescent="0.15">
      <c r="F407" s="10" t="s">
        <v>250</v>
      </c>
    </row>
    <row r="408" spans="3:10" x14ac:dyDescent="0.15">
      <c r="G408" s="10" t="s">
        <v>251</v>
      </c>
      <c r="I408" s="131" t="e">
        <f>+I387+I406</f>
        <v>#REF!</v>
      </c>
      <c r="J408" s="10" t="s">
        <v>249</v>
      </c>
    </row>
    <row r="410" spans="3:10" x14ac:dyDescent="0.15">
      <c r="F410" s="10" t="s">
        <v>252</v>
      </c>
    </row>
    <row r="411" spans="3:10" x14ac:dyDescent="0.15">
      <c r="I411" s="132">
        <f>12.8*0.04*2*28*I366*(M374*M376*10000)^(-3/8)*9.8*1000000/1000</f>
        <v>122042.91693045426</v>
      </c>
      <c r="J411" s="10" t="s">
        <v>223</v>
      </c>
    </row>
    <row r="413" spans="3:10" x14ac:dyDescent="0.15">
      <c r="F413" s="10" t="s">
        <v>253</v>
      </c>
    </row>
    <row r="414" spans="3:10" x14ac:dyDescent="0.15">
      <c r="I414" s="132">
        <f>12.8*0.033*2*28*I366*(M374*M375*10000)^(-3/8)*9.8*1000000/1000</f>
        <v>180841.07132512389</v>
      </c>
      <c r="J414" s="10" t="s">
        <v>223</v>
      </c>
    </row>
    <row r="416" spans="3:10" x14ac:dyDescent="0.15">
      <c r="C416" s="207" t="s">
        <v>254</v>
      </c>
      <c r="D416" s="208"/>
      <c r="E416" s="208"/>
      <c r="F416" s="208"/>
      <c r="G416" s="211"/>
    </row>
    <row r="418" spans="4:14" x14ac:dyDescent="0.15">
      <c r="D418" s="10" t="s">
        <v>227</v>
      </c>
      <c r="E418" s="10" t="s">
        <v>255</v>
      </c>
      <c r="J418" s="133">
        <v>52.893154163633675</v>
      </c>
      <c r="K418" s="10" t="s">
        <v>256</v>
      </c>
    </row>
    <row r="419" spans="4:14" x14ac:dyDescent="0.15">
      <c r="J419" s="9" t="s">
        <v>257</v>
      </c>
    </row>
    <row r="420" spans="4:14" x14ac:dyDescent="0.15">
      <c r="D420" s="10" t="s">
        <v>231</v>
      </c>
      <c r="E420" s="10" t="s">
        <v>258</v>
      </c>
    </row>
    <row r="421" spans="4:14" x14ac:dyDescent="0.15">
      <c r="E421" s="10" t="s">
        <v>259</v>
      </c>
      <c r="J421" s="10">
        <f>+M374/M375</f>
        <v>1</v>
      </c>
    </row>
    <row r="422" spans="4:14" x14ac:dyDescent="0.15">
      <c r="E422" s="10" t="s">
        <v>260</v>
      </c>
      <c r="J422" s="134">
        <f>+J421*(1+J421*_xlfn.COT(RADIANS(J418)))^2</f>
        <v>3.0852286685666117</v>
      </c>
    </row>
    <row r="423" spans="4:14" x14ac:dyDescent="0.15">
      <c r="E423" s="10" t="s">
        <v>261</v>
      </c>
      <c r="J423" s="134">
        <f>+J421/3*(2-J421*_xlfn.COT(RADIANS(J418)))*(1+J421*_xlfn.COT(RADIANS(J418)))^2</f>
        <v>1.2788458962977953</v>
      </c>
    </row>
    <row r="424" spans="4:14" x14ac:dyDescent="0.15">
      <c r="E424" s="10" t="s">
        <v>262</v>
      </c>
      <c r="J424" s="135">
        <f>+M375/2*I411*M376</f>
        <v>26178.205681582436</v>
      </c>
    </row>
    <row r="425" spans="4:14" x14ac:dyDescent="0.15">
      <c r="E425" s="10" t="s">
        <v>263</v>
      </c>
      <c r="J425" s="134">
        <f>2/3*M375/2*I411*M376^2</f>
        <v>24956.556083108586</v>
      </c>
    </row>
    <row r="426" spans="4:14" x14ac:dyDescent="0.15">
      <c r="E426" s="10" t="s">
        <v>264</v>
      </c>
      <c r="J426" s="134">
        <f>0.5*M375/2*I411*M376^3+I414*(M374/2)^4*J423</f>
        <v>26882.985754244241</v>
      </c>
    </row>
    <row r="427" spans="4:14" x14ac:dyDescent="0.15">
      <c r="E427" s="10" t="s">
        <v>265</v>
      </c>
      <c r="J427" s="134" t="e">
        <f>+(I402*J424+I390*J425)/(J424*J426-J425^2)</f>
        <v>#REF!</v>
      </c>
    </row>
    <row r="428" spans="4:14" x14ac:dyDescent="0.15">
      <c r="E428" s="10" t="s">
        <v>266</v>
      </c>
      <c r="J428" s="134" t="e">
        <f>+(I402*J425+I390*J426)/(I402*J424+I390*J425)</f>
        <v>#REF!</v>
      </c>
    </row>
    <row r="430" spans="4:14" ht="19.5" thickBot="1" x14ac:dyDescent="0.2">
      <c r="D430" s="136" t="s">
        <v>243</v>
      </c>
      <c r="E430" s="136" t="s">
        <v>267</v>
      </c>
      <c r="F430" s="136"/>
      <c r="G430" s="136"/>
      <c r="H430" s="136"/>
      <c r="I430" s="136"/>
      <c r="J430" s="136"/>
      <c r="K430" s="136"/>
      <c r="L430" s="136"/>
      <c r="M430" s="136"/>
      <c r="N430" s="136"/>
    </row>
    <row r="431" spans="4:14" ht="20.25" thickTop="1" thickBot="1" x14ac:dyDescent="0.2">
      <c r="D431" s="136"/>
      <c r="E431" s="136" t="s">
        <v>268</v>
      </c>
      <c r="F431" s="136"/>
      <c r="G431" s="136"/>
      <c r="H431" s="136"/>
      <c r="I431" s="136"/>
      <c r="J431" s="137" t="e">
        <f>+I408-I414*(M374/2)^3*J427*J422</f>
        <v>#REF!</v>
      </c>
      <c r="K431" s="136" t="s">
        <v>269</v>
      </c>
      <c r="L431" s="136"/>
      <c r="M431" s="136"/>
      <c r="N431" s="136"/>
    </row>
    <row r="432" spans="4:14" ht="19.5" thickTop="1" x14ac:dyDescent="0.15">
      <c r="D432" s="136"/>
      <c r="E432" s="136"/>
      <c r="F432" s="136"/>
      <c r="G432" s="136"/>
      <c r="H432" s="136"/>
      <c r="I432" s="136"/>
      <c r="J432" s="136" t="s">
        <v>483</v>
      </c>
      <c r="K432" s="136"/>
      <c r="L432" s="136"/>
      <c r="M432" s="136"/>
      <c r="N432" s="136"/>
    </row>
    <row r="434" spans="3:14" x14ac:dyDescent="0.15">
      <c r="G434" s="10" t="s">
        <v>270</v>
      </c>
    </row>
    <row r="435" spans="3:14" x14ac:dyDescent="0.15">
      <c r="G435" s="10" t="s">
        <v>271</v>
      </c>
    </row>
    <row r="436" spans="3:14" x14ac:dyDescent="0.15">
      <c r="G436" s="10" t="s">
        <v>272</v>
      </c>
    </row>
    <row r="437" spans="3:14" x14ac:dyDescent="0.15">
      <c r="G437" s="10" t="s">
        <v>273</v>
      </c>
    </row>
    <row r="438" spans="3:14" x14ac:dyDescent="0.15">
      <c r="G438" s="10" t="s">
        <v>274</v>
      </c>
    </row>
    <row r="439" spans="3:14" x14ac:dyDescent="0.15">
      <c r="G439" s="10" t="s">
        <v>275</v>
      </c>
    </row>
    <row r="440" spans="3:14" x14ac:dyDescent="0.15">
      <c r="G440" s="10" t="s">
        <v>276</v>
      </c>
    </row>
    <row r="442" spans="3:14" x14ac:dyDescent="0.15">
      <c r="C442" s="207" t="s">
        <v>277</v>
      </c>
      <c r="D442" s="208"/>
      <c r="E442" s="208"/>
      <c r="F442" s="208"/>
      <c r="G442" s="211"/>
    </row>
    <row r="444" spans="3:14" x14ac:dyDescent="0.15">
      <c r="D444" s="138"/>
      <c r="E444" s="138"/>
      <c r="F444" s="138"/>
      <c r="G444" s="138"/>
      <c r="H444" s="138"/>
      <c r="I444" s="138"/>
      <c r="J444" s="138"/>
      <c r="K444" s="138"/>
      <c r="L444" s="138"/>
      <c r="M444" s="136"/>
      <c r="N444" s="136"/>
    </row>
    <row r="445" spans="3:14" x14ac:dyDescent="0.15">
      <c r="D445" s="138"/>
      <c r="E445" s="138" t="s">
        <v>278</v>
      </c>
      <c r="F445" s="138"/>
      <c r="G445" s="138"/>
      <c r="H445" s="138"/>
      <c r="I445" s="138"/>
      <c r="J445" s="138"/>
      <c r="K445" s="138"/>
      <c r="L445" s="138"/>
      <c r="M445" s="136"/>
      <c r="N445" s="136"/>
    </row>
    <row r="446" spans="3:14" x14ac:dyDescent="0.15">
      <c r="D446" s="138"/>
      <c r="E446" s="138" t="s">
        <v>279</v>
      </c>
      <c r="F446" s="138"/>
      <c r="G446" s="138"/>
      <c r="H446" s="138"/>
      <c r="I446" s="138"/>
      <c r="J446" s="138"/>
      <c r="K446" s="138"/>
      <c r="L446" s="138"/>
      <c r="M446" s="136"/>
      <c r="N446" s="136"/>
    </row>
    <row r="447" spans="3:14" ht="19.5" thickBot="1" x14ac:dyDescent="0.2">
      <c r="D447" s="138"/>
      <c r="E447" s="138"/>
      <c r="F447" s="138"/>
      <c r="G447" s="138"/>
      <c r="H447" s="138"/>
      <c r="I447" s="138"/>
      <c r="J447" s="138"/>
      <c r="K447" s="138"/>
      <c r="L447" s="138"/>
      <c r="M447" s="136"/>
      <c r="N447" s="136"/>
    </row>
    <row r="448" spans="3:14" ht="20.25" thickTop="1" thickBot="1" x14ac:dyDescent="0.2">
      <c r="D448" s="138"/>
      <c r="E448" s="138"/>
      <c r="F448" s="138"/>
      <c r="G448" s="138"/>
      <c r="H448" s="138"/>
      <c r="I448" s="138"/>
      <c r="J448" s="139" t="e">
        <f>2.4*M376*I365*(I367/I411)-J428*J427</f>
        <v>#REF!</v>
      </c>
      <c r="K448" s="140" t="e">
        <f>+IF(J448&gt;=0,"OK","NG")</f>
        <v>#REF!</v>
      </c>
      <c r="L448" s="138"/>
      <c r="M448" s="136"/>
      <c r="N448" s="136"/>
    </row>
    <row r="449" spans="3:14" ht="19.5" thickTop="1" x14ac:dyDescent="0.15">
      <c r="D449" s="138"/>
      <c r="E449" s="138"/>
      <c r="F449" s="138"/>
      <c r="G449" s="138"/>
      <c r="H449" s="138"/>
      <c r="I449" s="138"/>
      <c r="J449" s="138"/>
      <c r="K449" s="138"/>
      <c r="L449" s="138"/>
      <c r="M449" s="136"/>
      <c r="N449" s="136"/>
    </row>
    <row r="450" spans="3:14" x14ac:dyDescent="0.15">
      <c r="E450" s="10" t="s">
        <v>280</v>
      </c>
    </row>
    <row r="451" spans="3:14" x14ac:dyDescent="0.15">
      <c r="E451" s="10" t="s">
        <v>281</v>
      </c>
    </row>
    <row r="454" spans="3:14" x14ac:dyDescent="0.15">
      <c r="C454" s="207" t="s">
        <v>282</v>
      </c>
      <c r="D454" s="208"/>
      <c r="E454" s="208"/>
      <c r="F454" s="208"/>
      <c r="G454" s="211"/>
    </row>
    <row r="456" spans="3:14" ht="19.5" thickBot="1" x14ac:dyDescent="0.2">
      <c r="D456" s="36" t="s">
        <v>227</v>
      </c>
      <c r="E456" s="10" t="s">
        <v>283</v>
      </c>
    </row>
    <row r="457" spans="3:14" x14ac:dyDescent="0.15">
      <c r="E457" s="141" t="s">
        <v>284</v>
      </c>
      <c r="F457" s="142" t="s">
        <v>285</v>
      </c>
      <c r="G457" s="143">
        <f>+M374</f>
        <v>0.3</v>
      </c>
      <c r="H457" s="144" t="s">
        <v>206</v>
      </c>
    </row>
    <row r="458" spans="3:14" x14ac:dyDescent="0.15">
      <c r="E458" s="145" t="s">
        <v>211</v>
      </c>
      <c r="F458" s="146" t="s">
        <v>212</v>
      </c>
      <c r="G458" s="147">
        <f>+M376*M377</f>
        <v>1.0009999999999999</v>
      </c>
      <c r="H458" s="148" t="s">
        <v>213</v>
      </c>
      <c r="I458" s="10" t="s">
        <v>286</v>
      </c>
    </row>
    <row r="459" spans="3:14" ht="19.5" thickBot="1" x14ac:dyDescent="0.2">
      <c r="E459" s="149" t="s">
        <v>287</v>
      </c>
      <c r="F459" s="150"/>
      <c r="G459" s="151" t="str">
        <f>+L377</f>
        <v>あり</v>
      </c>
      <c r="H459" s="152"/>
    </row>
    <row r="461" spans="3:14" ht="19.5" thickBot="1" x14ac:dyDescent="0.2">
      <c r="D461" s="36" t="s">
        <v>231</v>
      </c>
      <c r="E461" s="10" t="s">
        <v>288</v>
      </c>
    </row>
    <row r="462" spans="3:14" x14ac:dyDescent="0.15">
      <c r="E462" s="141" t="s">
        <v>284</v>
      </c>
      <c r="F462" s="142" t="s">
        <v>289</v>
      </c>
      <c r="G462" s="143">
        <f>+M374</f>
        <v>0.3</v>
      </c>
      <c r="H462" s="144" t="s">
        <v>206</v>
      </c>
    </row>
    <row r="463" spans="3:14" x14ac:dyDescent="0.15">
      <c r="E463" s="145" t="s">
        <v>211</v>
      </c>
      <c r="F463" s="146" t="s">
        <v>212</v>
      </c>
      <c r="G463" s="147">
        <f>+M376*M377</f>
        <v>1.0009999999999999</v>
      </c>
      <c r="H463" s="148" t="s">
        <v>213</v>
      </c>
      <c r="I463" s="10" t="s">
        <v>286</v>
      </c>
    </row>
    <row r="464" spans="3:14" ht="19.5" thickBot="1" x14ac:dyDescent="0.2">
      <c r="E464" s="149" t="s">
        <v>287</v>
      </c>
      <c r="F464" s="150"/>
      <c r="G464" s="151" t="str">
        <f>+L377</f>
        <v>あり</v>
      </c>
      <c r="H464" s="152"/>
    </row>
    <row r="466" spans="5:5" x14ac:dyDescent="0.15">
      <c r="E466" s="10" t="s">
        <v>290</v>
      </c>
    </row>
  </sheetData>
  <sheetProtection algorithmName="SHA-512" hashValue="un2i83Fw0ma0YPWFi9nzPn3gH1I0WKvV+yj4DQxW4r+MIUZo0dv0WOfm0Qk5E4pavgxHkaBy2LsPBBZsaEmV4g==" saltValue="URPBH3AKEK3friSP643Y5g==" spinCount="100000" sheet="1" objects="1" scenarios="1"/>
  <protectedRanges>
    <protectedRange sqref="K61:K66" name="範囲11"/>
    <protectedRange sqref="C66:E66" name="範囲9"/>
    <protectedRange sqref="D54:E54" name="範囲7"/>
    <protectedRange sqref="G44:G46" name="範囲5"/>
    <protectedRange sqref="G22:L22" name="範囲3"/>
    <protectedRange sqref="E12:F12" name="範囲1"/>
    <protectedRange sqref="D22:E22" name="範囲2"/>
    <protectedRange sqref="C30:E30" name="範囲4"/>
    <protectedRange sqref="G48:G49" name="範囲6"/>
    <protectedRange sqref="D61:E65" name="範囲8"/>
    <protectedRange sqref="G61:H66" name="範囲10"/>
  </protectedRanges>
  <mergeCells count="75">
    <mergeCell ref="D8:H8"/>
    <mergeCell ref="D43:D46"/>
    <mergeCell ref="D9:E9"/>
    <mergeCell ref="D10:E10"/>
    <mergeCell ref="F9:H9"/>
    <mergeCell ref="F10:H10"/>
    <mergeCell ref="E42:F42"/>
    <mergeCell ref="E43:F43"/>
    <mergeCell ref="E44:F44"/>
    <mergeCell ref="E45:F45"/>
    <mergeCell ref="E46:F46"/>
    <mergeCell ref="J294:J295"/>
    <mergeCell ref="K294:K295"/>
    <mergeCell ref="L294:N295"/>
    <mergeCell ref="C5:M5"/>
    <mergeCell ref="C3:L3"/>
    <mergeCell ref="C4:L4"/>
    <mergeCell ref="E267:N267"/>
    <mergeCell ref="C20:C22"/>
    <mergeCell ref="C52:C53"/>
    <mergeCell ref="C59:C60"/>
    <mergeCell ref="C265:M265"/>
    <mergeCell ref="E266:N266"/>
    <mergeCell ref="D87:E87"/>
    <mergeCell ref="D88:E101"/>
    <mergeCell ref="F88:G101"/>
    <mergeCell ref="F87:G87"/>
    <mergeCell ref="F324:F325"/>
    <mergeCell ref="H324:H325"/>
    <mergeCell ref="J324:K325"/>
    <mergeCell ref="C340:G340"/>
    <mergeCell ref="E344:E345"/>
    <mergeCell ref="G344:H344"/>
    <mergeCell ref="I344:I345"/>
    <mergeCell ref="J344:J345"/>
    <mergeCell ref="K344:N346"/>
    <mergeCell ref="G345:H345"/>
    <mergeCell ref="C383:I383"/>
    <mergeCell ref="C416:G416"/>
    <mergeCell ref="C442:G442"/>
    <mergeCell ref="C454:G454"/>
    <mergeCell ref="B356:N356"/>
    <mergeCell ref="C360:G360"/>
    <mergeCell ref="D362:L362"/>
    <mergeCell ref="C371:G371"/>
    <mergeCell ref="J374:J378"/>
    <mergeCell ref="K379:L379"/>
    <mergeCell ref="B315:N315"/>
    <mergeCell ref="C320:G320"/>
    <mergeCell ref="F322:N322"/>
    <mergeCell ref="H104:I104"/>
    <mergeCell ref="H105:I105"/>
    <mergeCell ref="E147:F147"/>
    <mergeCell ref="E300:N303"/>
    <mergeCell ref="E307:E308"/>
    <mergeCell ref="G307:H307"/>
    <mergeCell ref="I307:I308"/>
    <mergeCell ref="J307:J308"/>
    <mergeCell ref="K307:N308"/>
    <mergeCell ref="G308:H308"/>
    <mergeCell ref="C285:M285"/>
    <mergeCell ref="E287:N290"/>
    <mergeCell ref="E294:E295"/>
    <mergeCell ref="D47:D49"/>
    <mergeCell ref="H87:I87"/>
    <mergeCell ref="H88:I101"/>
    <mergeCell ref="D104:E104"/>
    <mergeCell ref="F105:G105"/>
    <mergeCell ref="D86:I86"/>
    <mergeCell ref="D80:G80"/>
    <mergeCell ref="E47:F47"/>
    <mergeCell ref="E48:F48"/>
    <mergeCell ref="E49:F49"/>
    <mergeCell ref="D105:E105"/>
    <mergeCell ref="F104:G104"/>
  </mergeCells>
  <phoneticPr fontId="2"/>
  <pageMargins left="0.7" right="0.7" top="0.75" bottom="0.75" header="0.3" footer="0.3"/>
  <pageSetup paperSize="8" scale="70" fitToHeight="0" orientation="portrait" horizontalDpi="300" verticalDpi="300" r:id="rId1"/>
  <rowBreaks count="2" manualBreakCount="2">
    <brk id="105" max="12" man="1"/>
    <brk id="186"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9"/>
  <sheetViews>
    <sheetView showGridLines="0" zoomScale="85" zoomScaleNormal="85" workbookViewId="0">
      <selection activeCell="H23" sqref="H23"/>
    </sheetView>
  </sheetViews>
  <sheetFormatPr defaultRowHeight="18.75" x14ac:dyDescent="0.15"/>
  <cols>
    <col min="1" max="6" width="9" style="10"/>
    <col min="7" max="7" width="9.5" style="10" bestFit="1" customWidth="1"/>
    <col min="8" max="8" width="9" style="10"/>
    <col min="9" max="9" width="12.125" style="10" customWidth="1"/>
    <col min="10" max="262" width="9" style="10"/>
    <col min="263" max="263" width="9.5" style="10" bestFit="1" customWidth="1"/>
    <col min="264" max="264" width="9" style="10"/>
    <col min="265" max="265" width="12.125" style="10" customWidth="1"/>
    <col min="266" max="518" width="9" style="10"/>
    <col min="519" max="519" width="9.5" style="10" bestFit="1" customWidth="1"/>
    <col min="520" max="520" width="9" style="10"/>
    <col min="521" max="521" width="12.125" style="10" customWidth="1"/>
    <col min="522" max="774" width="9" style="10"/>
    <col min="775" max="775" width="9.5" style="10" bestFit="1" customWidth="1"/>
    <col min="776" max="776" width="9" style="10"/>
    <col min="777" max="777" width="12.125" style="10" customWidth="1"/>
    <col min="778" max="1030" width="9" style="10"/>
    <col min="1031" max="1031" width="9.5" style="10" bestFit="1" customWidth="1"/>
    <col min="1032" max="1032" width="9" style="10"/>
    <col min="1033" max="1033" width="12.125" style="10" customWidth="1"/>
    <col min="1034" max="1286" width="9" style="10"/>
    <col min="1287" max="1287" width="9.5" style="10" bestFit="1" customWidth="1"/>
    <col min="1288" max="1288" width="9" style="10"/>
    <col min="1289" max="1289" width="12.125" style="10" customWidth="1"/>
    <col min="1290" max="1542" width="9" style="10"/>
    <col min="1543" max="1543" width="9.5" style="10" bestFit="1" customWidth="1"/>
    <col min="1544" max="1544" width="9" style="10"/>
    <col min="1545" max="1545" width="12.125" style="10" customWidth="1"/>
    <col min="1546" max="1798" width="9" style="10"/>
    <col min="1799" max="1799" width="9.5" style="10" bestFit="1" customWidth="1"/>
    <col min="1800" max="1800" width="9" style="10"/>
    <col min="1801" max="1801" width="12.125" style="10" customWidth="1"/>
    <col min="1802" max="2054" width="9" style="10"/>
    <col min="2055" max="2055" width="9.5" style="10" bestFit="1" customWidth="1"/>
    <col min="2056" max="2056" width="9" style="10"/>
    <col min="2057" max="2057" width="12.125" style="10" customWidth="1"/>
    <col min="2058" max="2310" width="9" style="10"/>
    <col min="2311" max="2311" width="9.5" style="10" bestFit="1" customWidth="1"/>
    <col min="2312" max="2312" width="9" style="10"/>
    <col min="2313" max="2313" width="12.125" style="10" customWidth="1"/>
    <col min="2314" max="2566" width="9" style="10"/>
    <col min="2567" max="2567" width="9.5" style="10" bestFit="1" customWidth="1"/>
    <col min="2568" max="2568" width="9" style="10"/>
    <col min="2569" max="2569" width="12.125" style="10" customWidth="1"/>
    <col min="2570" max="2822" width="9" style="10"/>
    <col min="2823" max="2823" width="9.5" style="10" bestFit="1" customWidth="1"/>
    <col min="2824" max="2824" width="9" style="10"/>
    <col min="2825" max="2825" width="12.125" style="10" customWidth="1"/>
    <col min="2826" max="3078" width="9" style="10"/>
    <col min="3079" max="3079" width="9.5" style="10" bestFit="1" customWidth="1"/>
    <col min="3080" max="3080" width="9" style="10"/>
    <col min="3081" max="3081" width="12.125" style="10" customWidth="1"/>
    <col min="3082" max="3334" width="9" style="10"/>
    <col min="3335" max="3335" width="9.5" style="10" bestFit="1" customWidth="1"/>
    <col min="3336" max="3336" width="9" style="10"/>
    <col min="3337" max="3337" width="12.125" style="10" customWidth="1"/>
    <col min="3338" max="3590" width="9" style="10"/>
    <col min="3591" max="3591" width="9.5" style="10" bestFit="1" customWidth="1"/>
    <col min="3592" max="3592" width="9" style="10"/>
    <col min="3593" max="3593" width="12.125" style="10" customWidth="1"/>
    <col min="3594" max="3846" width="9" style="10"/>
    <col min="3847" max="3847" width="9.5" style="10" bestFit="1" customWidth="1"/>
    <col min="3848" max="3848" width="9" style="10"/>
    <col min="3849" max="3849" width="12.125" style="10" customWidth="1"/>
    <col min="3850" max="4102" width="9" style="10"/>
    <col min="4103" max="4103" width="9.5" style="10" bestFit="1" customWidth="1"/>
    <col min="4104" max="4104" width="9" style="10"/>
    <col min="4105" max="4105" width="12.125" style="10" customWidth="1"/>
    <col min="4106" max="4358" width="9" style="10"/>
    <col min="4359" max="4359" width="9.5" style="10" bestFit="1" customWidth="1"/>
    <col min="4360" max="4360" width="9" style="10"/>
    <col min="4361" max="4361" width="12.125" style="10" customWidth="1"/>
    <col min="4362" max="4614" width="9" style="10"/>
    <col min="4615" max="4615" width="9.5" style="10" bestFit="1" customWidth="1"/>
    <col min="4616" max="4616" width="9" style="10"/>
    <col min="4617" max="4617" width="12.125" style="10" customWidth="1"/>
    <col min="4618" max="4870" width="9" style="10"/>
    <col min="4871" max="4871" width="9.5" style="10" bestFit="1" customWidth="1"/>
    <col min="4872" max="4872" width="9" style="10"/>
    <col min="4873" max="4873" width="12.125" style="10" customWidth="1"/>
    <col min="4874" max="5126" width="9" style="10"/>
    <col min="5127" max="5127" width="9.5" style="10" bestFit="1" customWidth="1"/>
    <col min="5128" max="5128" width="9" style="10"/>
    <col min="5129" max="5129" width="12.125" style="10" customWidth="1"/>
    <col min="5130" max="5382" width="9" style="10"/>
    <col min="5383" max="5383" width="9.5" style="10" bestFit="1" customWidth="1"/>
    <col min="5384" max="5384" width="9" style="10"/>
    <col min="5385" max="5385" width="12.125" style="10" customWidth="1"/>
    <col min="5386" max="5638" width="9" style="10"/>
    <col min="5639" max="5639" width="9.5" style="10" bestFit="1" customWidth="1"/>
    <col min="5640" max="5640" width="9" style="10"/>
    <col min="5641" max="5641" width="12.125" style="10" customWidth="1"/>
    <col min="5642" max="5894" width="9" style="10"/>
    <col min="5895" max="5895" width="9.5" style="10" bestFit="1" customWidth="1"/>
    <col min="5896" max="5896" width="9" style="10"/>
    <col min="5897" max="5897" width="12.125" style="10" customWidth="1"/>
    <col min="5898" max="6150" width="9" style="10"/>
    <col min="6151" max="6151" width="9.5" style="10" bestFit="1" customWidth="1"/>
    <col min="6152" max="6152" width="9" style="10"/>
    <col min="6153" max="6153" width="12.125" style="10" customWidth="1"/>
    <col min="6154" max="6406" width="9" style="10"/>
    <col min="6407" max="6407" width="9.5" style="10" bestFit="1" customWidth="1"/>
    <col min="6408" max="6408" width="9" style="10"/>
    <col min="6409" max="6409" width="12.125" style="10" customWidth="1"/>
    <col min="6410" max="6662" width="9" style="10"/>
    <col min="6663" max="6663" width="9.5" style="10" bestFit="1" customWidth="1"/>
    <col min="6664" max="6664" width="9" style="10"/>
    <col min="6665" max="6665" width="12.125" style="10" customWidth="1"/>
    <col min="6666" max="6918" width="9" style="10"/>
    <col min="6919" max="6919" width="9.5" style="10" bestFit="1" customWidth="1"/>
    <col min="6920" max="6920" width="9" style="10"/>
    <col min="6921" max="6921" width="12.125" style="10" customWidth="1"/>
    <col min="6922" max="7174" width="9" style="10"/>
    <col min="7175" max="7175" width="9.5" style="10" bestFit="1" customWidth="1"/>
    <col min="7176" max="7176" width="9" style="10"/>
    <col min="7177" max="7177" width="12.125" style="10" customWidth="1"/>
    <col min="7178" max="7430" width="9" style="10"/>
    <col min="7431" max="7431" width="9.5" style="10" bestFit="1" customWidth="1"/>
    <col min="7432" max="7432" width="9" style="10"/>
    <col min="7433" max="7433" width="12.125" style="10" customWidth="1"/>
    <col min="7434" max="7686" width="9" style="10"/>
    <col min="7687" max="7687" width="9.5" style="10" bestFit="1" customWidth="1"/>
    <col min="7688" max="7688" width="9" style="10"/>
    <col min="7689" max="7689" width="12.125" style="10" customWidth="1"/>
    <col min="7690" max="7942" width="9" style="10"/>
    <col min="7943" max="7943" width="9.5" style="10" bestFit="1" customWidth="1"/>
    <col min="7944" max="7944" width="9" style="10"/>
    <col min="7945" max="7945" width="12.125" style="10" customWidth="1"/>
    <col min="7946" max="8198" width="9" style="10"/>
    <col min="8199" max="8199" width="9.5" style="10" bestFit="1" customWidth="1"/>
    <col min="8200" max="8200" width="9" style="10"/>
    <col min="8201" max="8201" width="12.125" style="10" customWidth="1"/>
    <col min="8202" max="8454" width="9" style="10"/>
    <col min="8455" max="8455" width="9.5" style="10" bestFit="1" customWidth="1"/>
    <col min="8456" max="8456" width="9" style="10"/>
    <col min="8457" max="8457" width="12.125" style="10" customWidth="1"/>
    <col min="8458" max="8710" width="9" style="10"/>
    <col min="8711" max="8711" width="9.5" style="10" bestFit="1" customWidth="1"/>
    <col min="8712" max="8712" width="9" style="10"/>
    <col min="8713" max="8713" width="12.125" style="10" customWidth="1"/>
    <col min="8714" max="8966" width="9" style="10"/>
    <col min="8967" max="8967" width="9.5" style="10" bestFit="1" customWidth="1"/>
    <col min="8968" max="8968" width="9" style="10"/>
    <col min="8969" max="8969" width="12.125" style="10" customWidth="1"/>
    <col min="8970" max="9222" width="9" style="10"/>
    <col min="9223" max="9223" width="9.5" style="10" bestFit="1" customWidth="1"/>
    <col min="9224" max="9224" width="9" style="10"/>
    <col min="9225" max="9225" width="12.125" style="10" customWidth="1"/>
    <col min="9226" max="9478" width="9" style="10"/>
    <col min="9479" max="9479" width="9.5" style="10" bestFit="1" customWidth="1"/>
    <col min="9480" max="9480" width="9" style="10"/>
    <col min="9481" max="9481" width="12.125" style="10" customWidth="1"/>
    <col min="9482" max="9734" width="9" style="10"/>
    <col min="9735" max="9735" width="9.5" style="10" bestFit="1" customWidth="1"/>
    <col min="9736" max="9736" width="9" style="10"/>
    <col min="9737" max="9737" width="12.125" style="10" customWidth="1"/>
    <col min="9738" max="9990" width="9" style="10"/>
    <col min="9991" max="9991" width="9.5" style="10" bestFit="1" customWidth="1"/>
    <col min="9992" max="9992" width="9" style="10"/>
    <col min="9993" max="9993" width="12.125" style="10" customWidth="1"/>
    <col min="9994" max="10246" width="9" style="10"/>
    <col min="10247" max="10247" width="9.5" style="10" bestFit="1" customWidth="1"/>
    <col min="10248" max="10248" width="9" style="10"/>
    <col min="10249" max="10249" width="12.125" style="10" customWidth="1"/>
    <col min="10250" max="10502" width="9" style="10"/>
    <col min="10503" max="10503" width="9.5" style="10" bestFit="1" customWidth="1"/>
    <col min="10504" max="10504" width="9" style="10"/>
    <col min="10505" max="10505" width="12.125" style="10" customWidth="1"/>
    <col min="10506" max="10758" width="9" style="10"/>
    <col min="10759" max="10759" width="9.5" style="10" bestFit="1" customWidth="1"/>
    <col min="10760" max="10760" width="9" style="10"/>
    <col min="10761" max="10761" width="12.125" style="10" customWidth="1"/>
    <col min="10762" max="11014" width="9" style="10"/>
    <col min="11015" max="11015" width="9.5" style="10" bestFit="1" customWidth="1"/>
    <col min="11016" max="11016" width="9" style="10"/>
    <col min="11017" max="11017" width="12.125" style="10" customWidth="1"/>
    <col min="11018" max="11270" width="9" style="10"/>
    <col min="11271" max="11271" width="9.5" style="10" bestFit="1" customWidth="1"/>
    <col min="11272" max="11272" width="9" style="10"/>
    <col min="11273" max="11273" width="12.125" style="10" customWidth="1"/>
    <col min="11274" max="11526" width="9" style="10"/>
    <col min="11527" max="11527" width="9.5" style="10" bestFit="1" customWidth="1"/>
    <col min="11528" max="11528" width="9" style="10"/>
    <col min="11529" max="11529" width="12.125" style="10" customWidth="1"/>
    <col min="11530" max="11782" width="9" style="10"/>
    <col min="11783" max="11783" width="9.5" style="10" bestFit="1" customWidth="1"/>
    <col min="11784" max="11784" width="9" style="10"/>
    <col min="11785" max="11785" width="12.125" style="10" customWidth="1"/>
    <col min="11786" max="12038" width="9" style="10"/>
    <col min="12039" max="12039" width="9.5" style="10" bestFit="1" customWidth="1"/>
    <col min="12040" max="12040" width="9" style="10"/>
    <col min="12041" max="12041" width="12.125" style="10" customWidth="1"/>
    <col min="12042" max="12294" width="9" style="10"/>
    <col min="12295" max="12295" width="9.5" style="10" bestFit="1" customWidth="1"/>
    <col min="12296" max="12296" width="9" style="10"/>
    <col min="12297" max="12297" width="12.125" style="10" customWidth="1"/>
    <col min="12298" max="12550" width="9" style="10"/>
    <col min="12551" max="12551" width="9.5" style="10" bestFit="1" customWidth="1"/>
    <col min="12552" max="12552" width="9" style="10"/>
    <col min="12553" max="12553" width="12.125" style="10" customWidth="1"/>
    <col min="12554" max="12806" width="9" style="10"/>
    <col min="12807" max="12807" width="9.5" style="10" bestFit="1" customWidth="1"/>
    <col min="12808" max="12808" width="9" style="10"/>
    <col min="12809" max="12809" width="12.125" style="10" customWidth="1"/>
    <col min="12810" max="13062" width="9" style="10"/>
    <col min="13063" max="13063" width="9.5" style="10" bestFit="1" customWidth="1"/>
    <col min="13064" max="13064" width="9" style="10"/>
    <col min="13065" max="13065" width="12.125" style="10" customWidth="1"/>
    <col min="13066" max="13318" width="9" style="10"/>
    <col min="13319" max="13319" width="9.5" style="10" bestFit="1" customWidth="1"/>
    <col min="13320" max="13320" width="9" style="10"/>
    <col min="13321" max="13321" width="12.125" style="10" customWidth="1"/>
    <col min="13322" max="13574" width="9" style="10"/>
    <col min="13575" max="13575" width="9.5" style="10" bestFit="1" customWidth="1"/>
    <col min="13576" max="13576" width="9" style="10"/>
    <col min="13577" max="13577" width="12.125" style="10" customWidth="1"/>
    <col min="13578" max="13830" width="9" style="10"/>
    <col min="13831" max="13831" width="9.5" style="10" bestFit="1" customWidth="1"/>
    <col min="13832" max="13832" width="9" style="10"/>
    <col min="13833" max="13833" width="12.125" style="10" customWidth="1"/>
    <col min="13834" max="14086" width="9" style="10"/>
    <col min="14087" max="14087" width="9.5" style="10" bestFit="1" customWidth="1"/>
    <col min="14088" max="14088" width="9" style="10"/>
    <col min="14089" max="14089" width="12.125" style="10" customWidth="1"/>
    <col min="14090" max="14342" width="9" style="10"/>
    <col min="14343" max="14343" width="9.5" style="10" bestFit="1" customWidth="1"/>
    <col min="14344" max="14344" width="9" style="10"/>
    <col min="14345" max="14345" width="12.125" style="10" customWidth="1"/>
    <col min="14346" max="14598" width="9" style="10"/>
    <col min="14599" max="14599" width="9.5" style="10" bestFit="1" customWidth="1"/>
    <col min="14600" max="14600" width="9" style="10"/>
    <col min="14601" max="14601" width="12.125" style="10" customWidth="1"/>
    <col min="14602" max="14854" width="9" style="10"/>
    <col min="14855" max="14855" width="9.5" style="10" bestFit="1" customWidth="1"/>
    <col min="14856" max="14856" width="9" style="10"/>
    <col min="14857" max="14857" width="12.125" style="10" customWidth="1"/>
    <col min="14858" max="15110" width="9" style="10"/>
    <col min="15111" max="15111" width="9.5" style="10" bestFit="1" customWidth="1"/>
    <col min="15112" max="15112" width="9" style="10"/>
    <col min="15113" max="15113" width="12.125" style="10" customWidth="1"/>
    <col min="15114" max="15366" width="9" style="10"/>
    <col min="15367" max="15367" width="9.5" style="10" bestFit="1" customWidth="1"/>
    <col min="15368" max="15368" width="9" style="10"/>
    <col min="15369" max="15369" width="12.125" style="10" customWidth="1"/>
    <col min="15370" max="15622" width="9" style="10"/>
    <col min="15623" max="15623" width="9.5" style="10" bestFit="1" customWidth="1"/>
    <col min="15624" max="15624" width="9" style="10"/>
    <col min="15625" max="15625" width="12.125" style="10" customWidth="1"/>
    <col min="15626" max="15878" width="9" style="10"/>
    <col min="15879" max="15879" width="9.5" style="10" bestFit="1" customWidth="1"/>
    <col min="15880" max="15880" width="9" style="10"/>
    <col min="15881" max="15881" width="12.125" style="10" customWidth="1"/>
    <col min="15882" max="16134" width="9" style="10"/>
    <col min="16135" max="16135" width="9.5" style="10" bestFit="1" customWidth="1"/>
    <col min="16136" max="16136" width="9" style="10"/>
    <col min="16137" max="16137" width="12.125" style="10" customWidth="1"/>
    <col min="16138" max="16384" width="9" style="10"/>
  </cols>
  <sheetData>
    <row r="1" spans="1:9" x14ac:dyDescent="0.15">
      <c r="A1" s="10" t="s">
        <v>309</v>
      </c>
      <c r="C1" s="10" t="s">
        <v>310</v>
      </c>
      <c r="F1" s="153" t="s">
        <v>426</v>
      </c>
    </row>
    <row r="3" spans="1:9" x14ac:dyDescent="0.15">
      <c r="A3" s="10" t="s">
        <v>311</v>
      </c>
    </row>
    <row r="4" spans="1:9" x14ac:dyDescent="0.15">
      <c r="B4" s="239" t="s">
        <v>312</v>
      </c>
      <c r="C4" s="239"/>
      <c r="D4" s="239"/>
      <c r="E4" s="239"/>
      <c r="F4" s="239"/>
      <c r="G4" s="239"/>
      <c r="H4" s="239"/>
      <c r="I4" s="240" t="s">
        <v>484</v>
      </c>
    </row>
    <row r="5" spans="1:9" x14ac:dyDescent="0.15">
      <c r="B5" s="239"/>
      <c r="C5" s="239"/>
      <c r="D5" s="239"/>
      <c r="E5" s="239"/>
      <c r="F5" s="239"/>
      <c r="G5" s="239"/>
      <c r="H5" s="239"/>
      <c r="I5" s="240"/>
    </row>
    <row r="6" spans="1:9" x14ac:dyDescent="0.15">
      <c r="B6" s="241" t="s">
        <v>313</v>
      </c>
      <c r="C6" s="244" t="s">
        <v>314</v>
      </c>
      <c r="D6" s="244"/>
      <c r="E6" s="244"/>
      <c r="F6" s="244"/>
      <c r="G6" s="244"/>
      <c r="H6" s="244"/>
      <c r="I6" s="245">
        <f>3.9*10^4</f>
        <v>39000</v>
      </c>
    </row>
    <row r="7" spans="1:9" x14ac:dyDescent="0.15">
      <c r="B7" s="242"/>
      <c r="C7" s="244"/>
      <c r="D7" s="244"/>
      <c r="E7" s="244"/>
      <c r="F7" s="244"/>
      <c r="G7" s="244"/>
      <c r="H7" s="244"/>
      <c r="I7" s="245"/>
    </row>
    <row r="8" spans="1:9" x14ac:dyDescent="0.15">
      <c r="B8" s="242"/>
      <c r="C8" s="246" t="s">
        <v>315</v>
      </c>
      <c r="D8" s="246"/>
      <c r="E8" s="246"/>
      <c r="F8" s="246"/>
      <c r="G8" s="246"/>
      <c r="H8" s="246"/>
      <c r="I8" s="247">
        <f>2.9*10^4</f>
        <v>29000</v>
      </c>
    </row>
    <row r="9" spans="1:9" x14ac:dyDescent="0.15">
      <c r="B9" s="243"/>
      <c r="C9" s="246"/>
      <c r="D9" s="246"/>
      <c r="E9" s="246"/>
      <c r="F9" s="246"/>
      <c r="G9" s="246"/>
      <c r="H9" s="246"/>
      <c r="I9" s="247"/>
    </row>
    <row r="10" spans="1:9" x14ac:dyDescent="0.15">
      <c r="B10" s="225" t="s">
        <v>316</v>
      </c>
      <c r="C10" s="235" t="s">
        <v>317</v>
      </c>
      <c r="D10" s="236"/>
      <c r="E10" s="236"/>
      <c r="F10" s="236"/>
      <c r="G10" s="236"/>
      <c r="H10" s="237"/>
      <c r="I10" s="154">
        <f>2*10^4</f>
        <v>20000</v>
      </c>
    </row>
    <row r="11" spans="1:9" x14ac:dyDescent="0.15">
      <c r="B11" s="227"/>
      <c r="C11" s="235" t="s">
        <v>318</v>
      </c>
      <c r="D11" s="236"/>
      <c r="E11" s="236"/>
      <c r="F11" s="236"/>
      <c r="G11" s="236"/>
      <c r="H11" s="237"/>
      <c r="I11" s="154">
        <f>0.8*10^4</f>
        <v>8000</v>
      </c>
    </row>
    <row r="12" spans="1:9" x14ac:dyDescent="0.15">
      <c r="B12" s="10" t="s">
        <v>468</v>
      </c>
    </row>
    <row r="14" spans="1:9" x14ac:dyDescent="0.15">
      <c r="A14" s="10" t="s">
        <v>319</v>
      </c>
    </row>
    <row r="16" spans="1:9" ht="20.25" x14ac:dyDescent="0.15">
      <c r="B16" s="217" t="s">
        <v>320</v>
      </c>
      <c r="C16" s="217" t="s">
        <v>538</v>
      </c>
      <c r="D16" s="217"/>
    </row>
    <row r="17" spans="2:8" ht="20.25" x14ac:dyDescent="0.15">
      <c r="B17" s="217"/>
      <c r="C17" s="238" t="s">
        <v>536</v>
      </c>
      <c r="D17" s="238"/>
    </row>
    <row r="19" spans="2:8" x14ac:dyDescent="0.15">
      <c r="B19" s="10" t="s">
        <v>330</v>
      </c>
      <c r="C19" s="10" t="s">
        <v>485</v>
      </c>
      <c r="G19" s="155">
        <f>I8</f>
        <v>29000</v>
      </c>
      <c r="H19" s="10" t="s">
        <v>469</v>
      </c>
    </row>
    <row r="20" spans="2:8" x14ac:dyDescent="0.15">
      <c r="B20" s="10" t="s">
        <v>321</v>
      </c>
      <c r="C20" s="10" t="s">
        <v>322</v>
      </c>
    </row>
    <row r="21" spans="2:8" x14ac:dyDescent="0.15">
      <c r="B21" s="10" t="s">
        <v>537</v>
      </c>
      <c r="C21" s="10" t="s">
        <v>323</v>
      </c>
      <c r="G21" s="10">
        <f>+入力・結果!G22/1000</f>
        <v>0.1143</v>
      </c>
    </row>
    <row r="22" spans="2:8" x14ac:dyDescent="0.15">
      <c r="B22" s="10" t="s">
        <v>534</v>
      </c>
      <c r="C22" s="10" t="s">
        <v>324</v>
      </c>
      <c r="G22" s="10">
        <f>+入力・結果!F22</f>
        <v>1</v>
      </c>
    </row>
    <row r="23" spans="2:8" x14ac:dyDescent="0.15">
      <c r="B23" s="10" t="s">
        <v>535</v>
      </c>
      <c r="C23" s="10" t="s">
        <v>325</v>
      </c>
      <c r="G23" s="10">
        <f>+入力・結果!E22-0.2</f>
        <v>4.8</v>
      </c>
    </row>
    <row r="24" spans="2:8" x14ac:dyDescent="0.15">
      <c r="B24" s="10" t="s">
        <v>326</v>
      </c>
      <c r="C24" s="10" t="s">
        <v>327</v>
      </c>
      <c r="G24" s="10">
        <f>+入力・結果!F195/G23</f>
        <v>591.91250000000002</v>
      </c>
    </row>
    <row r="25" spans="2:8" x14ac:dyDescent="0.15">
      <c r="B25" s="10" t="s">
        <v>328</v>
      </c>
      <c r="C25" s="10" t="s">
        <v>329</v>
      </c>
      <c r="G25" s="10">
        <f>G22*2/3</f>
        <v>0.66666666666666663</v>
      </c>
    </row>
    <row r="26" spans="2:8" x14ac:dyDescent="0.15">
      <c r="C26" s="55" t="s">
        <v>559</v>
      </c>
    </row>
    <row r="29" spans="2:8" x14ac:dyDescent="0.15">
      <c r="C29" s="56" t="s">
        <v>331</v>
      </c>
      <c r="D29" s="57">
        <f>ROUND(G19*1000*G21*G22^4/(120*G24*(G23+G25)^2),2)</f>
        <v>1.56</v>
      </c>
      <c r="E29" s="57" t="s">
        <v>80</v>
      </c>
      <c r="F29" s="61">
        <v>2</v>
      </c>
      <c r="G29" s="57" t="s">
        <v>332</v>
      </c>
      <c r="H29" s="59" t="str">
        <f>IF(D29&lt;=2,"NG","OK")</f>
        <v>NG</v>
      </c>
    </row>
  </sheetData>
  <sheetProtection algorithmName="SHA-512" hashValue="eks65pjQYyalbHAunyLGLpd8yicbEASKXsW8BeNqJcRro1K5fcpVn3U297gz4eKujsyIOuiqccFDtFhR92vXtw==" saltValue="/cDgDU7lwQzJ8Qa7UKy7sA==" spinCount="100000" sheet="1" objects="1" scenarios="1"/>
  <protectedRanges>
    <protectedRange sqref="G19" name="範囲1"/>
  </protectedRanges>
  <mergeCells count="13">
    <mergeCell ref="B4:H5"/>
    <mergeCell ref="I4:I5"/>
    <mergeCell ref="B6:B9"/>
    <mergeCell ref="C6:H7"/>
    <mergeCell ref="I6:I7"/>
    <mergeCell ref="C8:H9"/>
    <mergeCell ref="I8:I9"/>
    <mergeCell ref="B10:B11"/>
    <mergeCell ref="C10:H10"/>
    <mergeCell ref="C11:H11"/>
    <mergeCell ref="B16:B17"/>
    <mergeCell ref="C16:D16"/>
    <mergeCell ref="C17:D17"/>
  </mergeCells>
  <phoneticPr fontId="2"/>
  <pageMargins left="0.7" right="0.7" top="0.75" bottom="0.75" header="0.3" footer="0.3"/>
  <pageSetup paperSize="9" scale="87"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1"/>
  <sheetViews>
    <sheetView showGridLines="0" topLeftCell="A45" zoomScale="85" zoomScaleNormal="85" workbookViewId="0">
      <selection activeCell="H23" sqref="H23"/>
    </sheetView>
  </sheetViews>
  <sheetFormatPr defaultRowHeight="18.75" x14ac:dyDescent="0.15"/>
  <cols>
    <col min="1" max="10" width="12" style="10" customWidth="1"/>
    <col min="11" max="256" width="9" style="10"/>
    <col min="257" max="265" width="11.125" style="10" customWidth="1"/>
    <col min="266" max="512" width="9" style="10"/>
    <col min="513" max="521" width="11.125" style="10" customWidth="1"/>
    <col min="522" max="768" width="9" style="10"/>
    <col min="769" max="777" width="11.125" style="10" customWidth="1"/>
    <col min="778" max="1024" width="9" style="10"/>
    <col min="1025" max="1033" width="11.125" style="10" customWidth="1"/>
    <col min="1034" max="1280" width="9" style="10"/>
    <col min="1281" max="1289" width="11.125" style="10" customWidth="1"/>
    <col min="1290" max="1536" width="9" style="10"/>
    <col min="1537" max="1545" width="11.125" style="10" customWidth="1"/>
    <col min="1546" max="1792" width="9" style="10"/>
    <col min="1793" max="1801" width="11.125" style="10" customWidth="1"/>
    <col min="1802" max="2048" width="9" style="10"/>
    <col min="2049" max="2057" width="11.125" style="10" customWidth="1"/>
    <col min="2058" max="2304" width="9" style="10"/>
    <col min="2305" max="2313" width="11.125" style="10" customWidth="1"/>
    <col min="2314" max="2560" width="9" style="10"/>
    <col min="2561" max="2569" width="11.125" style="10" customWidth="1"/>
    <col min="2570" max="2816" width="9" style="10"/>
    <col min="2817" max="2825" width="11.125" style="10" customWidth="1"/>
    <col min="2826" max="3072" width="9" style="10"/>
    <col min="3073" max="3081" width="11.125" style="10" customWidth="1"/>
    <col min="3082" max="3328" width="9" style="10"/>
    <col min="3329" max="3337" width="11.125" style="10" customWidth="1"/>
    <col min="3338" max="3584" width="9" style="10"/>
    <col min="3585" max="3593" width="11.125" style="10" customWidth="1"/>
    <col min="3594" max="3840" width="9" style="10"/>
    <col min="3841" max="3849" width="11.125" style="10" customWidth="1"/>
    <col min="3850" max="4096" width="9" style="10"/>
    <col min="4097" max="4105" width="11.125" style="10" customWidth="1"/>
    <col min="4106" max="4352" width="9" style="10"/>
    <col min="4353" max="4361" width="11.125" style="10" customWidth="1"/>
    <col min="4362" max="4608" width="9" style="10"/>
    <col min="4609" max="4617" width="11.125" style="10" customWidth="1"/>
    <col min="4618" max="4864" width="9" style="10"/>
    <col min="4865" max="4873" width="11.125" style="10" customWidth="1"/>
    <col min="4874" max="5120" width="9" style="10"/>
    <col min="5121" max="5129" width="11.125" style="10" customWidth="1"/>
    <col min="5130" max="5376" width="9" style="10"/>
    <col min="5377" max="5385" width="11.125" style="10" customWidth="1"/>
    <col min="5386" max="5632" width="9" style="10"/>
    <col min="5633" max="5641" width="11.125" style="10" customWidth="1"/>
    <col min="5642" max="5888" width="9" style="10"/>
    <col min="5889" max="5897" width="11.125" style="10" customWidth="1"/>
    <col min="5898" max="6144" width="9" style="10"/>
    <col min="6145" max="6153" width="11.125" style="10" customWidth="1"/>
    <col min="6154" max="6400" width="9" style="10"/>
    <col min="6401" max="6409" width="11.125" style="10" customWidth="1"/>
    <col min="6410" max="6656" width="9" style="10"/>
    <col min="6657" max="6665" width="11.125" style="10" customWidth="1"/>
    <col min="6666" max="6912" width="9" style="10"/>
    <col min="6913" max="6921" width="11.125" style="10" customWidth="1"/>
    <col min="6922" max="7168" width="9" style="10"/>
    <col min="7169" max="7177" width="11.125" style="10" customWidth="1"/>
    <col min="7178" max="7424" width="9" style="10"/>
    <col min="7425" max="7433" width="11.125" style="10" customWidth="1"/>
    <col min="7434" max="7680" width="9" style="10"/>
    <col min="7681" max="7689" width="11.125" style="10" customWidth="1"/>
    <col min="7690" max="7936" width="9" style="10"/>
    <col min="7937" max="7945" width="11.125" style="10" customWidth="1"/>
    <col min="7946" max="8192" width="9" style="10"/>
    <col min="8193" max="8201" width="11.125" style="10" customWidth="1"/>
    <col min="8202" max="8448" width="9" style="10"/>
    <col min="8449" max="8457" width="11.125" style="10" customWidth="1"/>
    <col min="8458" max="8704" width="9" style="10"/>
    <col min="8705" max="8713" width="11.125" style="10" customWidth="1"/>
    <col min="8714" max="8960" width="9" style="10"/>
    <col min="8961" max="8969" width="11.125" style="10" customWidth="1"/>
    <col min="8970" max="9216" width="9" style="10"/>
    <col min="9217" max="9225" width="11.125" style="10" customWidth="1"/>
    <col min="9226" max="9472" width="9" style="10"/>
    <col min="9473" max="9481" width="11.125" style="10" customWidth="1"/>
    <col min="9482" max="9728" width="9" style="10"/>
    <col min="9729" max="9737" width="11.125" style="10" customWidth="1"/>
    <col min="9738" max="9984" width="9" style="10"/>
    <col min="9985" max="9993" width="11.125" style="10" customWidth="1"/>
    <col min="9994" max="10240" width="9" style="10"/>
    <col min="10241" max="10249" width="11.125" style="10" customWidth="1"/>
    <col min="10250" max="10496" width="9" style="10"/>
    <col min="10497" max="10505" width="11.125" style="10" customWidth="1"/>
    <col min="10506" max="10752" width="9" style="10"/>
    <col min="10753" max="10761" width="11.125" style="10" customWidth="1"/>
    <col min="10762" max="11008" width="9" style="10"/>
    <col min="11009" max="11017" width="11.125" style="10" customWidth="1"/>
    <col min="11018" max="11264" width="9" style="10"/>
    <col min="11265" max="11273" width="11.125" style="10" customWidth="1"/>
    <col min="11274" max="11520" width="9" style="10"/>
    <col min="11521" max="11529" width="11.125" style="10" customWidth="1"/>
    <col min="11530" max="11776" width="9" style="10"/>
    <col min="11777" max="11785" width="11.125" style="10" customWidth="1"/>
    <col min="11786" max="12032" width="9" style="10"/>
    <col min="12033" max="12041" width="11.125" style="10" customWidth="1"/>
    <col min="12042" max="12288" width="9" style="10"/>
    <col min="12289" max="12297" width="11.125" style="10" customWidth="1"/>
    <col min="12298" max="12544" width="9" style="10"/>
    <col min="12545" max="12553" width="11.125" style="10" customWidth="1"/>
    <col min="12554" max="12800" width="9" style="10"/>
    <col min="12801" max="12809" width="11.125" style="10" customWidth="1"/>
    <col min="12810" max="13056" width="9" style="10"/>
    <col min="13057" max="13065" width="11.125" style="10" customWidth="1"/>
    <col min="13066" max="13312" width="9" style="10"/>
    <col min="13313" max="13321" width="11.125" style="10" customWidth="1"/>
    <col min="13322" max="13568" width="9" style="10"/>
    <col min="13569" max="13577" width="11.125" style="10" customWidth="1"/>
    <col min="13578" max="13824" width="9" style="10"/>
    <col min="13825" max="13833" width="11.125" style="10" customWidth="1"/>
    <col min="13834" max="14080" width="9" style="10"/>
    <col min="14081" max="14089" width="11.125" style="10" customWidth="1"/>
    <col min="14090" max="14336" width="9" style="10"/>
    <col min="14337" max="14345" width="11.125" style="10" customWidth="1"/>
    <col min="14346" max="14592" width="9" style="10"/>
    <col min="14593" max="14601" width="11.125" style="10" customWidth="1"/>
    <col min="14602" max="14848" width="9" style="10"/>
    <col min="14849" max="14857" width="11.125" style="10" customWidth="1"/>
    <col min="14858" max="15104" width="9" style="10"/>
    <col min="15105" max="15113" width="11.125" style="10" customWidth="1"/>
    <col min="15114" max="15360" width="9" style="10"/>
    <col min="15361" max="15369" width="11.125" style="10" customWidth="1"/>
    <col min="15370" max="15616" width="9" style="10"/>
    <col min="15617" max="15625" width="11.125" style="10" customWidth="1"/>
    <col min="15626" max="15872" width="9" style="10"/>
    <col min="15873" max="15881" width="11.125" style="10" customWidth="1"/>
    <col min="15882" max="16128" width="9" style="10"/>
    <col min="16129" max="16137" width="11.125" style="10" customWidth="1"/>
    <col min="16138" max="16384" width="9" style="10"/>
  </cols>
  <sheetData>
    <row r="1" spans="1:9" x14ac:dyDescent="0.15">
      <c r="A1" s="10" t="s">
        <v>309</v>
      </c>
      <c r="C1" s="10" t="s">
        <v>333</v>
      </c>
      <c r="F1" s="153" t="s">
        <v>426</v>
      </c>
    </row>
    <row r="3" spans="1:9" x14ac:dyDescent="0.15">
      <c r="A3" s="10" t="s">
        <v>311</v>
      </c>
    </row>
    <row r="4" spans="1:9" ht="13.5" customHeight="1" x14ac:dyDescent="0.15">
      <c r="B4" s="239" t="s">
        <v>312</v>
      </c>
      <c r="C4" s="239"/>
      <c r="D4" s="239"/>
      <c r="E4" s="239"/>
      <c r="F4" s="239"/>
      <c r="G4" s="239"/>
      <c r="H4" s="239"/>
      <c r="I4" s="240" t="s">
        <v>486</v>
      </c>
    </row>
    <row r="5" spans="1:9" x14ac:dyDescent="0.15">
      <c r="B5" s="239"/>
      <c r="C5" s="239"/>
      <c r="D5" s="239"/>
      <c r="E5" s="239"/>
      <c r="F5" s="239"/>
      <c r="G5" s="239"/>
      <c r="H5" s="239"/>
      <c r="I5" s="240"/>
    </row>
    <row r="6" spans="1:9" x14ac:dyDescent="0.15">
      <c r="B6" s="241" t="s">
        <v>313</v>
      </c>
      <c r="C6" s="244" t="s">
        <v>314</v>
      </c>
      <c r="D6" s="244"/>
      <c r="E6" s="244"/>
      <c r="F6" s="244"/>
      <c r="G6" s="244"/>
      <c r="H6" s="244"/>
      <c r="I6" s="245">
        <f>3.9*10^4</f>
        <v>39000</v>
      </c>
    </row>
    <row r="7" spans="1:9" x14ac:dyDescent="0.15">
      <c r="B7" s="242"/>
      <c r="C7" s="244"/>
      <c r="D7" s="244"/>
      <c r="E7" s="244"/>
      <c r="F7" s="244"/>
      <c r="G7" s="244"/>
      <c r="H7" s="244"/>
      <c r="I7" s="245"/>
    </row>
    <row r="8" spans="1:9" ht="13.5" customHeight="1" x14ac:dyDescent="0.15">
      <c r="B8" s="242"/>
      <c r="C8" s="246" t="s">
        <v>315</v>
      </c>
      <c r="D8" s="246"/>
      <c r="E8" s="246"/>
      <c r="F8" s="246"/>
      <c r="G8" s="246"/>
      <c r="H8" s="246"/>
      <c r="I8" s="247">
        <f>2.9*10^4</f>
        <v>29000</v>
      </c>
    </row>
    <row r="9" spans="1:9" x14ac:dyDescent="0.15">
      <c r="B9" s="243"/>
      <c r="C9" s="246"/>
      <c r="D9" s="246"/>
      <c r="E9" s="246"/>
      <c r="F9" s="246"/>
      <c r="G9" s="246"/>
      <c r="H9" s="246"/>
      <c r="I9" s="247"/>
    </row>
    <row r="10" spans="1:9" x14ac:dyDescent="0.15">
      <c r="B10" s="225" t="s">
        <v>316</v>
      </c>
      <c r="C10" s="235" t="s">
        <v>317</v>
      </c>
      <c r="D10" s="236"/>
      <c r="E10" s="236"/>
      <c r="F10" s="236"/>
      <c r="G10" s="236"/>
      <c r="H10" s="237"/>
      <c r="I10" s="154">
        <f>2*10^4</f>
        <v>20000</v>
      </c>
    </row>
    <row r="11" spans="1:9" x14ac:dyDescent="0.15">
      <c r="B11" s="227"/>
      <c r="C11" s="235" t="s">
        <v>334</v>
      </c>
      <c r="D11" s="236"/>
      <c r="E11" s="236"/>
      <c r="F11" s="236"/>
      <c r="G11" s="236"/>
      <c r="H11" s="237"/>
      <c r="I11" s="154">
        <f>0.8*10^4</f>
        <v>8000</v>
      </c>
    </row>
    <row r="12" spans="1:9" x14ac:dyDescent="0.15">
      <c r="B12" s="10" t="s">
        <v>468</v>
      </c>
    </row>
    <row r="14" spans="1:9" x14ac:dyDescent="0.15">
      <c r="A14" s="10" t="s">
        <v>319</v>
      </c>
    </row>
    <row r="16" spans="1:9" ht="20.25" x14ac:dyDescent="0.15">
      <c r="B16" s="217" t="s">
        <v>331</v>
      </c>
      <c r="C16" s="217" t="s">
        <v>548</v>
      </c>
      <c r="D16" s="217"/>
    </row>
    <row r="17" spans="2:8" ht="20.25" x14ac:dyDescent="0.15">
      <c r="B17" s="217"/>
      <c r="C17" s="238" t="s">
        <v>549</v>
      </c>
      <c r="D17" s="238"/>
    </row>
    <row r="19" spans="2:8" x14ac:dyDescent="0.15">
      <c r="B19" s="10" t="s">
        <v>330</v>
      </c>
      <c r="C19" s="10" t="s">
        <v>485</v>
      </c>
      <c r="G19" s="156">
        <f>+I8</f>
        <v>29000</v>
      </c>
      <c r="H19" s="10" t="s">
        <v>469</v>
      </c>
    </row>
    <row r="20" spans="2:8" x14ac:dyDescent="0.15">
      <c r="B20" s="10" t="s">
        <v>335</v>
      </c>
      <c r="C20" s="10" t="s">
        <v>322</v>
      </c>
    </row>
    <row r="21" spans="2:8" x14ac:dyDescent="0.15">
      <c r="B21" s="10" t="s">
        <v>537</v>
      </c>
      <c r="C21" s="10" t="s">
        <v>323</v>
      </c>
      <c r="G21" s="10">
        <f>入力・結果!G22/1000</f>
        <v>0.1143</v>
      </c>
    </row>
    <row r="22" spans="2:8" x14ac:dyDescent="0.15">
      <c r="B22" s="10" t="s">
        <v>539</v>
      </c>
      <c r="C22" s="10" t="s">
        <v>324</v>
      </c>
      <c r="G22" s="10">
        <f>+入力・結果!F22</f>
        <v>1</v>
      </c>
    </row>
    <row r="23" spans="2:8" x14ac:dyDescent="0.15">
      <c r="B23" s="10" t="s">
        <v>540</v>
      </c>
      <c r="C23" s="10" t="s">
        <v>325</v>
      </c>
      <c r="G23" s="10">
        <f>+入力・結果!E22-0.2</f>
        <v>4.8</v>
      </c>
    </row>
    <row r="24" spans="2:8" x14ac:dyDescent="0.15">
      <c r="B24" s="10" t="s">
        <v>326</v>
      </c>
      <c r="C24" s="10" t="s">
        <v>327</v>
      </c>
      <c r="G24" s="10">
        <f>+入力・結果!F195/G23</f>
        <v>591.91250000000002</v>
      </c>
    </row>
    <row r="25" spans="2:8" x14ac:dyDescent="0.15">
      <c r="B25" s="10" t="s">
        <v>541</v>
      </c>
      <c r="C25" s="10" t="s">
        <v>336</v>
      </c>
      <c r="G25" s="19">
        <f>+入力・結果!G46</f>
        <v>0.25</v>
      </c>
    </row>
    <row r="26" spans="2:8" x14ac:dyDescent="0.15">
      <c r="B26" s="10" t="s">
        <v>487</v>
      </c>
      <c r="C26" s="10" t="s">
        <v>329</v>
      </c>
      <c r="G26" s="10">
        <f>2/3*(G22^2+3*G34/G35*G25^2)/(G22+2*G34/G35*G25)</f>
        <v>0.52664023699573059</v>
      </c>
    </row>
    <row r="27" spans="2:8" x14ac:dyDescent="0.15">
      <c r="C27" s="55"/>
    </row>
    <row r="28" spans="2:8" ht="20.25" x14ac:dyDescent="0.15">
      <c r="C28" s="248" t="s">
        <v>337</v>
      </c>
      <c r="D28" s="202" t="s">
        <v>488</v>
      </c>
      <c r="E28" s="202"/>
    </row>
    <row r="29" spans="2:8" x14ac:dyDescent="0.15">
      <c r="C29" s="248"/>
      <c r="D29" s="249" t="s">
        <v>489</v>
      </c>
      <c r="E29" s="249"/>
    </row>
    <row r="30" spans="2:8" x14ac:dyDescent="0.15">
      <c r="C30" s="55"/>
    </row>
    <row r="31" spans="2:8" x14ac:dyDescent="0.15">
      <c r="C31" s="55" t="s">
        <v>338</v>
      </c>
      <c r="D31" s="10" t="s">
        <v>490</v>
      </c>
      <c r="E31" s="10" t="s">
        <v>337</v>
      </c>
      <c r="G31" s="10">
        <f>+G34/G35</f>
        <v>1.0123359580052493</v>
      </c>
    </row>
    <row r="32" spans="2:8" x14ac:dyDescent="0.15">
      <c r="B32" s="10" t="s">
        <v>542</v>
      </c>
      <c r="C32" s="55" t="s">
        <v>339</v>
      </c>
      <c r="G32" s="19">
        <f>+入力・結果!G44</f>
        <v>0.5</v>
      </c>
    </row>
    <row r="33" spans="2:8" x14ac:dyDescent="0.15">
      <c r="B33" s="10" t="s">
        <v>544</v>
      </c>
      <c r="C33" s="55" t="s">
        <v>340</v>
      </c>
      <c r="G33" s="19">
        <f>+入力・結果!G45</f>
        <v>0.3</v>
      </c>
    </row>
    <row r="34" spans="2:8" x14ac:dyDescent="0.15">
      <c r="B34" s="10" t="s">
        <v>341</v>
      </c>
      <c r="C34" s="55" t="s">
        <v>543</v>
      </c>
      <c r="G34" s="10">
        <f>(G32-G21)*G33</f>
        <v>0.11570999999999999</v>
      </c>
    </row>
    <row r="35" spans="2:8" x14ac:dyDescent="0.15">
      <c r="B35" s="10" t="s">
        <v>491</v>
      </c>
      <c r="C35" s="55" t="s">
        <v>545</v>
      </c>
      <c r="G35" s="10">
        <f>+G21*G22</f>
        <v>0.1143</v>
      </c>
    </row>
    <row r="37" spans="2:8" ht="20.25" x14ac:dyDescent="0.15">
      <c r="C37" s="10" t="s">
        <v>492</v>
      </c>
      <c r="G37" s="10">
        <f>1/12*(6*G38^2-8*G38+3)</f>
        <v>3.758147828097258E-2</v>
      </c>
    </row>
    <row r="38" spans="2:8" x14ac:dyDescent="0.15">
      <c r="C38" s="10" t="s">
        <v>546</v>
      </c>
      <c r="G38" s="10">
        <f>+G26/G22</f>
        <v>0.52664023699573059</v>
      </c>
    </row>
    <row r="39" spans="2:8" x14ac:dyDescent="0.15">
      <c r="C39" s="10" t="s">
        <v>547</v>
      </c>
      <c r="G39" s="10">
        <f>(G26-G25)^2*G25</f>
        <v>1.9132455181263497E-2</v>
      </c>
    </row>
    <row r="41" spans="2:8" x14ac:dyDescent="0.15">
      <c r="C41" s="56" t="s">
        <v>331</v>
      </c>
      <c r="D41" s="57">
        <f>ROUND(0.3*G19*1000*(G21*G37*G22^4+G34*G39)/(G24*(G23+G26)^2),2)</f>
        <v>3.37</v>
      </c>
      <c r="E41" s="57" t="s">
        <v>342</v>
      </c>
      <c r="F41" s="61">
        <v>2</v>
      </c>
      <c r="G41" s="57" t="s">
        <v>332</v>
      </c>
      <c r="H41" s="59" t="str">
        <f>IF(D41&lt;=2,"NG","OK")</f>
        <v>OK</v>
      </c>
    </row>
  </sheetData>
  <sheetProtection algorithmName="SHA-512" hashValue="0JbKuT66fzsgIZ3ky/57iLe2AySG5QNsRcS4B0rsdzA16eQpC1yZhUzMD9+kBY7eJWRCXSwOuliAdDbeySBH/g==" saltValue="K7RP/njlGhZzC1kX1Q41+A==" spinCount="100000" sheet="1" objects="1" scenarios="1"/>
  <protectedRanges>
    <protectedRange sqref="G19" name="範囲1"/>
  </protectedRanges>
  <mergeCells count="16">
    <mergeCell ref="B4:H5"/>
    <mergeCell ref="I4:I5"/>
    <mergeCell ref="B6:B9"/>
    <mergeCell ref="C6:H7"/>
    <mergeCell ref="I6:I7"/>
    <mergeCell ref="C8:H9"/>
    <mergeCell ref="I8:I9"/>
    <mergeCell ref="C28:C29"/>
    <mergeCell ref="D28:E28"/>
    <mergeCell ref="D29:E29"/>
    <mergeCell ref="B10:B11"/>
    <mergeCell ref="C10:H10"/>
    <mergeCell ref="C11:H11"/>
    <mergeCell ref="B16:B17"/>
    <mergeCell ref="C16:D16"/>
    <mergeCell ref="C17:D17"/>
  </mergeCells>
  <phoneticPr fontId="2"/>
  <pageMargins left="0.7" right="0.7" top="0.75" bottom="0.75" header="0.3" footer="0.3"/>
  <pageSetup paperSize="9" scale="7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2"/>
  <sheetViews>
    <sheetView showGridLines="0" topLeftCell="A58" zoomScale="85" zoomScaleNormal="85" workbookViewId="0">
      <selection activeCell="H25" sqref="H25"/>
    </sheetView>
  </sheetViews>
  <sheetFormatPr defaultRowHeight="18.75" x14ac:dyDescent="0.15"/>
  <cols>
    <col min="1" max="11" width="11.25" style="10" customWidth="1"/>
    <col min="12" max="13" width="9" style="10"/>
    <col min="14" max="14" width="15.375" style="10" bestFit="1" customWidth="1"/>
    <col min="15" max="259" width="9" style="10"/>
    <col min="260" max="260" width="9.625" style="10" customWidth="1"/>
    <col min="261" max="264" width="9" style="10"/>
    <col min="265" max="265" width="9.5" style="10" bestFit="1" customWidth="1"/>
    <col min="266" max="266" width="9.875" style="10" customWidth="1"/>
    <col min="267" max="269" width="9" style="10"/>
    <col min="270" max="270" width="15.375" style="10" bestFit="1" customWidth="1"/>
    <col min="271" max="515" width="9" style="10"/>
    <col min="516" max="516" width="9.625" style="10" customWidth="1"/>
    <col min="517" max="520" width="9" style="10"/>
    <col min="521" max="521" width="9.5" style="10" bestFit="1" customWidth="1"/>
    <col min="522" max="522" width="9.875" style="10" customWidth="1"/>
    <col min="523" max="525" width="9" style="10"/>
    <col min="526" max="526" width="15.375" style="10" bestFit="1" customWidth="1"/>
    <col min="527" max="771" width="9" style="10"/>
    <col min="772" max="772" width="9.625" style="10" customWidth="1"/>
    <col min="773" max="776" width="9" style="10"/>
    <col min="777" max="777" width="9.5" style="10" bestFit="1" customWidth="1"/>
    <col min="778" max="778" width="9.875" style="10" customWidth="1"/>
    <col min="779" max="781" width="9" style="10"/>
    <col min="782" max="782" width="15.375" style="10" bestFit="1" customWidth="1"/>
    <col min="783" max="1027" width="9" style="10"/>
    <col min="1028" max="1028" width="9.625" style="10" customWidth="1"/>
    <col min="1029" max="1032" width="9" style="10"/>
    <col min="1033" max="1033" width="9.5" style="10" bestFit="1" customWidth="1"/>
    <col min="1034" max="1034" width="9.875" style="10" customWidth="1"/>
    <col min="1035" max="1037" width="9" style="10"/>
    <col min="1038" max="1038" width="15.375" style="10" bestFit="1" customWidth="1"/>
    <col min="1039" max="1283" width="9" style="10"/>
    <col min="1284" max="1284" width="9.625" style="10" customWidth="1"/>
    <col min="1285" max="1288" width="9" style="10"/>
    <col min="1289" max="1289" width="9.5" style="10" bestFit="1" customWidth="1"/>
    <col min="1290" max="1290" width="9.875" style="10" customWidth="1"/>
    <col min="1291" max="1293" width="9" style="10"/>
    <col min="1294" max="1294" width="15.375" style="10" bestFit="1" customWidth="1"/>
    <col min="1295" max="1539" width="9" style="10"/>
    <col min="1540" max="1540" width="9.625" style="10" customWidth="1"/>
    <col min="1541" max="1544" width="9" style="10"/>
    <col min="1545" max="1545" width="9.5" style="10" bestFit="1" customWidth="1"/>
    <col min="1546" max="1546" width="9.875" style="10" customWidth="1"/>
    <col min="1547" max="1549" width="9" style="10"/>
    <col min="1550" max="1550" width="15.375" style="10" bestFit="1" customWidth="1"/>
    <col min="1551" max="1795" width="9" style="10"/>
    <col min="1796" max="1796" width="9.625" style="10" customWidth="1"/>
    <col min="1797" max="1800" width="9" style="10"/>
    <col min="1801" max="1801" width="9.5" style="10" bestFit="1" customWidth="1"/>
    <col min="1802" max="1802" width="9.875" style="10" customWidth="1"/>
    <col min="1803" max="1805" width="9" style="10"/>
    <col min="1806" max="1806" width="15.375" style="10" bestFit="1" customWidth="1"/>
    <col min="1807" max="2051" width="9" style="10"/>
    <col min="2052" max="2052" width="9.625" style="10" customWidth="1"/>
    <col min="2053" max="2056" width="9" style="10"/>
    <col min="2057" max="2057" width="9.5" style="10" bestFit="1" customWidth="1"/>
    <col min="2058" max="2058" width="9.875" style="10" customWidth="1"/>
    <col min="2059" max="2061" width="9" style="10"/>
    <col min="2062" max="2062" width="15.375" style="10" bestFit="1" customWidth="1"/>
    <col min="2063" max="2307" width="9" style="10"/>
    <col min="2308" max="2308" width="9.625" style="10" customWidth="1"/>
    <col min="2309" max="2312" width="9" style="10"/>
    <col min="2313" max="2313" width="9.5" style="10" bestFit="1" customWidth="1"/>
    <col min="2314" max="2314" width="9.875" style="10" customWidth="1"/>
    <col min="2315" max="2317" width="9" style="10"/>
    <col min="2318" max="2318" width="15.375" style="10" bestFit="1" customWidth="1"/>
    <col min="2319" max="2563" width="9" style="10"/>
    <col min="2564" max="2564" width="9.625" style="10" customWidth="1"/>
    <col min="2565" max="2568" width="9" style="10"/>
    <col min="2569" max="2569" width="9.5" style="10" bestFit="1" customWidth="1"/>
    <col min="2570" max="2570" width="9.875" style="10" customWidth="1"/>
    <col min="2571" max="2573" width="9" style="10"/>
    <col min="2574" max="2574" width="15.375" style="10" bestFit="1" customWidth="1"/>
    <col min="2575" max="2819" width="9" style="10"/>
    <col min="2820" max="2820" width="9.625" style="10" customWidth="1"/>
    <col min="2821" max="2824" width="9" style="10"/>
    <col min="2825" max="2825" width="9.5" style="10" bestFit="1" customWidth="1"/>
    <col min="2826" max="2826" width="9.875" style="10" customWidth="1"/>
    <col min="2827" max="2829" width="9" style="10"/>
    <col min="2830" max="2830" width="15.375" style="10" bestFit="1" customWidth="1"/>
    <col min="2831" max="3075" width="9" style="10"/>
    <col min="3076" max="3076" width="9.625" style="10" customWidth="1"/>
    <col min="3077" max="3080" width="9" style="10"/>
    <col min="3081" max="3081" width="9.5" style="10" bestFit="1" customWidth="1"/>
    <col min="3082" max="3082" width="9.875" style="10" customWidth="1"/>
    <col min="3083" max="3085" width="9" style="10"/>
    <col min="3086" max="3086" width="15.375" style="10" bestFit="1" customWidth="1"/>
    <col min="3087" max="3331" width="9" style="10"/>
    <col min="3332" max="3332" width="9.625" style="10" customWidth="1"/>
    <col min="3333" max="3336" width="9" style="10"/>
    <col min="3337" max="3337" width="9.5" style="10" bestFit="1" customWidth="1"/>
    <col min="3338" max="3338" width="9.875" style="10" customWidth="1"/>
    <col min="3339" max="3341" width="9" style="10"/>
    <col min="3342" max="3342" width="15.375" style="10" bestFit="1" customWidth="1"/>
    <col min="3343" max="3587" width="9" style="10"/>
    <col min="3588" max="3588" width="9.625" style="10" customWidth="1"/>
    <col min="3589" max="3592" width="9" style="10"/>
    <col min="3593" max="3593" width="9.5" style="10" bestFit="1" customWidth="1"/>
    <col min="3594" max="3594" width="9.875" style="10" customWidth="1"/>
    <col min="3595" max="3597" width="9" style="10"/>
    <col min="3598" max="3598" width="15.375" style="10" bestFit="1" customWidth="1"/>
    <col min="3599" max="3843" width="9" style="10"/>
    <col min="3844" max="3844" width="9.625" style="10" customWidth="1"/>
    <col min="3845" max="3848" width="9" style="10"/>
    <col min="3849" max="3849" width="9.5" style="10" bestFit="1" customWidth="1"/>
    <col min="3850" max="3850" width="9.875" style="10" customWidth="1"/>
    <col min="3851" max="3853" width="9" style="10"/>
    <col min="3854" max="3854" width="15.375" style="10" bestFit="1" customWidth="1"/>
    <col min="3855" max="4099" width="9" style="10"/>
    <col min="4100" max="4100" width="9.625" style="10" customWidth="1"/>
    <col min="4101" max="4104" width="9" style="10"/>
    <col min="4105" max="4105" width="9.5" style="10" bestFit="1" customWidth="1"/>
    <col min="4106" max="4106" width="9.875" style="10" customWidth="1"/>
    <col min="4107" max="4109" width="9" style="10"/>
    <col min="4110" max="4110" width="15.375" style="10" bestFit="1" customWidth="1"/>
    <col min="4111" max="4355" width="9" style="10"/>
    <col min="4356" max="4356" width="9.625" style="10" customWidth="1"/>
    <col min="4357" max="4360" width="9" style="10"/>
    <col min="4361" max="4361" width="9.5" style="10" bestFit="1" customWidth="1"/>
    <col min="4362" max="4362" width="9.875" style="10" customWidth="1"/>
    <col min="4363" max="4365" width="9" style="10"/>
    <col min="4366" max="4366" width="15.375" style="10" bestFit="1" customWidth="1"/>
    <col min="4367" max="4611" width="9" style="10"/>
    <col min="4612" max="4612" width="9.625" style="10" customWidth="1"/>
    <col min="4613" max="4616" width="9" style="10"/>
    <col min="4617" max="4617" width="9.5" style="10" bestFit="1" customWidth="1"/>
    <col min="4618" max="4618" width="9.875" style="10" customWidth="1"/>
    <col min="4619" max="4621" width="9" style="10"/>
    <col min="4622" max="4622" width="15.375" style="10" bestFit="1" customWidth="1"/>
    <col min="4623" max="4867" width="9" style="10"/>
    <col min="4868" max="4868" width="9.625" style="10" customWidth="1"/>
    <col min="4869" max="4872" width="9" style="10"/>
    <col min="4873" max="4873" width="9.5" style="10" bestFit="1" customWidth="1"/>
    <col min="4874" max="4874" width="9.875" style="10" customWidth="1"/>
    <col min="4875" max="4877" width="9" style="10"/>
    <col min="4878" max="4878" width="15.375" style="10" bestFit="1" customWidth="1"/>
    <col min="4879" max="5123" width="9" style="10"/>
    <col min="5124" max="5124" width="9.625" style="10" customWidth="1"/>
    <col min="5125" max="5128" width="9" style="10"/>
    <col min="5129" max="5129" width="9.5" style="10" bestFit="1" customWidth="1"/>
    <col min="5130" max="5130" width="9.875" style="10" customWidth="1"/>
    <col min="5131" max="5133" width="9" style="10"/>
    <col min="5134" max="5134" width="15.375" style="10" bestFit="1" customWidth="1"/>
    <col min="5135" max="5379" width="9" style="10"/>
    <col min="5380" max="5380" width="9.625" style="10" customWidth="1"/>
    <col min="5381" max="5384" width="9" style="10"/>
    <col min="5385" max="5385" width="9.5" style="10" bestFit="1" customWidth="1"/>
    <col min="5386" max="5386" width="9.875" style="10" customWidth="1"/>
    <col min="5387" max="5389" width="9" style="10"/>
    <col min="5390" max="5390" width="15.375" style="10" bestFit="1" customWidth="1"/>
    <col min="5391" max="5635" width="9" style="10"/>
    <col min="5636" max="5636" width="9.625" style="10" customWidth="1"/>
    <col min="5637" max="5640" width="9" style="10"/>
    <col min="5641" max="5641" width="9.5" style="10" bestFit="1" customWidth="1"/>
    <col min="5642" max="5642" width="9.875" style="10" customWidth="1"/>
    <col min="5643" max="5645" width="9" style="10"/>
    <col min="5646" max="5646" width="15.375" style="10" bestFit="1" customWidth="1"/>
    <col min="5647" max="5891" width="9" style="10"/>
    <col min="5892" max="5892" width="9.625" style="10" customWidth="1"/>
    <col min="5893" max="5896" width="9" style="10"/>
    <col min="5897" max="5897" width="9.5" style="10" bestFit="1" customWidth="1"/>
    <col min="5898" max="5898" width="9.875" style="10" customWidth="1"/>
    <col min="5899" max="5901" width="9" style="10"/>
    <col min="5902" max="5902" width="15.375" style="10" bestFit="1" customWidth="1"/>
    <col min="5903" max="6147" width="9" style="10"/>
    <col min="6148" max="6148" width="9.625" style="10" customWidth="1"/>
    <col min="6149" max="6152" width="9" style="10"/>
    <col min="6153" max="6153" width="9.5" style="10" bestFit="1" customWidth="1"/>
    <col min="6154" max="6154" width="9.875" style="10" customWidth="1"/>
    <col min="6155" max="6157" width="9" style="10"/>
    <col min="6158" max="6158" width="15.375" style="10" bestFit="1" customWidth="1"/>
    <col min="6159" max="6403" width="9" style="10"/>
    <col min="6404" max="6404" width="9.625" style="10" customWidth="1"/>
    <col min="6405" max="6408" width="9" style="10"/>
    <col min="6409" max="6409" width="9.5" style="10" bestFit="1" customWidth="1"/>
    <col min="6410" max="6410" width="9.875" style="10" customWidth="1"/>
    <col min="6411" max="6413" width="9" style="10"/>
    <col min="6414" max="6414" width="15.375" style="10" bestFit="1" customWidth="1"/>
    <col min="6415" max="6659" width="9" style="10"/>
    <col min="6660" max="6660" width="9.625" style="10" customWidth="1"/>
    <col min="6661" max="6664" width="9" style="10"/>
    <col min="6665" max="6665" width="9.5" style="10" bestFit="1" customWidth="1"/>
    <col min="6666" max="6666" width="9.875" style="10" customWidth="1"/>
    <col min="6667" max="6669" width="9" style="10"/>
    <col min="6670" max="6670" width="15.375" style="10" bestFit="1" customWidth="1"/>
    <col min="6671" max="6915" width="9" style="10"/>
    <col min="6916" max="6916" width="9.625" style="10" customWidth="1"/>
    <col min="6917" max="6920" width="9" style="10"/>
    <col min="6921" max="6921" width="9.5" style="10" bestFit="1" customWidth="1"/>
    <col min="6922" max="6922" width="9.875" style="10" customWidth="1"/>
    <col min="6923" max="6925" width="9" style="10"/>
    <col min="6926" max="6926" width="15.375" style="10" bestFit="1" customWidth="1"/>
    <col min="6927" max="7171" width="9" style="10"/>
    <col min="7172" max="7172" width="9.625" style="10" customWidth="1"/>
    <col min="7173" max="7176" width="9" style="10"/>
    <col min="7177" max="7177" width="9.5" style="10" bestFit="1" customWidth="1"/>
    <col min="7178" max="7178" width="9.875" style="10" customWidth="1"/>
    <col min="7179" max="7181" width="9" style="10"/>
    <col min="7182" max="7182" width="15.375" style="10" bestFit="1" customWidth="1"/>
    <col min="7183" max="7427" width="9" style="10"/>
    <col min="7428" max="7428" width="9.625" style="10" customWidth="1"/>
    <col min="7429" max="7432" width="9" style="10"/>
    <col min="7433" max="7433" width="9.5" style="10" bestFit="1" customWidth="1"/>
    <col min="7434" max="7434" width="9.875" style="10" customWidth="1"/>
    <col min="7435" max="7437" width="9" style="10"/>
    <col min="7438" max="7438" width="15.375" style="10" bestFit="1" customWidth="1"/>
    <col min="7439" max="7683" width="9" style="10"/>
    <col min="7684" max="7684" width="9.625" style="10" customWidth="1"/>
    <col min="7685" max="7688" width="9" style="10"/>
    <col min="7689" max="7689" width="9.5" style="10" bestFit="1" customWidth="1"/>
    <col min="7690" max="7690" width="9.875" style="10" customWidth="1"/>
    <col min="7691" max="7693" width="9" style="10"/>
    <col min="7694" max="7694" width="15.375" style="10" bestFit="1" customWidth="1"/>
    <col min="7695" max="7939" width="9" style="10"/>
    <col min="7940" max="7940" width="9.625" style="10" customWidth="1"/>
    <col min="7941" max="7944" width="9" style="10"/>
    <col min="7945" max="7945" width="9.5" style="10" bestFit="1" customWidth="1"/>
    <col min="7946" max="7946" width="9.875" style="10" customWidth="1"/>
    <col min="7947" max="7949" width="9" style="10"/>
    <col min="7950" max="7950" width="15.375" style="10" bestFit="1" customWidth="1"/>
    <col min="7951" max="8195" width="9" style="10"/>
    <col min="8196" max="8196" width="9.625" style="10" customWidth="1"/>
    <col min="8197" max="8200" width="9" style="10"/>
    <col min="8201" max="8201" width="9.5" style="10" bestFit="1" customWidth="1"/>
    <col min="8202" max="8202" width="9.875" style="10" customWidth="1"/>
    <col min="8203" max="8205" width="9" style="10"/>
    <col min="8206" max="8206" width="15.375" style="10" bestFit="1" customWidth="1"/>
    <col min="8207" max="8451" width="9" style="10"/>
    <col min="8452" max="8452" width="9.625" style="10" customWidth="1"/>
    <col min="8453" max="8456" width="9" style="10"/>
    <col min="8457" max="8457" width="9.5" style="10" bestFit="1" customWidth="1"/>
    <col min="8458" max="8458" width="9.875" style="10" customWidth="1"/>
    <col min="8459" max="8461" width="9" style="10"/>
    <col min="8462" max="8462" width="15.375" style="10" bestFit="1" customWidth="1"/>
    <col min="8463" max="8707" width="9" style="10"/>
    <col min="8708" max="8708" width="9.625" style="10" customWidth="1"/>
    <col min="8709" max="8712" width="9" style="10"/>
    <col min="8713" max="8713" width="9.5" style="10" bestFit="1" customWidth="1"/>
    <col min="8714" max="8714" width="9.875" style="10" customWidth="1"/>
    <col min="8715" max="8717" width="9" style="10"/>
    <col min="8718" max="8718" width="15.375" style="10" bestFit="1" customWidth="1"/>
    <col min="8719" max="8963" width="9" style="10"/>
    <col min="8964" max="8964" width="9.625" style="10" customWidth="1"/>
    <col min="8965" max="8968" width="9" style="10"/>
    <col min="8969" max="8969" width="9.5" style="10" bestFit="1" customWidth="1"/>
    <col min="8970" max="8970" width="9.875" style="10" customWidth="1"/>
    <col min="8971" max="8973" width="9" style="10"/>
    <col min="8974" max="8974" width="15.375" style="10" bestFit="1" customWidth="1"/>
    <col min="8975" max="9219" width="9" style="10"/>
    <col min="9220" max="9220" width="9.625" style="10" customWidth="1"/>
    <col min="9221" max="9224" width="9" style="10"/>
    <col min="9225" max="9225" width="9.5" style="10" bestFit="1" customWidth="1"/>
    <col min="9226" max="9226" width="9.875" style="10" customWidth="1"/>
    <col min="9227" max="9229" width="9" style="10"/>
    <col min="9230" max="9230" width="15.375" style="10" bestFit="1" customWidth="1"/>
    <col min="9231" max="9475" width="9" style="10"/>
    <col min="9476" max="9476" width="9.625" style="10" customWidth="1"/>
    <col min="9477" max="9480" width="9" style="10"/>
    <col min="9481" max="9481" width="9.5" style="10" bestFit="1" customWidth="1"/>
    <col min="9482" max="9482" width="9.875" style="10" customWidth="1"/>
    <col min="9483" max="9485" width="9" style="10"/>
    <col min="9486" max="9486" width="15.375" style="10" bestFit="1" customWidth="1"/>
    <col min="9487" max="9731" width="9" style="10"/>
    <col min="9732" max="9732" width="9.625" style="10" customWidth="1"/>
    <col min="9733" max="9736" width="9" style="10"/>
    <col min="9737" max="9737" width="9.5" style="10" bestFit="1" customWidth="1"/>
    <col min="9738" max="9738" width="9.875" style="10" customWidth="1"/>
    <col min="9739" max="9741" width="9" style="10"/>
    <col min="9742" max="9742" width="15.375" style="10" bestFit="1" customWidth="1"/>
    <col min="9743" max="9987" width="9" style="10"/>
    <col min="9988" max="9988" width="9.625" style="10" customWidth="1"/>
    <col min="9989" max="9992" width="9" style="10"/>
    <col min="9993" max="9993" width="9.5" style="10" bestFit="1" customWidth="1"/>
    <col min="9994" max="9994" width="9.875" style="10" customWidth="1"/>
    <col min="9995" max="9997" width="9" style="10"/>
    <col min="9998" max="9998" width="15.375" style="10" bestFit="1" customWidth="1"/>
    <col min="9999" max="10243" width="9" style="10"/>
    <col min="10244" max="10244" width="9.625" style="10" customWidth="1"/>
    <col min="10245" max="10248" width="9" style="10"/>
    <col min="10249" max="10249" width="9.5" style="10" bestFit="1" customWidth="1"/>
    <col min="10250" max="10250" width="9.875" style="10" customWidth="1"/>
    <col min="10251" max="10253" width="9" style="10"/>
    <col min="10254" max="10254" width="15.375" style="10" bestFit="1" customWidth="1"/>
    <col min="10255" max="10499" width="9" style="10"/>
    <col min="10500" max="10500" width="9.625" style="10" customWidth="1"/>
    <col min="10501" max="10504" width="9" style="10"/>
    <col min="10505" max="10505" width="9.5" style="10" bestFit="1" customWidth="1"/>
    <col min="10506" max="10506" width="9.875" style="10" customWidth="1"/>
    <col min="10507" max="10509" width="9" style="10"/>
    <col min="10510" max="10510" width="15.375" style="10" bestFit="1" customWidth="1"/>
    <col min="10511" max="10755" width="9" style="10"/>
    <col min="10756" max="10756" width="9.625" style="10" customWidth="1"/>
    <col min="10757" max="10760" width="9" style="10"/>
    <col min="10761" max="10761" width="9.5" style="10" bestFit="1" customWidth="1"/>
    <col min="10762" max="10762" width="9.875" style="10" customWidth="1"/>
    <col min="10763" max="10765" width="9" style="10"/>
    <col min="10766" max="10766" width="15.375" style="10" bestFit="1" customWidth="1"/>
    <col min="10767" max="11011" width="9" style="10"/>
    <col min="11012" max="11012" width="9.625" style="10" customWidth="1"/>
    <col min="11013" max="11016" width="9" style="10"/>
    <col min="11017" max="11017" width="9.5" style="10" bestFit="1" customWidth="1"/>
    <col min="11018" max="11018" width="9.875" style="10" customWidth="1"/>
    <col min="11019" max="11021" width="9" style="10"/>
    <col min="11022" max="11022" width="15.375" style="10" bestFit="1" customWidth="1"/>
    <col min="11023" max="11267" width="9" style="10"/>
    <col min="11268" max="11268" width="9.625" style="10" customWidth="1"/>
    <col min="11269" max="11272" width="9" style="10"/>
    <col min="11273" max="11273" width="9.5" style="10" bestFit="1" customWidth="1"/>
    <col min="11274" max="11274" width="9.875" style="10" customWidth="1"/>
    <col min="11275" max="11277" width="9" style="10"/>
    <col min="11278" max="11278" width="15.375" style="10" bestFit="1" customWidth="1"/>
    <col min="11279" max="11523" width="9" style="10"/>
    <col min="11524" max="11524" width="9.625" style="10" customWidth="1"/>
    <col min="11525" max="11528" width="9" style="10"/>
    <col min="11529" max="11529" width="9.5" style="10" bestFit="1" customWidth="1"/>
    <col min="11530" max="11530" width="9.875" style="10" customWidth="1"/>
    <col min="11531" max="11533" width="9" style="10"/>
    <col min="11534" max="11534" width="15.375" style="10" bestFit="1" customWidth="1"/>
    <col min="11535" max="11779" width="9" style="10"/>
    <col min="11780" max="11780" width="9.625" style="10" customWidth="1"/>
    <col min="11781" max="11784" width="9" style="10"/>
    <col min="11785" max="11785" width="9.5" style="10" bestFit="1" customWidth="1"/>
    <col min="11786" max="11786" width="9.875" style="10" customWidth="1"/>
    <col min="11787" max="11789" width="9" style="10"/>
    <col min="11790" max="11790" width="15.375" style="10" bestFit="1" customWidth="1"/>
    <col min="11791" max="12035" width="9" style="10"/>
    <col min="12036" max="12036" width="9.625" style="10" customWidth="1"/>
    <col min="12037" max="12040" width="9" style="10"/>
    <col min="12041" max="12041" width="9.5" style="10" bestFit="1" customWidth="1"/>
    <col min="12042" max="12042" width="9.875" style="10" customWidth="1"/>
    <col min="12043" max="12045" width="9" style="10"/>
    <col min="12046" max="12046" width="15.375" style="10" bestFit="1" customWidth="1"/>
    <col min="12047" max="12291" width="9" style="10"/>
    <col min="12292" max="12292" width="9.625" style="10" customWidth="1"/>
    <col min="12293" max="12296" width="9" style="10"/>
    <col min="12297" max="12297" width="9.5" style="10" bestFit="1" customWidth="1"/>
    <col min="12298" max="12298" width="9.875" style="10" customWidth="1"/>
    <col min="12299" max="12301" width="9" style="10"/>
    <col min="12302" max="12302" width="15.375" style="10" bestFit="1" customWidth="1"/>
    <col min="12303" max="12547" width="9" style="10"/>
    <col min="12548" max="12548" width="9.625" style="10" customWidth="1"/>
    <col min="12549" max="12552" width="9" style="10"/>
    <col min="12553" max="12553" width="9.5" style="10" bestFit="1" customWidth="1"/>
    <col min="12554" max="12554" width="9.875" style="10" customWidth="1"/>
    <col min="12555" max="12557" width="9" style="10"/>
    <col min="12558" max="12558" width="15.375" style="10" bestFit="1" customWidth="1"/>
    <col min="12559" max="12803" width="9" style="10"/>
    <col min="12804" max="12804" width="9.625" style="10" customWidth="1"/>
    <col min="12805" max="12808" width="9" style="10"/>
    <col min="12809" max="12809" width="9.5" style="10" bestFit="1" customWidth="1"/>
    <col min="12810" max="12810" width="9.875" style="10" customWidth="1"/>
    <col min="12811" max="12813" width="9" style="10"/>
    <col min="12814" max="12814" width="15.375" style="10" bestFit="1" customWidth="1"/>
    <col min="12815" max="13059" width="9" style="10"/>
    <col min="13060" max="13060" width="9.625" style="10" customWidth="1"/>
    <col min="13061" max="13064" width="9" style="10"/>
    <col min="13065" max="13065" width="9.5" style="10" bestFit="1" customWidth="1"/>
    <col min="13066" max="13066" width="9.875" style="10" customWidth="1"/>
    <col min="13067" max="13069" width="9" style="10"/>
    <col min="13070" max="13070" width="15.375" style="10" bestFit="1" customWidth="1"/>
    <col min="13071" max="13315" width="9" style="10"/>
    <col min="13316" max="13316" width="9.625" style="10" customWidth="1"/>
    <col min="13317" max="13320" width="9" style="10"/>
    <col min="13321" max="13321" width="9.5" style="10" bestFit="1" customWidth="1"/>
    <col min="13322" max="13322" width="9.875" style="10" customWidth="1"/>
    <col min="13323" max="13325" width="9" style="10"/>
    <col min="13326" max="13326" width="15.375" style="10" bestFit="1" customWidth="1"/>
    <col min="13327" max="13571" width="9" style="10"/>
    <col min="13572" max="13572" width="9.625" style="10" customWidth="1"/>
    <col min="13573" max="13576" width="9" style="10"/>
    <col min="13577" max="13577" width="9.5" style="10" bestFit="1" customWidth="1"/>
    <col min="13578" max="13578" width="9.875" style="10" customWidth="1"/>
    <col min="13579" max="13581" width="9" style="10"/>
    <col min="13582" max="13582" width="15.375" style="10" bestFit="1" customWidth="1"/>
    <col min="13583" max="13827" width="9" style="10"/>
    <col min="13828" max="13828" width="9.625" style="10" customWidth="1"/>
    <col min="13829" max="13832" width="9" style="10"/>
    <col min="13833" max="13833" width="9.5" style="10" bestFit="1" customWidth="1"/>
    <col min="13834" max="13834" width="9.875" style="10" customWidth="1"/>
    <col min="13835" max="13837" width="9" style="10"/>
    <col min="13838" max="13838" width="15.375" style="10" bestFit="1" customWidth="1"/>
    <col min="13839" max="14083" width="9" style="10"/>
    <col min="14084" max="14084" width="9.625" style="10" customWidth="1"/>
    <col min="14085" max="14088" width="9" style="10"/>
    <col min="14089" max="14089" width="9.5" style="10" bestFit="1" customWidth="1"/>
    <col min="14090" max="14090" width="9.875" style="10" customWidth="1"/>
    <col min="14091" max="14093" width="9" style="10"/>
    <col min="14094" max="14094" width="15.375" style="10" bestFit="1" customWidth="1"/>
    <col min="14095" max="14339" width="9" style="10"/>
    <col min="14340" max="14340" width="9.625" style="10" customWidth="1"/>
    <col min="14341" max="14344" width="9" style="10"/>
    <col min="14345" max="14345" width="9.5" style="10" bestFit="1" customWidth="1"/>
    <col min="14346" max="14346" width="9.875" style="10" customWidth="1"/>
    <col min="14347" max="14349" width="9" style="10"/>
    <col min="14350" max="14350" width="15.375" style="10" bestFit="1" customWidth="1"/>
    <col min="14351" max="14595" width="9" style="10"/>
    <col min="14596" max="14596" width="9.625" style="10" customWidth="1"/>
    <col min="14597" max="14600" width="9" style="10"/>
    <col min="14601" max="14601" width="9.5" style="10" bestFit="1" customWidth="1"/>
    <col min="14602" max="14602" width="9.875" style="10" customWidth="1"/>
    <col min="14603" max="14605" width="9" style="10"/>
    <col min="14606" max="14606" width="15.375" style="10" bestFit="1" customWidth="1"/>
    <col min="14607" max="14851" width="9" style="10"/>
    <col min="14852" max="14852" width="9.625" style="10" customWidth="1"/>
    <col min="14853" max="14856" width="9" style="10"/>
    <col min="14857" max="14857" width="9.5" style="10" bestFit="1" customWidth="1"/>
    <col min="14858" max="14858" width="9.875" style="10" customWidth="1"/>
    <col min="14859" max="14861" width="9" style="10"/>
    <col min="14862" max="14862" width="15.375" style="10" bestFit="1" customWidth="1"/>
    <col min="14863" max="15107" width="9" style="10"/>
    <col min="15108" max="15108" width="9.625" style="10" customWidth="1"/>
    <col min="15109" max="15112" width="9" style="10"/>
    <col min="15113" max="15113" width="9.5" style="10" bestFit="1" customWidth="1"/>
    <col min="15114" max="15114" width="9.875" style="10" customWidth="1"/>
    <col min="15115" max="15117" width="9" style="10"/>
    <col min="15118" max="15118" width="15.375" style="10" bestFit="1" customWidth="1"/>
    <col min="15119" max="15363" width="9" style="10"/>
    <col min="15364" max="15364" width="9.625" style="10" customWidth="1"/>
    <col min="15365" max="15368" width="9" style="10"/>
    <col min="15369" max="15369" width="9.5" style="10" bestFit="1" customWidth="1"/>
    <col min="15370" max="15370" width="9.875" style="10" customWidth="1"/>
    <col min="15371" max="15373" width="9" style="10"/>
    <col min="15374" max="15374" width="15.375" style="10" bestFit="1" customWidth="1"/>
    <col min="15375" max="15619" width="9" style="10"/>
    <col min="15620" max="15620" width="9.625" style="10" customWidth="1"/>
    <col min="15621" max="15624" width="9" style="10"/>
    <col min="15625" max="15625" width="9.5" style="10" bestFit="1" customWidth="1"/>
    <col min="15626" max="15626" width="9.875" style="10" customWidth="1"/>
    <col min="15627" max="15629" width="9" style="10"/>
    <col min="15630" max="15630" width="15.375" style="10" bestFit="1" customWidth="1"/>
    <col min="15631" max="15875" width="9" style="10"/>
    <col min="15876" max="15876" width="9.625" style="10" customWidth="1"/>
    <col min="15877" max="15880" width="9" style="10"/>
    <col min="15881" max="15881" width="9.5" style="10" bestFit="1" customWidth="1"/>
    <col min="15882" max="15882" width="9.875" style="10" customWidth="1"/>
    <col min="15883" max="15885" width="9" style="10"/>
    <col min="15886" max="15886" width="15.375" style="10" bestFit="1" customWidth="1"/>
    <col min="15887" max="16131" width="9" style="10"/>
    <col min="16132" max="16132" width="9.625" style="10" customWidth="1"/>
    <col min="16133" max="16136" width="9" style="10"/>
    <col min="16137" max="16137" width="9.5" style="10" bestFit="1" customWidth="1"/>
    <col min="16138" max="16138" width="9.875" style="10" customWidth="1"/>
    <col min="16139" max="16141" width="9" style="10"/>
    <col min="16142" max="16142" width="15.375" style="10" bestFit="1" customWidth="1"/>
    <col min="16143" max="16384" width="9" style="10"/>
  </cols>
  <sheetData>
    <row r="1" spans="1:9" x14ac:dyDescent="0.15">
      <c r="A1" s="10" t="s">
        <v>309</v>
      </c>
      <c r="C1" s="10" t="s">
        <v>343</v>
      </c>
      <c r="F1" s="153" t="s">
        <v>426</v>
      </c>
    </row>
    <row r="3" spans="1:9" x14ac:dyDescent="0.15">
      <c r="A3" s="10" t="s">
        <v>311</v>
      </c>
    </row>
    <row r="4" spans="1:9" x14ac:dyDescent="0.15">
      <c r="B4" s="239" t="s">
        <v>312</v>
      </c>
      <c r="C4" s="239"/>
      <c r="D4" s="239"/>
      <c r="E4" s="239"/>
      <c r="F4" s="239"/>
      <c r="G4" s="239"/>
      <c r="H4" s="239"/>
      <c r="I4" s="240" t="s">
        <v>344</v>
      </c>
    </row>
    <row r="5" spans="1:9" x14ac:dyDescent="0.15">
      <c r="B5" s="239"/>
      <c r="C5" s="239"/>
      <c r="D5" s="239"/>
      <c r="E5" s="239"/>
      <c r="F5" s="239"/>
      <c r="G5" s="239"/>
      <c r="H5" s="239"/>
      <c r="I5" s="240"/>
    </row>
    <row r="6" spans="1:9" x14ac:dyDescent="0.15">
      <c r="B6" s="241" t="s">
        <v>313</v>
      </c>
      <c r="C6" s="244" t="s">
        <v>314</v>
      </c>
      <c r="D6" s="244"/>
      <c r="E6" s="244"/>
      <c r="F6" s="244"/>
      <c r="G6" s="244"/>
      <c r="H6" s="244"/>
      <c r="I6" s="245">
        <f>3.9*10^4</f>
        <v>39000</v>
      </c>
    </row>
    <row r="7" spans="1:9" x14ac:dyDescent="0.15">
      <c r="B7" s="242"/>
      <c r="C7" s="244"/>
      <c r="D7" s="244"/>
      <c r="E7" s="244"/>
      <c r="F7" s="244"/>
      <c r="G7" s="244"/>
      <c r="H7" s="244"/>
      <c r="I7" s="245"/>
    </row>
    <row r="8" spans="1:9" x14ac:dyDescent="0.15">
      <c r="B8" s="242"/>
      <c r="C8" s="246" t="s">
        <v>315</v>
      </c>
      <c r="D8" s="246"/>
      <c r="E8" s="246"/>
      <c r="F8" s="246"/>
      <c r="G8" s="246"/>
      <c r="H8" s="246"/>
      <c r="I8" s="247">
        <f>2.9*10^4</f>
        <v>29000</v>
      </c>
    </row>
    <row r="9" spans="1:9" x14ac:dyDescent="0.15">
      <c r="B9" s="243"/>
      <c r="C9" s="246"/>
      <c r="D9" s="246"/>
      <c r="E9" s="246"/>
      <c r="F9" s="246"/>
      <c r="G9" s="246"/>
      <c r="H9" s="246"/>
      <c r="I9" s="247"/>
    </row>
    <row r="10" spans="1:9" x14ac:dyDescent="0.15">
      <c r="B10" s="225" t="s">
        <v>316</v>
      </c>
      <c r="C10" s="235" t="s">
        <v>317</v>
      </c>
      <c r="D10" s="236"/>
      <c r="E10" s="236"/>
      <c r="F10" s="236"/>
      <c r="G10" s="236"/>
      <c r="H10" s="237"/>
      <c r="I10" s="154">
        <f>2*10^4</f>
        <v>20000</v>
      </c>
    </row>
    <row r="11" spans="1:9" x14ac:dyDescent="0.15">
      <c r="B11" s="227"/>
      <c r="C11" s="235" t="s">
        <v>334</v>
      </c>
      <c r="D11" s="236"/>
      <c r="E11" s="236"/>
      <c r="F11" s="236"/>
      <c r="G11" s="236"/>
      <c r="H11" s="237"/>
      <c r="I11" s="154">
        <f>0.8*10^4</f>
        <v>8000</v>
      </c>
    </row>
    <row r="12" spans="1:9" x14ac:dyDescent="0.15">
      <c r="B12" s="10" t="s">
        <v>468</v>
      </c>
      <c r="D12" s="157"/>
      <c r="E12" s="157"/>
      <c r="F12" s="157"/>
      <c r="G12" s="157"/>
      <c r="H12" s="157"/>
    </row>
    <row r="14" spans="1:9" x14ac:dyDescent="0.15">
      <c r="A14" s="10" t="s">
        <v>319</v>
      </c>
    </row>
    <row r="15" spans="1:9" x14ac:dyDescent="0.15">
      <c r="B15" s="10" t="s">
        <v>359</v>
      </c>
      <c r="C15" s="10" t="s">
        <v>360</v>
      </c>
      <c r="G15" s="19">
        <f>+入力・結果!G48</f>
        <v>0</v>
      </c>
    </row>
    <row r="16" spans="1:9" x14ac:dyDescent="0.15">
      <c r="C16" s="10" t="s">
        <v>361</v>
      </c>
      <c r="G16" s="19">
        <f>+入力・結果!G49</f>
        <v>0</v>
      </c>
    </row>
    <row r="18" spans="2:8" ht="20.25" x14ac:dyDescent="0.15">
      <c r="B18" s="217" t="s">
        <v>331</v>
      </c>
      <c r="C18" s="217" t="s">
        <v>551</v>
      </c>
      <c r="D18" s="217"/>
    </row>
    <row r="19" spans="2:8" ht="20.25" x14ac:dyDescent="0.15">
      <c r="B19" s="217"/>
      <c r="C19" s="238" t="s">
        <v>554</v>
      </c>
      <c r="D19" s="238"/>
    </row>
    <row r="20" spans="2:8" x14ac:dyDescent="0.15">
      <c r="B20" s="36"/>
      <c r="C20" s="158"/>
      <c r="D20" s="158"/>
    </row>
    <row r="21" spans="2:8" x14ac:dyDescent="0.15">
      <c r="B21" s="10" t="s">
        <v>349</v>
      </c>
      <c r="C21" s="10" t="s">
        <v>485</v>
      </c>
      <c r="G21" s="156">
        <f>+I8</f>
        <v>29000</v>
      </c>
      <c r="H21" s="10" t="s">
        <v>469</v>
      </c>
    </row>
    <row r="22" spans="2:8" x14ac:dyDescent="0.15">
      <c r="B22" s="10" t="s">
        <v>362</v>
      </c>
      <c r="C22" s="10" t="s">
        <v>322</v>
      </c>
    </row>
    <row r="23" spans="2:8" x14ac:dyDescent="0.15">
      <c r="B23" s="10" t="s">
        <v>550</v>
      </c>
      <c r="C23" s="10" t="s">
        <v>323</v>
      </c>
      <c r="G23" s="10">
        <f>+入力・結果!G22/1000</f>
        <v>0.1143</v>
      </c>
    </row>
    <row r="24" spans="2:8" x14ac:dyDescent="0.15">
      <c r="B24" s="10" t="s">
        <v>552</v>
      </c>
      <c r="C24" s="10" t="s">
        <v>324</v>
      </c>
      <c r="G24" s="10">
        <f>+入力・結果!F22</f>
        <v>1</v>
      </c>
    </row>
    <row r="25" spans="2:8" x14ac:dyDescent="0.15">
      <c r="B25" s="10" t="s">
        <v>553</v>
      </c>
      <c r="C25" s="10" t="s">
        <v>325</v>
      </c>
      <c r="G25" s="10">
        <f>+入力・結果!E22-0.2</f>
        <v>4.8</v>
      </c>
    </row>
    <row r="26" spans="2:8" x14ac:dyDescent="0.15">
      <c r="B26" s="10" t="s">
        <v>326</v>
      </c>
      <c r="C26" s="10" t="s">
        <v>327</v>
      </c>
      <c r="G26" s="10">
        <f>+入力・結果!F195/G25</f>
        <v>591.91250000000002</v>
      </c>
    </row>
    <row r="27" spans="2:8" x14ac:dyDescent="0.15">
      <c r="B27" s="10" t="s">
        <v>328</v>
      </c>
      <c r="C27" s="10" t="s">
        <v>329</v>
      </c>
      <c r="G27" s="10">
        <f>G24*2/3</f>
        <v>0.66666666666666663</v>
      </c>
    </row>
    <row r="28" spans="2:8" x14ac:dyDescent="0.15">
      <c r="C28" s="55" t="s">
        <v>558</v>
      </c>
    </row>
    <row r="29" spans="2:8" x14ac:dyDescent="0.15">
      <c r="B29" s="10" t="s">
        <v>345</v>
      </c>
      <c r="C29" s="55" t="s">
        <v>346</v>
      </c>
    </row>
    <row r="30" spans="2:8" x14ac:dyDescent="0.15">
      <c r="C30" s="55"/>
    </row>
    <row r="31" spans="2:8" ht="20.25" x14ac:dyDescent="0.15">
      <c r="C31" s="216" t="s">
        <v>347</v>
      </c>
      <c r="D31" s="216" t="s">
        <v>348</v>
      </c>
      <c r="E31" s="217" t="s">
        <v>493</v>
      </c>
      <c r="F31" s="217"/>
    </row>
    <row r="32" spans="2:8" ht="20.25" x14ac:dyDescent="0.15">
      <c r="C32" s="216"/>
      <c r="D32" s="216"/>
      <c r="E32" s="238" t="s">
        <v>494</v>
      </c>
      <c r="F32" s="238"/>
    </row>
    <row r="33" spans="2:11" x14ac:dyDescent="0.15">
      <c r="C33" s="36"/>
      <c r="D33" s="36"/>
      <c r="E33" s="36"/>
      <c r="F33" s="36"/>
    </row>
    <row r="34" spans="2:11" x14ac:dyDescent="0.15">
      <c r="C34" s="30" t="s">
        <v>337</v>
      </c>
      <c r="D34" s="36">
        <f>2/3*G24*(1+F43^3*(F42-1))/(1+F43^2*(F42-1))</f>
        <v>0.68431372549019598</v>
      </c>
      <c r="E34" s="36"/>
      <c r="F34" s="36"/>
    </row>
    <row r="35" spans="2:11" x14ac:dyDescent="0.15">
      <c r="C35" s="36"/>
      <c r="D35" s="36"/>
      <c r="E35" s="36"/>
      <c r="F35" s="36"/>
    </row>
    <row r="37" spans="2:11" x14ac:dyDescent="0.15">
      <c r="B37" s="10" t="s">
        <v>350</v>
      </c>
      <c r="C37" s="10" t="s">
        <v>351</v>
      </c>
    </row>
    <row r="39" spans="2:11" ht="20.25" x14ac:dyDescent="0.15">
      <c r="C39" s="250" t="s">
        <v>352</v>
      </c>
      <c r="D39" s="217" t="s">
        <v>495</v>
      </c>
      <c r="E39" s="217"/>
      <c r="F39" s="248" t="s">
        <v>353</v>
      </c>
      <c r="G39" s="217" t="s">
        <v>496</v>
      </c>
      <c r="H39" s="217"/>
      <c r="I39" s="248" t="s">
        <v>354</v>
      </c>
      <c r="J39" s="217" t="s">
        <v>497</v>
      </c>
      <c r="K39" s="217"/>
    </row>
    <row r="40" spans="2:11" x14ac:dyDescent="0.15">
      <c r="C40" s="202"/>
      <c r="D40" s="238">
        <v>2</v>
      </c>
      <c r="E40" s="238"/>
      <c r="F40" s="217"/>
      <c r="G40" s="238">
        <v>3</v>
      </c>
      <c r="H40" s="238"/>
      <c r="I40" s="217"/>
      <c r="J40" s="238">
        <v>4</v>
      </c>
      <c r="K40" s="238"/>
    </row>
    <row r="42" spans="2:11" x14ac:dyDescent="0.15">
      <c r="C42" s="30" t="s">
        <v>355</v>
      </c>
      <c r="D42" s="10" t="s">
        <v>555</v>
      </c>
      <c r="E42" s="10" t="s">
        <v>337</v>
      </c>
      <c r="F42" s="10">
        <f>+G15/G23</f>
        <v>0</v>
      </c>
    </row>
    <row r="43" spans="2:11" x14ac:dyDescent="0.15">
      <c r="C43" s="30" t="s">
        <v>356</v>
      </c>
      <c r="D43" s="10" t="s">
        <v>557</v>
      </c>
      <c r="E43" s="10" t="s">
        <v>337</v>
      </c>
      <c r="F43" s="10">
        <f>+(G16-0.15)/G24</f>
        <v>-0.15</v>
      </c>
    </row>
    <row r="44" spans="2:11" x14ac:dyDescent="0.15">
      <c r="C44" s="30" t="s">
        <v>357</v>
      </c>
      <c r="D44" s="10" t="s">
        <v>556</v>
      </c>
      <c r="E44" s="10" t="s">
        <v>337</v>
      </c>
      <c r="F44" s="10">
        <f>+D34/G24</f>
        <v>0.68431372549019598</v>
      </c>
    </row>
    <row r="46" spans="2:11" x14ac:dyDescent="0.15">
      <c r="C46" s="10" t="s">
        <v>358</v>
      </c>
      <c r="D46" s="10">
        <f>36*((F44^2*(1+F43^2*(F42-1))/2)-(2*F44*(1+F43^3*(F42-1)))/3+(1+F43^4*(F42-1))/4)</f>
        <v>0.75596433823529541</v>
      </c>
    </row>
    <row r="49" spans="2:14" x14ac:dyDescent="0.15">
      <c r="B49" s="164"/>
      <c r="C49" s="164"/>
      <c r="D49" s="164"/>
      <c r="E49" s="164"/>
      <c r="F49" s="164"/>
      <c r="G49" s="164"/>
      <c r="H49" s="164"/>
    </row>
    <row r="50" spans="2:14" x14ac:dyDescent="0.15">
      <c r="B50" s="56"/>
      <c r="C50" s="57" t="s">
        <v>331</v>
      </c>
      <c r="D50" s="163">
        <f>ROUND(D46*G21*1000*G23*G24^4/(120*G26*(G25+G27)^2),2)</f>
        <v>1.18</v>
      </c>
      <c r="E50" s="57" t="str">
        <f>IF(D50&lt;=2,"＜","＞")</f>
        <v>＜</v>
      </c>
      <c r="F50" s="61">
        <v>2</v>
      </c>
      <c r="G50" s="57" t="s">
        <v>332</v>
      </c>
      <c r="H50" s="59" t="str">
        <f>IF(D50&lt;=2,"NG","OK")</f>
        <v>NG</v>
      </c>
      <c r="N50" s="159"/>
    </row>
    <row r="51" spans="2:14" x14ac:dyDescent="0.15">
      <c r="B51" s="165"/>
      <c r="C51" s="165"/>
      <c r="D51" s="165"/>
      <c r="E51" s="165"/>
      <c r="F51" s="165"/>
      <c r="G51" s="165"/>
      <c r="H51" s="165"/>
    </row>
    <row r="52" spans="2:14" x14ac:dyDescent="0.15">
      <c r="B52" s="160"/>
      <c r="C52" s="160"/>
      <c r="D52" s="160"/>
      <c r="E52" s="160"/>
      <c r="F52" s="160"/>
      <c r="G52" s="160"/>
      <c r="H52" s="160"/>
    </row>
  </sheetData>
  <sheetProtection algorithmName="SHA-512" hashValue="TZCKFRhEZmxuX4chT81rNHBWXW/A4KgFex4wp1fxQzo14SSi0Y4i+VyB03qwnx65/htrSBECKM2CUaoLlSD2Tw==" saltValue="V6aXMGbXIP/nhkfhNg02lQ==" spinCount="100000" sheet="1" objects="1" scenarios="1"/>
  <protectedRanges>
    <protectedRange sqref="G21" name="範囲1"/>
  </protectedRanges>
  <mergeCells count="26">
    <mergeCell ref="B4:H5"/>
    <mergeCell ref="I4:I5"/>
    <mergeCell ref="B6:B9"/>
    <mergeCell ref="C6:H7"/>
    <mergeCell ref="I6:I7"/>
    <mergeCell ref="C8:H9"/>
    <mergeCell ref="I8:I9"/>
    <mergeCell ref="B10:B11"/>
    <mergeCell ref="C10:H10"/>
    <mergeCell ref="C11:H11"/>
    <mergeCell ref="B18:B19"/>
    <mergeCell ref="C18:D18"/>
    <mergeCell ref="C19:D19"/>
    <mergeCell ref="C31:C32"/>
    <mergeCell ref="D31:D32"/>
    <mergeCell ref="E31:F31"/>
    <mergeCell ref="E32:F32"/>
    <mergeCell ref="C39:C40"/>
    <mergeCell ref="D39:E39"/>
    <mergeCell ref="F39:F40"/>
    <mergeCell ref="G39:H39"/>
    <mergeCell ref="I39:I40"/>
    <mergeCell ref="J39:K39"/>
    <mergeCell ref="D40:E40"/>
    <mergeCell ref="G40:H40"/>
    <mergeCell ref="J40:K40"/>
  </mergeCells>
  <phoneticPr fontId="2"/>
  <pageMargins left="0.7" right="0.7" top="0.75" bottom="0.75" header="0.3" footer="0.3"/>
  <pageSetup paperSize="8" scale="75"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3"/>
  <sheetViews>
    <sheetView workbookViewId="0">
      <selection activeCell="C4" sqref="C4"/>
    </sheetView>
  </sheetViews>
  <sheetFormatPr defaultRowHeight="13.5" x14ac:dyDescent="0.15"/>
  <sheetData>
    <row r="1" spans="1:8" x14ac:dyDescent="0.15">
      <c r="B1" t="s">
        <v>561</v>
      </c>
    </row>
    <row r="2" spans="1:8" ht="24" customHeight="1" x14ac:dyDescent="0.15">
      <c r="A2" s="251"/>
      <c r="B2" s="167" t="s">
        <v>562</v>
      </c>
      <c r="C2" s="167" t="s">
        <v>563</v>
      </c>
      <c r="D2" s="167" t="s">
        <v>564</v>
      </c>
      <c r="E2" s="167" t="s">
        <v>565</v>
      </c>
      <c r="F2" s="167" t="s">
        <v>566</v>
      </c>
      <c r="G2" s="167" t="s">
        <v>567</v>
      </c>
      <c r="H2" s="167" t="s">
        <v>568</v>
      </c>
    </row>
    <row r="3" spans="1:8" ht="24" customHeight="1" x14ac:dyDescent="0.15">
      <c r="A3" s="252"/>
      <c r="B3" s="168" t="s">
        <v>569</v>
      </c>
      <c r="C3" s="168" t="s">
        <v>570</v>
      </c>
      <c r="D3" s="168" t="s">
        <v>570</v>
      </c>
      <c r="E3" s="168" t="s">
        <v>571</v>
      </c>
      <c r="F3" s="168" t="s">
        <v>571</v>
      </c>
      <c r="G3" s="168" t="s">
        <v>570</v>
      </c>
      <c r="H3" s="168" t="s">
        <v>569</v>
      </c>
    </row>
    <row r="4" spans="1:8" ht="24" customHeight="1" x14ac:dyDescent="0.15">
      <c r="A4" s="253" t="s">
        <v>572</v>
      </c>
      <c r="B4" s="170">
        <v>5</v>
      </c>
      <c r="C4" s="170">
        <v>4</v>
      </c>
      <c r="D4" s="170">
        <f>+B4-C4</f>
        <v>1</v>
      </c>
      <c r="E4" s="170">
        <v>89.1</v>
      </c>
      <c r="F4" s="170">
        <v>2</v>
      </c>
      <c r="G4" s="171">
        <v>0.2</v>
      </c>
      <c r="H4" s="171">
        <v>0.4</v>
      </c>
    </row>
    <row r="5" spans="1:8" ht="24" customHeight="1" x14ac:dyDescent="0.15">
      <c r="A5" s="253"/>
      <c r="B5" s="254">
        <v>5.5</v>
      </c>
      <c r="C5" s="254">
        <v>4.5</v>
      </c>
      <c r="D5" s="254">
        <f>+B5-C5</f>
        <v>1</v>
      </c>
      <c r="E5" s="254">
        <v>114.3</v>
      </c>
      <c r="F5" s="254">
        <v>2</v>
      </c>
      <c r="G5" s="171">
        <v>0.2</v>
      </c>
      <c r="H5" s="171">
        <v>1</v>
      </c>
    </row>
    <row r="6" spans="1:8" ht="24" customHeight="1" x14ac:dyDescent="0.15">
      <c r="A6" s="253"/>
      <c r="B6" s="254"/>
      <c r="C6" s="254"/>
      <c r="D6" s="254"/>
      <c r="E6" s="254"/>
      <c r="F6" s="254"/>
      <c r="G6" s="171">
        <v>0.3</v>
      </c>
      <c r="H6" s="171">
        <v>0.4</v>
      </c>
    </row>
    <row r="7" spans="1:8" ht="24" customHeight="1" x14ac:dyDescent="0.15">
      <c r="A7" s="253" t="s">
        <v>573</v>
      </c>
      <c r="B7" s="254">
        <v>7</v>
      </c>
      <c r="C7" s="254">
        <v>5.8</v>
      </c>
      <c r="D7" s="254">
        <f>+B7-C7</f>
        <v>1.2000000000000002</v>
      </c>
      <c r="E7" s="254">
        <v>114.3</v>
      </c>
      <c r="F7" s="254">
        <v>2.2999999999999998</v>
      </c>
      <c r="G7" s="171">
        <v>0.2</v>
      </c>
      <c r="H7" s="171">
        <v>0.6</v>
      </c>
    </row>
    <row r="8" spans="1:8" ht="24" customHeight="1" x14ac:dyDescent="0.15">
      <c r="A8" s="253"/>
      <c r="B8" s="254"/>
      <c r="C8" s="254"/>
      <c r="D8" s="254"/>
      <c r="E8" s="254"/>
      <c r="F8" s="254"/>
      <c r="G8" s="171">
        <v>0.3</v>
      </c>
      <c r="H8" s="171">
        <v>0.4</v>
      </c>
    </row>
    <row r="9" spans="1:8" ht="24" customHeight="1" x14ac:dyDescent="0.15">
      <c r="A9" s="253"/>
      <c r="B9" s="254">
        <v>7</v>
      </c>
      <c r="C9" s="254">
        <v>6</v>
      </c>
      <c r="D9" s="254">
        <f>+B9-C9</f>
        <v>1</v>
      </c>
      <c r="E9" s="254">
        <v>114.3</v>
      </c>
      <c r="F9" s="254">
        <v>2.2999999999999998</v>
      </c>
      <c r="G9" s="171">
        <v>0.45</v>
      </c>
      <c r="H9" s="171">
        <v>1</v>
      </c>
    </row>
    <row r="10" spans="1:8" ht="24" customHeight="1" x14ac:dyDescent="0.15">
      <c r="A10" s="253"/>
      <c r="B10" s="254"/>
      <c r="C10" s="254"/>
      <c r="D10" s="254"/>
      <c r="E10" s="254"/>
      <c r="F10" s="254"/>
      <c r="G10" s="171">
        <v>0.8</v>
      </c>
      <c r="H10" s="171">
        <v>0.8</v>
      </c>
    </row>
    <row r="11" spans="1:8" x14ac:dyDescent="0.15">
      <c r="B11" t="s">
        <v>574</v>
      </c>
    </row>
    <row r="12" spans="1:8" x14ac:dyDescent="0.15">
      <c r="B12" t="s">
        <v>576</v>
      </c>
    </row>
    <row r="13" spans="1:8" x14ac:dyDescent="0.15">
      <c r="B13" t="s">
        <v>575</v>
      </c>
    </row>
  </sheetData>
  <mergeCells count="18">
    <mergeCell ref="E9:E10"/>
    <mergeCell ref="F9:F10"/>
    <mergeCell ref="F5:F6"/>
    <mergeCell ref="A7:A10"/>
    <mergeCell ref="B7:B8"/>
    <mergeCell ref="C7:C8"/>
    <mergeCell ref="D7:D8"/>
    <mergeCell ref="E7:E8"/>
    <mergeCell ref="F7:F8"/>
    <mergeCell ref="B9:B10"/>
    <mergeCell ref="C9:C10"/>
    <mergeCell ref="D9:D10"/>
    <mergeCell ref="E5:E6"/>
    <mergeCell ref="A2:A3"/>
    <mergeCell ref="A4:A6"/>
    <mergeCell ref="B5:B6"/>
    <mergeCell ref="C5:C6"/>
    <mergeCell ref="D5:D6"/>
  </mergeCells>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5"/>
  <sheetViews>
    <sheetView showGridLines="0" topLeftCell="L1" zoomScale="175" zoomScaleNormal="175" workbookViewId="0">
      <selection activeCell="N2" sqref="N2:Q20"/>
    </sheetView>
  </sheetViews>
  <sheetFormatPr defaultRowHeight="13.5" x14ac:dyDescent="0.15"/>
  <cols>
    <col min="13" max="13" width="17.375" customWidth="1"/>
    <col min="14" max="16" width="13" customWidth="1"/>
    <col min="17" max="18" width="12" customWidth="1"/>
  </cols>
  <sheetData>
    <row r="2" spans="1:18" x14ac:dyDescent="0.15">
      <c r="A2" s="1"/>
      <c r="B2" s="2"/>
      <c r="C2" s="2"/>
      <c r="D2" s="2"/>
      <c r="E2" s="2"/>
      <c r="F2" s="2"/>
      <c r="G2" s="2"/>
      <c r="H2" s="2"/>
      <c r="I2" s="2"/>
      <c r="L2" s="3"/>
      <c r="M2" s="3"/>
      <c r="N2" s="5"/>
      <c r="O2" s="5"/>
      <c r="P2" s="5"/>
      <c r="Q2" s="5"/>
      <c r="R2" s="3"/>
    </row>
    <row r="3" spans="1:18" x14ac:dyDescent="0.15">
      <c r="A3" s="1"/>
      <c r="B3" s="1"/>
      <c r="C3" s="1"/>
      <c r="D3" s="1"/>
      <c r="E3" s="1" t="s">
        <v>0</v>
      </c>
      <c r="F3" s="1"/>
      <c r="G3" s="1" t="s">
        <v>1</v>
      </c>
      <c r="H3" s="1"/>
      <c r="I3" s="1"/>
      <c r="L3" s="3"/>
      <c r="M3" s="3"/>
      <c r="N3" s="5"/>
      <c r="O3" s="5"/>
      <c r="P3" s="5"/>
      <c r="Q3" s="5"/>
      <c r="R3" s="3"/>
    </row>
    <row r="4" spans="1:18" x14ac:dyDescent="0.15">
      <c r="A4" s="1"/>
      <c r="B4" s="1"/>
      <c r="C4" s="1"/>
      <c r="D4" s="1"/>
      <c r="E4" s="1" t="s">
        <v>2</v>
      </c>
      <c r="F4" s="1"/>
      <c r="G4" s="1" t="s">
        <v>3</v>
      </c>
      <c r="H4" s="1"/>
      <c r="I4" s="1"/>
      <c r="L4" s="3"/>
      <c r="M4" s="3"/>
      <c r="R4" s="3"/>
    </row>
    <row r="5" spans="1:18" x14ac:dyDescent="0.15">
      <c r="A5" s="1"/>
      <c r="B5" s="1"/>
      <c r="C5" s="1"/>
      <c r="D5" s="1"/>
      <c r="E5" s="1" t="s">
        <v>4</v>
      </c>
      <c r="F5" s="1"/>
      <c r="G5" s="1" t="s">
        <v>5</v>
      </c>
      <c r="H5" s="1"/>
      <c r="I5" s="1"/>
      <c r="L5" s="3"/>
      <c r="M5" s="3"/>
      <c r="R5" s="3"/>
    </row>
    <row r="6" spans="1:18" x14ac:dyDescent="0.15">
      <c r="A6" s="1"/>
      <c r="B6" s="1"/>
      <c r="C6" s="1"/>
      <c r="D6" s="1"/>
      <c r="E6" s="1"/>
      <c r="F6" s="1"/>
      <c r="G6" s="1"/>
      <c r="H6" s="1"/>
      <c r="I6" s="1"/>
      <c r="L6" s="3"/>
      <c r="M6" s="3"/>
      <c r="R6" s="3"/>
    </row>
    <row r="7" spans="1:18" x14ac:dyDescent="0.15">
      <c r="A7" s="1"/>
      <c r="B7" s="1"/>
      <c r="C7" s="1"/>
      <c r="D7" s="1"/>
      <c r="E7" s="1"/>
      <c r="F7" s="1"/>
      <c r="G7" s="1"/>
      <c r="H7" s="1"/>
      <c r="I7" s="1"/>
      <c r="L7" s="3"/>
      <c r="M7" s="3"/>
      <c r="R7" s="3"/>
    </row>
    <row r="8" spans="1:18" x14ac:dyDescent="0.15">
      <c r="A8" s="1"/>
      <c r="B8" s="1"/>
      <c r="C8" s="1"/>
      <c r="D8" s="1"/>
      <c r="E8" s="1"/>
      <c r="F8" s="1"/>
      <c r="G8" s="1"/>
      <c r="H8" s="1"/>
      <c r="I8" s="1"/>
      <c r="L8" s="3"/>
      <c r="M8" s="3"/>
      <c r="R8" s="3"/>
    </row>
    <row r="9" spans="1:18" x14ac:dyDescent="0.15">
      <c r="A9" s="1"/>
      <c r="B9" s="1"/>
      <c r="C9" s="1"/>
      <c r="D9" s="1"/>
      <c r="E9" s="1"/>
      <c r="F9" s="1"/>
      <c r="G9" s="1"/>
      <c r="H9" s="1"/>
      <c r="I9" s="1"/>
      <c r="L9" s="3"/>
      <c r="M9" s="3"/>
      <c r="R9" s="3"/>
    </row>
    <row r="10" spans="1:18" x14ac:dyDescent="0.15">
      <c r="A10" s="1"/>
      <c r="B10" s="2"/>
      <c r="C10" s="2"/>
      <c r="D10" s="2"/>
      <c r="E10" s="2"/>
      <c r="F10" s="2"/>
      <c r="G10" s="2"/>
      <c r="H10" s="2"/>
      <c r="I10" s="2"/>
      <c r="L10" s="3"/>
      <c r="M10" s="3"/>
      <c r="R10" s="3"/>
    </row>
    <row r="11" spans="1:18" x14ac:dyDescent="0.15">
      <c r="A11" s="1"/>
      <c r="B11" s="2"/>
      <c r="C11" s="2"/>
      <c r="D11" s="2"/>
      <c r="E11" s="2"/>
      <c r="F11" s="2"/>
      <c r="G11" s="2"/>
      <c r="H11" s="2"/>
      <c r="I11" s="2"/>
      <c r="L11" s="3"/>
      <c r="M11" s="3"/>
      <c r="R11" s="3"/>
    </row>
    <row r="12" spans="1:18" x14ac:dyDescent="0.15">
      <c r="A12" s="1"/>
      <c r="B12" s="2"/>
      <c r="C12" s="2"/>
      <c r="D12" s="2"/>
      <c r="E12" s="2"/>
      <c r="F12" s="2"/>
      <c r="G12" s="2"/>
      <c r="H12" s="2"/>
      <c r="I12" s="2"/>
      <c r="L12" s="3"/>
      <c r="M12" s="3"/>
      <c r="R12" s="3"/>
    </row>
    <row r="13" spans="1:18" x14ac:dyDescent="0.15">
      <c r="A13" s="1"/>
      <c r="B13" s="2"/>
      <c r="C13" s="1"/>
      <c r="D13" s="2"/>
      <c r="E13" s="1" t="s">
        <v>0</v>
      </c>
      <c r="F13" s="2"/>
      <c r="G13" s="1" t="s">
        <v>6</v>
      </c>
      <c r="H13" s="2"/>
      <c r="I13" s="2"/>
      <c r="L13" s="3"/>
      <c r="M13" s="3"/>
      <c r="R13" s="3"/>
    </row>
    <row r="14" spans="1:18" x14ac:dyDescent="0.15">
      <c r="A14" s="1"/>
      <c r="B14" s="1"/>
      <c r="C14" s="1"/>
      <c r="D14" s="2"/>
      <c r="E14" s="1" t="s">
        <v>2</v>
      </c>
      <c r="F14" s="2"/>
      <c r="G14" s="1" t="s">
        <v>7</v>
      </c>
      <c r="H14" s="2"/>
      <c r="I14" s="2"/>
      <c r="L14" s="3"/>
      <c r="M14" s="3"/>
      <c r="R14" s="3"/>
    </row>
    <row r="15" spans="1:18" x14ac:dyDescent="0.15">
      <c r="A15" s="1"/>
      <c r="B15" s="2"/>
      <c r="C15" s="1"/>
      <c r="D15" s="2"/>
      <c r="E15" s="1" t="s">
        <v>4</v>
      </c>
      <c r="F15" s="1"/>
      <c r="G15" s="1" t="s">
        <v>8</v>
      </c>
      <c r="H15" s="2"/>
      <c r="I15" s="2"/>
      <c r="L15" s="3"/>
      <c r="M15" s="3"/>
      <c r="R15" s="3"/>
    </row>
    <row r="16" spans="1:18" x14ac:dyDescent="0.15">
      <c r="A16" s="1"/>
      <c r="B16" s="2"/>
      <c r="C16" s="2"/>
      <c r="D16" s="2"/>
      <c r="E16" s="2"/>
      <c r="F16" s="2"/>
      <c r="G16" s="2"/>
      <c r="H16" s="2"/>
      <c r="I16" s="2"/>
      <c r="L16" s="3"/>
      <c r="M16" s="3"/>
      <c r="R16" s="3"/>
    </row>
    <row r="17" spans="12:18" x14ac:dyDescent="0.15">
      <c r="L17" s="3"/>
      <c r="M17" s="3"/>
      <c r="R17" s="3"/>
    </row>
    <row r="18" spans="12:18" x14ac:dyDescent="0.15">
      <c r="L18" s="3"/>
      <c r="M18" s="3"/>
      <c r="R18" s="3"/>
    </row>
    <row r="19" spans="12:18" x14ac:dyDescent="0.15">
      <c r="L19" s="3"/>
      <c r="M19" s="3"/>
      <c r="R19" s="3"/>
    </row>
    <row r="20" spans="12:18" x14ac:dyDescent="0.15">
      <c r="L20" s="3"/>
      <c r="M20" s="3"/>
      <c r="R20" s="3"/>
    </row>
    <row r="21" spans="12:18" x14ac:dyDescent="0.15">
      <c r="L21" s="3"/>
      <c r="M21" s="3"/>
      <c r="R21" s="3"/>
    </row>
    <row r="22" spans="12:18" x14ac:dyDescent="0.15">
      <c r="L22" s="3"/>
      <c r="M22" s="3"/>
      <c r="R22" s="3"/>
    </row>
    <row r="23" spans="12:18" x14ac:dyDescent="0.15">
      <c r="L23" s="3"/>
      <c r="M23" s="3"/>
      <c r="R23" s="3"/>
    </row>
    <row r="24" spans="12:18" x14ac:dyDescent="0.15">
      <c r="L24" s="3"/>
      <c r="M24" s="3"/>
      <c r="R24" s="3"/>
    </row>
    <row r="25" spans="12:18" x14ac:dyDescent="0.15">
      <c r="L25" s="3"/>
      <c r="M25" s="3"/>
      <c r="R25" s="3"/>
    </row>
    <row r="26" spans="12:18" x14ac:dyDescent="0.15">
      <c r="L26" s="3"/>
      <c r="M26" s="3"/>
      <c r="R26" s="3"/>
    </row>
    <row r="27" spans="12:18" x14ac:dyDescent="0.15">
      <c r="L27" s="3"/>
      <c r="M27" s="3"/>
      <c r="R27" s="3"/>
    </row>
    <row r="28" spans="12:18" x14ac:dyDescent="0.15">
      <c r="L28" s="3"/>
      <c r="M28" s="3"/>
      <c r="R28" s="3"/>
    </row>
    <row r="29" spans="12:18" x14ac:dyDescent="0.15">
      <c r="L29" s="3"/>
      <c r="M29" s="3"/>
      <c r="R29" s="3"/>
    </row>
    <row r="30" spans="12:18" x14ac:dyDescent="0.15">
      <c r="L30" s="3"/>
      <c r="M30" s="4"/>
      <c r="N30" s="6"/>
      <c r="O30" s="3"/>
      <c r="P30" s="3"/>
      <c r="Q30" s="3"/>
      <c r="R30" s="3"/>
    </row>
    <row r="31" spans="12:18" x14ac:dyDescent="0.15">
      <c r="L31" s="3"/>
      <c r="M31" s="3"/>
      <c r="N31" s="3"/>
      <c r="O31" s="3"/>
      <c r="P31" s="3"/>
      <c r="Q31" s="3"/>
      <c r="R31" s="3"/>
    </row>
    <row r="32" spans="12:18" x14ac:dyDescent="0.15">
      <c r="L32" s="3"/>
      <c r="M32" s="3"/>
      <c r="N32" s="3"/>
      <c r="O32" s="3"/>
      <c r="P32" s="3"/>
      <c r="Q32" s="3"/>
      <c r="R32" s="3"/>
    </row>
    <row r="33" spans="12:18" x14ac:dyDescent="0.15">
      <c r="L33" s="3"/>
      <c r="M33" s="3"/>
      <c r="N33" s="3"/>
      <c r="O33" s="3"/>
      <c r="P33" s="3"/>
      <c r="Q33" s="3"/>
      <c r="R33" s="3"/>
    </row>
    <row r="34" spans="12:18" x14ac:dyDescent="0.15">
      <c r="L34" s="3"/>
      <c r="M34" s="3"/>
      <c r="N34" s="3"/>
      <c r="O34" s="3"/>
      <c r="P34" s="3"/>
      <c r="Q34" s="3"/>
      <c r="R34" s="3"/>
    </row>
    <row r="35" spans="12:18" x14ac:dyDescent="0.15">
      <c r="L35" s="3"/>
      <c r="M35" s="3"/>
      <c r="N35" s="3"/>
      <c r="O35" s="3"/>
      <c r="P35" s="3"/>
      <c r="Q35" s="3"/>
      <c r="R35" s="3"/>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入力項目説明</vt:lpstr>
      <vt:lpstr>入力・結果</vt:lpstr>
      <vt:lpstr>基礎（直埋め）</vt:lpstr>
      <vt:lpstr>基礎（根枷）</vt:lpstr>
      <vt:lpstr>基礎（根巻）</vt:lpstr>
      <vt:lpstr>標準的なパターン</vt:lpstr>
      <vt:lpstr>Sheet2</vt:lpstr>
      <vt:lpstr>'基礎（根巻）'!Print_Area</vt:lpstr>
      <vt:lpstr>'基礎（根枷）'!Print_Area</vt:lpstr>
      <vt:lpstr>'基礎（直埋め）'!Print_Area</vt:lpstr>
      <vt:lpstr>入力・結果!Print_Area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2026-02-27T10:43:32Z</cp:lastPrinted>
  <dcterms:created xsi:type="dcterms:W3CDTF">2025-10-03T12:26:24Z</dcterms:created>
  <dcterms:modified xsi:type="dcterms:W3CDTF">2026-04-21T02:46:31Z</dcterms:modified>
</cp:coreProperties>
</file>