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ml.chartshapes+xml"/>
  <Override PartName="/xl/charts/chart5.xml" ContentType="application/vnd.openxmlformats-officedocument.drawingml.chart+xml"/>
  <Override PartName="/xl/drawings/drawing4.xml" ContentType="application/vnd.openxmlformats-officedocument.drawingml.chartshapes+xml"/>
  <Override PartName="/xl/charts/chart6.xml" ContentType="application/vnd.openxmlformats-officedocument.drawingml.chart+xml"/>
  <Override PartName="/xl/drawings/drawing5.xml" ContentType="application/vnd.openxmlformats-officedocument.drawingml.chartshapes+xml"/>
  <Override PartName="/xl/charts/chart7.xml" ContentType="application/vnd.openxmlformats-officedocument.drawingml.chart+xml"/>
  <Override PartName="/xl/drawings/drawing6.xml" ContentType="application/vnd.openxmlformats-officedocument.drawingml.chartshapes+xml"/>
  <Override PartName="/xl/charts/chart8.xml" ContentType="application/vnd.openxmlformats-officedocument.drawingml.chart+xml"/>
  <Override PartName="/xl/drawings/drawing7.xml" ContentType="application/vnd.openxmlformats-officedocument.drawingml.chartshapes+xml"/>
  <Override PartName="/xl/charts/chart9.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11.xml" ContentType="application/vnd.openxmlformats-officedocument.drawingml.chartshapes+xml"/>
  <Override PartName="/xl/charts/chart13.xml" ContentType="application/vnd.openxmlformats-officedocument.drawingml.chart+xml"/>
  <Override PartName="/xl/drawings/drawing12.xml" ContentType="application/vnd.openxmlformats-officedocument.drawingml.chartshapes+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ml.chartshapes+xml"/>
  <Override PartName="/xl/charts/chart16.xml" ContentType="application/vnd.openxmlformats-officedocument.drawingml.chart+xml"/>
  <Override PartName="/xl/drawings/drawing14.xml" ContentType="application/vnd.openxmlformats-officedocument.drawingml.chartshapes+xml"/>
  <Override PartName="/xl/charts/chart17.xml" ContentType="application/vnd.openxmlformats-officedocument.drawingml.chart+xml"/>
  <Override PartName="/xl/drawings/drawing15.xml" ContentType="application/vnd.openxmlformats-officedocument.drawingml.chartshapes+xml"/>
  <Override PartName="/xl/charts/chart18.xml" ContentType="application/vnd.openxmlformats-officedocument.drawingml.chart+xml"/>
  <Override PartName="/xl/drawings/drawing16.xml" ContentType="application/vnd.openxmlformats-officedocument.drawingml.chartshapes+xml"/>
  <Override PartName="/xl/charts/chart19.xml" ContentType="application/vnd.openxmlformats-officedocument.drawingml.chart+xml"/>
  <Override PartName="/xl/drawings/drawing17.xml" ContentType="application/vnd.openxmlformats-officedocument.drawingml.chartshapes+xml"/>
  <Override PartName="/xl/charts/chart20.xml" ContentType="application/vnd.openxmlformats-officedocument.drawingml.chart+xml"/>
  <Override PartName="/xl/drawings/drawing18.xml" ContentType="application/vnd.openxmlformats-officedocument.drawingml.chartshapes+xml"/>
  <Override PartName="/xl/comments2.xml" ContentType="application/vnd.openxmlformats-officedocument.spreadsheetml.comments+xml"/>
  <Override PartName="/xl/drawings/drawing1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0.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IBECSV2\jsbc研究開発部\05_CASBEE\4_★CASBEE評価マニュアル\2016年度版（H28)\新築の追補版（東京都対応）2016v4\"/>
    </mc:Choice>
  </mc:AlternateContent>
  <xr:revisionPtr revIDLastSave="0" documentId="13_ncr:1_{164F9273-A8B5-41E1-B578-A66F54A5C6C6}" xr6:coauthVersionLast="47" xr6:coauthVersionMax="47" xr10:uidLastSave="{00000000-0000-0000-0000-000000000000}"/>
  <bookViews>
    <workbookView xWindow="-120" yWindow="-120" windowWidth="29040" windowHeight="15840" tabRatio="744" firstSheet="1" activeTab="1" xr2:uid="{00000000-000D-0000-FFFF-FFFF00000000}"/>
  </bookViews>
  <sheets>
    <sheet name="結果_IS" sheetId="21" state="hidden" r:id="rId1"/>
    <sheet name="メイン" sheetId="2" r:id="rId2"/>
    <sheet name="結果" sheetId="4" r:id="rId3"/>
    <sheet name="配慮" sheetId="7" r:id="rId4"/>
    <sheet name="係数" sheetId="3" r:id="rId5"/>
    <sheet name="複合用途" sheetId="22" state="hidden" r:id="rId6"/>
    <sheet name="スコア" sheetId="5" r:id="rId7"/>
    <sheet name="採点Q1" sheetId="8" r:id="rId8"/>
    <sheet name="採点Q2" sheetId="9" r:id="rId9"/>
    <sheet name="採点Q3" sheetId="10" r:id="rId10"/>
    <sheet name="採点LR1" sheetId="11" r:id="rId11"/>
    <sheet name="計画書" sheetId="20" r:id="rId12"/>
    <sheet name="採点LR2" sheetId="13" r:id="rId13"/>
    <sheet name="採点LR3" sheetId="14" r:id="rId14"/>
    <sheet name="CO2計算" sheetId="6" r:id="rId15"/>
    <sheet name="条件(標準)" sheetId="16" r:id="rId16"/>
    <sheet name="条件(個別)" sheetId="17" r:id="rId17"/>
    <sheet name="重み" sheetId="18" r:id="rId18"/>
    <sheet name="CO2データ" sheetId="15" r:id="rId19"/>
    <sheet name="クレジット" sheetId="19" r:id="rId20"/>
  </sheets>
  <definedNames>
    <definedName name="_xlnm._FilterDatabase" localSheetId="7" hidden="1">採点Q1!#REF!</definedName>
    <definedName name="_xlnm.Print_Area" localSheetId="18">CO2データ!$A$1:$R$317</definedName>
    <definedName name="_xlnm.Print_Area" localSheetId="14">CO2計算!$B$1:$Z$178</definedName>
    <definedName name="_xlnm.Print_Area" localSheetId="19">クレジット!$A$1:$S$37</definedName>
    <definedName name="_xlnm.Print_Area" localSheetId="6">スコア!$A$1:$W$195,スコア!#REF!,スコア!$AL$1:$AU$195</definedName>
    <definedName name="_xlnm.Print_Area" localSheetId="1">メイン!$A$1:$G$72</definedName>
    <definedName name="_xlnm.Print_Area" localSheetId="4">係数!$A$1:$N$87</definedName>
    <definedName name="_xlnm.Print_Area" localSheetId="11">計画書!$A$1:$Q$129</definedName>
    <definedName name="_xlnm.Print_Area" localSheetId="2">結果!$A$1:$P$98</definedName>
    <definedName name="_xlnm.Print_Area" localSheetId="0">結果_IS!$A$1:$P$98</definedName>
    <definedName name="_xlnm.Print_Area" localSheetId="10">採点LR1!$C$1:$P$154</definedName>
    <definedName name="_xlnm.Print_Area" localSheetId="12">採点LR2!$D$1:$P$297</definedName>
    <definedName name="_xlnm.Print_Area" localSheetId="13">採点LR3!$D$1:$P$273</definedName>
    <definedName name="_xlnm.Print_Area" localSheetId="7">採点Q1!$D$1:$P$476</definedName>
    <definedName name="_xlnm.Print_Area" localSheetId="8">採点Q2!$C$1:$P$427</definedName>
    <definedName name="_xlnm.Print_Area" localSheetId="9">採点Q3!$1:$136</definedName>
    <definedName name="_xlnm.Print_Area" localSheetId="17">重み!$A$1:$AE$194</definedName>
    <definedName name="_xlnm.Print_Area" localSheetId="16">'条件(個別)'!$A$1:$F$90</definedName>
    <definedName name="_xlnm.Print_Area" localSheetId="5">複合用途!$A$1:$CD$194</definedName>
    <definedName name="_xlnm.Print_Titles" localSheetId="17">重み!$5:$6</definedName>
    <definedName name="_xlnm.Print_Titles" localSheetId="5">複合用途!$5:$6</definedName>
    <definedName name="Z_047384A4_E844_4BB4_B522_1CE13C4699E4_.wvu.Cols" localSheetId="18" hidden="1">CO2データ!$G:$H,CO2データ!$S:$IV</definedName>
    <definedName name="Z_047384A4_E844_4BB4_B522_1CE13C4699E4_.wvu.Cols" localSheetId="14" hidden="1">CO2計算!$Q:$IV</definedName>
    <definedName name="Z_047384A4_E844_4BB4_B522_1CE13C4699E4_.wvu.Cols" localSheetId="19" hidden="1">クレジット!$T:$IV</definedName>
    <definedName name="Z_047384A4_E844_4BB4_B522_1CE13C4699E4_.wvu.Cols" localSheetId="6" hidden="1">スコア!#REF!,スコア!$Z:$GU</definedName>
    <definedName name="Z_047384A4_E844_4BB4_B522_1CE13C4699E4_.wvu.Cols" localSheetId="1" hidden="1">メイン!$I:$IV</definedName>
    <definedName name="Z_047384A4_E844_4BB4_B522_1CE13C4699E4_.wvu.Cols" localSheetId="10" hidden="1">採点LR1!$Q:$IV</definedName>
    <definedName name="Z_047384A4_E844_4BB4_B522_1CE13C4699E4_.wvu.Cols" localSheetId="12" hidden="1">採点LR2!$Q:$IW</definedName>
    <definedName name="Z_047384A4_E844_4BB4_B522_1CE13C4699E4_.wvu.Cols" localSheetId="13" hidden="1">採点LR3!$Q:$IV</definedName>
    <definedName name="Z_047384A4_E844_4BB4_B522_1CE13C4699E4_.wvu.Cols" localSheetId="7" hidden="1">採点Q1!$Q:$IV</definedName>
    <definedName name="Z_047384A4_E844_4BB4_B522_1CE13C4699E4_.wvu.Cols" localSheetId="8" hidden="1">採点Q2!$Q:$IV</definedName>
    <definedName name="Z_047384A4_E844_4BB4_B522_1CE13C4699E4_.wvu.Cols" localSheetId="9" hidden="1">採点Q3!$Q:$IV</definedName>
    <definedName name="Z_047384A4_E844_4BB4_B522_1CE13C4699E4_.wvu.Cols" localSheetId="17" hidden="1">重み!$Q:$Q,重み!$AY:$AY,重み!$BP:$BP,重み!$CG:$IW</definedName>
    <definedName name="Z_047384A4_E844_4BB4_B522_1CE13C4699E4_.wvu.Cols" localSheetId="16" hidden="1">'条件(個別)'!$H:$IV</definedName>
    <definedName name="Z_047384A4_E844_4BB4_B522_1CE13C4699E4_.wvu.Cols" localSheetId="15" hidden="1">'条件(標準)'!$H:$IV</definedName>
    <definedName name="Z_047384A4_E844_4BB4_B522_1CE13C4699E4_.wvu.Cols" localSheetId="3" hidden="1">配慮!$H:$IW</definedName>
    <definedName name="Z_047384A4_E844_4BB4_B522_1CE13C4699E4_.wvu.Cols" localSheetId="5" hidden="1">複合用途!$BP:$BP,複合用途!$CX:$CX,複合用途!$DO:$DO,複合用途!$EF:$KV</definedName>
    <definedName name="Z_047384A4_E844_4BB4_B522_1CE13C4699E4_.wvu.PrintArea" localSheetId="18" hidden="1">CO2データ!$A$1:$R$317</definedName>
    <definedName name="Z_047384A4_E844_4BB4_B522_1CE13C4699E4_.wvu.PrintArea" localSheetId="14" hidden="1">CO2計算!$B$1:$Z$178</definedName>
    <definedName name="Z_047384A4_E844_4BB4_B522_1CE13C4699E4_.wvu.PrintArea" localSheetId="19" hidden="1">クレジット!$A$1:$S$37</definedName>
    <definedName name="Z_047384A4_E844_4BB4_B522_1CE13C4699E4_.wvu.PrintArea" localSheetId="6" hidden="1">スコア!$A$1:$V$195</definedName>
    <definedName name="Z_047384A4_E844_4BB4_B522_1CE13C4699E4_.wvu.PrintArea" localSheetId="1" hidden="1">メイン!$A$1:$G$70</definedName>
    <definedName name="Z_047384A4_E844_4BB4_B522_1CE13C4699E4_.wvu.PrintArea" localSheetId="2" hidden="1">結果!$A$1:$P$98</definedName>
    <definedName name="Z_047384A4_E844_4BB4_B522_1CE13C4699E4_.wvu.PrintArea" localSheetId="0" hidden="1">結果_IS!$A$1:$P$98</definedName>
    <definedName name="Z_047384A4_E844_4BB4_B522_1CE13C4699E4_.wvu.PrintArea" localSheetId="10" hidden="1">採点LR1!$C$1:$P$153</definedName>
    <definedName name="Z_047384A4_E844_4BB4_B522_1CE13C4699E4_.wvu.PrintArea" localSheetId="12" hidden="1">採点LR2!$C$1:$P$229</definedName>
    <definedName name="Z_047384A4_E844_4BB4_B522_1CE13C4699E4_.wvu.PrintArea" localSheetId="13" hidden="1">採点LR3!$C$1:$P$269</definedName>
    <definedName name="Z_047384A4_E844_4BB4_B522_1CE13C4699E4_.wvu.PrintArea" localSheetId="7" hidden="1">採点Q1!$A$1:$P$476</definedName>
    <definedName name="Z_047384A4_E844_4BB4_B522_1CE13C4699E4_.wvu.PrintArea" localSheetId="8" hidden="1">採点Q2!$C$1:$P$456</definedName>
    <definedName name="Z_047384A4_E844_4BB4_B522_1CE13C4699E4_.wvu.PrintArea" localSheetId="9" hidden="1">採点Q3!$C$1:$P$157</definedName>
    <definedName name="Z_047384A4_E844_4BB4_B522_1CE13C4699E4_.wvu.PrintArea" localSheetId="17" hidden="1">重み!$A$1:$CD$194</definedName>
    <definedName name="Z_047384A4_E844_4BB4_B522_1CE13C4699E4_.wvu.PrintArea" localSheetId="5" hidden="1">複合用途!$A$1:$EC$194</definedName>
    <definedName name="Z_047384A4_E844_4BB4_B522_1CE13C4699E4_.wvu.PrintTitles" localSheetId="17" hidden="1">重み!$5:$6</definedName>
    <definedName name="Z_047384A4_E844_4BB4_B522_1CE13C4699E4_.wvu.PrintTitles" localSheetId="5" hidden="1">複合用途!$5:$6</definedName>
    <definedName name="Z_047384A4_E844_4BB4_B522_1CE13C4699E4_.wvu.Rows" localSheetId="18" hidden="1">CO2データ!$319:$65582,CO2データ!$6:$6,CO2データ!$10:$12,CO2データ!$16:$18,CO2データ!$22:$24,CO2データ!$28:$30,CO2データ!$34:$36,CO2データ!$40:$42,CO2データ!$46:$48,CO2データ!$52:$54,CO2データ!$58:$60,CO2データ!$66:$67,CO2データ!$69:$70,CO2データ!$72:$73,CO2データ!$75:$76,CO2データ!$78:$79,CO2データ!$81:$82,CO2データ!$84:$85,CO2データ!$87:$88,CO2データ!$90:$91,CO2データ!$228:$228,CO2データ!#REF!,CO2データ!#REF!,CO2データ!#REF!,CO2データ!$309:$309,CO2データ!$318:$318</definedName>
    <definedName name="Z_047384A4_E844_4BB4_B522_1CE13C4699E4_.wvu.Rows" localSheetId="14" hidden="1">CO2計算!$174:$65538,CO2計算!$26:$99,CO2計算!$138:$173</definedName>
    <definedName name="Z_047384A4_E844_4BB4_B522_1CE13C4699E4_.wvu.Rows" localSheetId="19" hidden="1">クレジット!$39:$65536,クレジット!$38:$38</definedName>
    <definedName name="Z_047384A4_E844_4BB4_B522_1CE13C4699E4_.wvu.Rows" localSheetId="6" hidden="1">スコア!$196:$65553,スコア!$33:$34,スコア!$77:$77,スコア!$90:$92,スコア!$99:$99,スコア!$120:$120,スコア!$125:$126,スコア!$130:$137</definedName>
    <definedName name="Z_047384A4_E844_4BB4_B522_1CE13C4699E4_.wvu.Rows" localSheetId="1" hidden="1">メイン!$108:$65536,メイン!$89:$107</definedName>
    <definedName name="Z_047384A4_E844_4BB4_B522_1CE13C4699E4_.wvu.Rows" localSheetId="2" hidden="1">結果!$216:$65537,結果!$18:$21,結果!$72:$93,結果!$99:$215</definedName>
    <definedName name="Z_047384A4_E844_4BB4_B522_1CE13C4699E4_.wvu.Rows" localSheetId="0" hidden="1">結果_IS!$216:$65537,結果_IS!$18:$21,結果_IS!$72:$93,結果_IS!$99:$215</definedName>
    <definedName name="Z_047384A4_E844_4BB4_B522_1CE13C4699E4_.wvu.Rows" localSheetId="10" hidden="1">採点LR1!$315:$65541,採点LR1!#REF!,採点LR1!#REF!,採点LR1!$154:$313</definedName>
    <definedName name="Z_047384A4_E844_4BB4_B522_1CE13C4699E4_.wvu.Rows" localSheetId="12" hidden="1">採点LR2!$525:$65501,採点LR2!#REF!,採点LR2!$230:$524</definedName>
    <definedName name="Z_047384A4_E844_4BB4_B522_1CE13C4699E4_.wvu.Rows" localSheetId="13" hidden="1">採点LR3!$270:$65566,採点LR3!#REF!,採点LR3!#REF!</definedName>
    <definedName name="Z_047384A4_E844_4BB4_B522_1CE13C4699E4_.wvu.Rows" localSheetId="7" hidden="1">採点Q1!$677:$65570,採点Q1!#REF!,採点Q1!$477:$676</definedName>
    <definedName name="Z_047384A4_E844_4BB4_B522_1CE13C4699E4_.wvu.Rows" localSheetId="8" hidden="1">採点Q2!$461:$65568,採点Q2!$182:$202,採点Q2!$247:$247,採点Q2!#REF!,採点Q2!$424:$448</definedName>
    <definedName name="Z_047384A4_E844_4BB4_B522_1CE13C4699E4_.wvu.Rows" localSheetId="9" hidden="1">採点Q3!$285:$65561,採点Q3!$137:$283</definedName>
    <definedName name="Z_047384A4_E844_4BB4_B522_1CE13C4699E4_.wvu.Rows" localSheetId="17" hidden="1">重み!$233:$65550,重み!$33:$34,重み!$99:$99,重み!$120:$120,重み!$137:$137,重み!$196:$232</definedName>
    <definedName name="Z_047384A4_E844_4BB4_B522_1CE13C4699E4_.wvu.Rows" localSheetId="16" hidden="1">'条件(個別)'!$73:$65536,'条件(個別)'!$37:$37</definedName>
    <definedName name="Z_047384A4_E844_4BB4_B522_1CE13C4699E4_.wvu.Rows" localSheetId="15" hidden="1">'条件(標準)'!$73:$65536,'条件(標準)'!$37:$37</definedName>
    <definedName name="Z_047384A4_E844_4BB4_B522_1CE13C4699E4_.wvu.Rows" localSheetId="3" hidden="1">配慮!$12:$65391,配慮!#REF!</definedName>
    <definedName name="Z_047384A4_E844_4BB4_B522_1CE13C4699E4_.wvu.Rows" localSheetId="5" hidden="1">複合用途!$233:$65550,複合用途!$33:$34,複合用途!$99:$99,複合用途!$120:$120,複合用途!$137:$137,複合用途!$196:$232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73" i="5" l="1"/>
  <c r="P573" i="5"/>
  <c r="K573" i="5"/>
  <c r="G118" i="14"/>
  <c r="J53" i="14" l="1"/>
  <c r="H446" i="8" l="1"/>
  <c r="I47" i="5"/>
  <c r="I44" i="5"/>
  <c r="L38" i="13" l="1"/>
  <c r="L33" i="13"/>
  <c r="J339" i="5"/>
  <c r="H20" i="10" l="1"/>
  <c r="H45" i="14"/>
  <c r="R506" i="5"/>
  <c r="P548" i="5" l="1"/>
  <c r="P547" i="5"/>
  <c r="P546" i="5"/>
  <c r="L548" i="5"/>
  <c r="L546" i="5"/>
  <c r="L547" i="5"/>
  <c r="O401" i="5"/>
  <c r="H103" i="10"/>
  <c r="N506" i="5" l="1"/>
  <c r="L506" i="5"/>
  <c r="J16" i="20"/>
  <c r="O500" i="5"/>
  <c r="K500" i="5"/>
  <c r="T502" i="5"/>
  <c r="Q502" i="5"/>
  <c r="L403" i="5"/>
  <c r="O403" i="5"/>
  <c r="Q403" i="5"/>
  <c r="S403" i="5"/>
  <c r="S402" i="5"/>
  <c r="Q402" i="5"/>
  <c r="M402" i="5"/>
  <c r="O402" i="5"/>
  <c r="N401" i="5"/>
  <c r="S532" i="5"/>
  <c r="O532" i="5"/>
  <c r="K532" i="5"/>
  <c r="M343" i="5"/>
  <c r="L343" i="5"/>
  <c r="J83" i="13"/>
  <c r="L207" i="13" l="1"/>
  <c r="G356" i="9"/>
  <c r="G349" i="9" s="1"/>
  <c r="N49" i="14" l="1"/>
  <c r="N55" i="14"/>
  <c r="G20" i="10"/>
  <c r="N28" i="10" s="1"/>
  <c r="I110" i="10"/>
  <c r="M110" i="10"/>
  <c r="M106" i="10" s="1"/>
  <c r="J112" i="10"/>
  <c r="J108" i="10" s="1"/>
  <c r="J10" i="14"/>
  <c r="J10" i="13"/>
  <c r="J10" i="11"/>
  <c r="J10" i="10"/>
  <c r="J10" i="9"/>
  <c r="J9" i="10"/>
  <c r="O92" i="10"/>
  <c r="J9" i="14"/>
  <c r="J9" i="13"/>
  <c r="J9" i="11"/>
  <c r="J9" i="9"/>
  <c r="J54" i="14" l="1"/>
  <c r="M52" i="14"/>
  <c r="M105" i="10"/>
  <c r="N105" i="10"/>
  <c r="N63" i="14"/>
  <c r="I105" i="10" l="1"/>
  <c r="H105" i="10" s="1"/>
  <c r="K401" i="5"/>
  <c r="B232" i="5"/>
  <c r="B420" i="5" s="1"/>
  <c r="B259" i="5"/>
  <c r="B447" i="5" s="1"/>
  <c r="B262" i="5"/>
  <c r="B450" i="5" s="1"/>
  <c r="B303" i="5"/>
  <c r="B491" i="5" s="1"/>
  <c r="B304" i="5"/>
  <c r="B492" i="5" s="1"/>
  <c r="B348" i="5"/>
  <c r="B536" i="5" s="1"/>
  <c r="B349" i="5"/>
  <c r="B537" i="5" s="1"/>
  <c r="B350" i="5"/>
  <c r="B538" i="5" s="1"/>
  <c r="B351" i="5"/>
  <c r="B539" i="5" s="1"/>
  <c r="B352" i="5"/>
  <c r="B540" i="5" s="1"/>
  <c r="B353" i="5"/>
  <c r="B541" i="5" s="1"/>
  <c r="B354" i="5"/>
  <c r="B542" i="5" s="1"/>
  <c r="L38" i="11" l="1"/>
  <c r="L37" i="11"/>
  <c r="L36" i="11"/>
  <c r="L35" i="11"/>
  <c r="L34" i="11"/>
  <c r="O5" i="14"/>
  <c r="O4" i="14"/>
  <c r="O3" i="14"/>
  <c r="J382" i="5" l="1"/>
  <c r="I382" i="5"/>
  <c r="J379" i="5"/>
  <c r="I379" i="5"/>
  <c r="L370" i="5"/>
  <c r="N370" i="5"/>
  <c r="O370" i="5"/>
  <c r="J370" i="5"/>
  <c r="K370" i="5"/>
  <c r="I370" i="5"/>
  <c r="J369" i="5"/>
  <c r="K369" i="5"/>
  <c r="L369" i="5"/>
  <c r="M369" i="5"/>
  <c r="N369" i="5"/>
  <c r="I369" i="5"/>
  <c r="O365" i="5"/>
  <c r="P365" i="5"/>
  <c r="Q365" i="5"/>
  <c r="R365" i="5"/>
  <c r="M365" i="5"/>
  <c r="N365" i="5"/>
  <c r="J365" i="5"/>
  <c r="K365" i="5"/>
  <c r="L365" i="5"/>
  <c r="I365" i="5"/>
  <c r="L346" i="5"/>
  <c r="J346" i="5"/>
  <c r="K346" i="5"/>
  <c r="I346" i="5"/>
  <c r="J343" i="5"/>
  <c r="K343" i="5"/>
  <c r="I343" i="5"/>
  <c r="J341" i="5"/>
  <c r="K341" i="5"/>
  <c r="I341" i="5"/>
  <c r="K339" i="5"/>
  <c r="I339" i="5"/>
  <c r="J313" i="5"/>
  <c r="K313" i="5"/>
  <c r="L313" i="5"/>
  <c r="M313" i="5"/>
  <c r="N313" i="5"/>
  <c r="O313" i="5"/>
  <c r="P313" i="5"/>
  <c r="Q313" i="5"/>
  <c r="R313" i="5"/>
  <c r="S313" i="5"/>
  <c r="T313" i="5"/>
  <c r="U313" i="5"/>
  <c r="I313" i="5"/>
  <c r="Q308" i="5"/>
  <c r="P308" i="5"/>
  <c r="J308" i="5"/>
  <c r="K308" i="5"/>
  <c r="L308" i="5"/>
  <c r="M308" i="5"/>
  <c r="N308" i="5"/>
  <c r="O308" i="5"/>
  <c r="I308" i="5"/>
  <c r="O307" i="5"/>
  <c r="P307" i="5"/>
  <c r="N307" i="5"/>
  <c r="J307" i="5"/>
  <c r="K307" i="5"/>
  <c r="L307" i="5"/>
  <c r="M307" i="5"/>
  <c r="I307" i="5"/>
  <c r="J305" i="5"/>
  <c r="K305" i="5"/>
  <c r="L305" i="5"/>
  <c r="M305" i="5"/>
  <c r="N305" i="5"/>
  <c r="I305" i="5"/>
  <c r="J302" i="5"/>
  <c r="K302" i="5"/>
  <c r="L302" i="5"/>
  <c r="M302" i="5"/>
  <c r="N302" i="5"/>
  <c r="O302" i="5"/>
  <c r="P302" i="5"/>
  <c r="Q302" i="5"/>
  <c r="R302" i="5"/>
  <c r="S302" i="5"/>
  <c r="I302" i="5"/>
  <c r="J287" i="5"/>
  <c r="K287" i="5"/>
  <c r="L287" i="5"/>
  <c r="M287" i="5"/>
  <c r="N287" i="5"/>
  <c r="I287" i="5"/>
  <c r="J285" i="5"/>
  <c r="K285" i="5"/>
  <c r="L285" i="5"/>
  <c r="M285" i="5"/>
  <c r="N285" i="5"/>
  <c r="I285" i="5"/>
  <c r="J284" i="5"/>
  <c r="K284" i="5"/>
  <c r="L284" i="5"/>
  <c r="M284" i="5"/>
  <c r="N284" i="5"/>
  <c r="O284" i="5"/>
  <c r="I284" i="5"/>
  <c r="J283" i="5"/>
  <c r="K283" i="5"/>
  <c r="L283" i="5"/>
  <c r="M283" i="5"/>
  <c r="I283" i="5"/>
  <c r="J266" i="5"/>
  <c r="K266" i="5"/>
  <c r="L266" i="5"/>
  <c r="M266" i="5"/>
  <c r="N266" i="5"/>
  <c r="O266" i="5"/>
  <c r="P266" i="5"/>
  <c r="Q266" i="5"/>
  <c r="I266" i="5"/>
  <c r="R265" i="5"/>
  <c r="S265" i="5"/>
  <c r="T265" i="5"/>
  <c r="U265" i="5"/>
  <c r="J265" i="5"/>
  <c r="K265" i="5"/>
  <c r="L265" i="5"/>
  <c r="M265" i="5"/>
  <c r="N265" i="5"/>
  <c r="O265" i="5"/>
  <c r="P265" i="5"/>
  <c r="Q265" i="5"/>
  <c r="I265" i="5"/>
  <c r="R264" i="5"/>
  <c r="S264" i="5"/>
  <c r="T264" i="5"/>
  <c r="J264" i="5"/>
  <c r="K264" i="5"/>
  <c r="L264" i="5"/>
  <c r="M264" i="5"/>
  <c r="N264" i="5"/>
  <c r="O264" i="5"/>
  <c r="P264" i="5"/>
  <c r="Q264" i="5"/>
  <c r="I264" i="5"/>
  <c r="N261" i="5"/>
  <c r="O261" i="5"/>
  <c r="P261" i="5"/>
  <c r="M261" i="5"/>
  <c r="J261" i="5"/>
  <c r="K261" i="5"/>
  <c r="L261" i="5"/>
  <c r="I261" i="5"/>
  <c r="O55" i="14"/>
  <c r="T574" i="5" s="1"/>
  <c r="Q501" i="5"/>
  <c r="Q574" i="5"/>
  <c r="L54" i="14"/>
  <c r="I54" i="14"/>
  <c r="N50" i="14" s="1"/>
  <c r="N553" i="5"/>
  <c r="K553" i="5"/>
  <c r="K533" i="5"/>
  <c r="K526" i="5"/>
  <c r="T506" i="5"/>
  <c r="P506" i="5"/>
  <c r="L501" i="5"/>
  <c r="T501" i="5"/>
  <c r="J496" i="5"/>
  <c r="K481" i="5"/>
  <c r="K480" i="5"/>
  <c r="K479" i="5"/>
  <c r="K462" i="5"/>
  <c r="K461" i="5"/>
  <c r="K460" i="5"/>
  <c r="O448" i="5"/>
  <c r="L448" i="5"/>
  <c r="K446" i="5"/>
  <c r="K443" i="5"/>
  <c r="K442" i="5"/>
  <c r="N442" i="5"/>
  <c r="S442" i="5"/>
  <c r="Q442" i="5"/>
  <c r="L433" i="5"/>
  <c r="L55" i="14" l="1"/>
  <c r="O574" i="5" s="1"/>
  <c r="J414" i="5"/>
  <c r="I194" i="5" l="1"/>
  <c r="I193" i="5"/>
  <c r="I191" i="5"/>
  <c r="I190" i="5"/>
  <c r="I189" i="5"/>
  <c r="I187" i="5"/>
  <c r="I186" i="5"/>
  <c r="I185" i="5"/>
  <c r="I181" i="5"/>
  <c r="I180" i="5"/>
  <c r="I179" i="5"/>
  <c r="I178" i="5"/>
  <c r="I176" i="5"/>
  <c r="I175" i="5"/>
  <c r="I173" i="5"/>
  <c r="I171" i="5"/>
  <c r="I170" i="5"/>
  <c r="I169" i="5"/>
  <c r="I167" i="5"/>
  <c r="I157" i="5"/>
  <c r="I156" i="5"/>
  <c r="I154" i="5"/>
  <c r="I153" i="5"/>
  <c r="I152" i="5"/>
  <c r="I150" i="5"/>
  <c r="I149" i="5"/>
  <c r="I147" i="5"/>
  <c r="I144" i="5"/>
  <c r="I141" i="5"/>
  <c r="I143" i="5"/>
  <c r="I140" i="5"/>
  <c r="I129" i="5"/>
  <c r="I124" i="5" l="1"/>
  <c r="I123" i="5"/>
  <c r="I119" i="5"/>
  <c r="I118" i="5"/>
  <c r="I116" i="5"/>
  <c r="I113" i="5"/>
  <c r="I111" i="5"/>
  <c r="I110" i="5"/>
  <c r="I109" i="5"/>
  <c r="I108" i="5"/>
  <c r="I107" i="5"/>
  <c r="I106" i="5"/>
  <c r="I104" i="5"/>
  <c r="I103" i="5"/>
  <c r="I102" i="5"/>
  <c r="I98" i="5"/>
  <c r="I97" i="5"/>
  <c r="I96" i="5"/>
  <c r="I95" i="5"/>
  <c r="I94" i="5"/>
  <c r="I88" i="5"/>
  <c r="I87" i="5"/>
  <c r="I86" i="5"/>
  <c r="I85" i="5"/>
  <c r="I84" i="5"/>
  <c r="I83" i="5"/>
  <c r="I81" i="5"/>
  <c r="I80" i="5"/>
  <c r="I77" i="5"/>
  <c r="I76" i="5"/>
  <c r="I75" i="5"/>
  <c r="I72" i="5"/>
  <c r="I71" i="5"/>
  <c r="I69" i="5"/>
  <c r="I67" i="5"/>
  <c r="I66" i="5"/>
  <c r="I65" i="5"/>
  <c r="I61" i="5"/>
  <c r="I60" i="5"/>
  <c r="I57" i="5"/>
  <c r="I56" i="5"/>
  <c r="I55" i="5"/>
  <c r="I50" i="5"/>
  <c r="I42" i="5"/>
  <c r="I39" i="5"/>
  <c r="I38" i="5"/>
  <c r="I37" i="5"/>
  <c r="I31" i="5"/>
  <c r="I30" i="5"/>
  <c r="I25" i="5"/>
  <c r="I24" i="5"/>
  <c r="I22" i="5"/>
  <c r="I19" i="5"/>
  <c r="I18" i="5"/>
  <c r="I17" i="5"/>
  <c r="I16" i="5"/>
  <c r="I15" i="5" l="1"/>
  <c r="I11" i="5"/>
  <c r="G288" i="9"/>
  <c r="M327" i="9"/>
  <c r="O288" i="9" l="1"/>
  <c r="M288" i="9"/>
  <c r="K288" i="9"/>
  <c r="H285" i="5"/>
  <c r="O327" i="9"/>
  <c r="G287" i="5"/>
  <c r="F341" i="9"/>
  <c r="G283" i="5"/>
  <c r="O202" i="9"/>
  <c r="K202" i="9"/>
  <c r="G154" i="9"/>
  <c r="G140" i="9" s="1"/>
  <c r="O128" i="9"/>
  <c r="G128" i="9"/>
  <c r="O119" i="9"/>
  <c r="F132" i="9" l="1"/>
  <c r="G265" i="5"/>
  <c r="O20" i="10"/>
  <c r="H21" i="10" s="1"/>
  <c r="G21" i="10" s="1"/>
  <c r="N30" i="10" s="1"/>
  <c r="K490" i="5" l="1"/>
  <c r="O135" i="10"/>
  <c r="N120" i="10"/>
  <c r="M55" i="14"/>
  <c r="K52" i="14"/>
  <c r="K55" i="14" s="1"/>
  <c r="L574" i="5" s="1"/>
  <c r="J52" i="14"/>
  <c r="J55" i="14" s="1"/>
  <c r="J574" i="5" s="1"/>
  <c r="I52" i="14"/>
  <c r="N48" i="14" s="1"/>
  <c r="J50" i="14"/>
  <c r="L108" i="10"/>
  <c r="L50" i="14" l="1"/>
  <c r="I50" i="14" s="1"/>
  <c r="H50" i="14" s="1"/>
  <c r="I108" i="10"/>
  <c r="H108" i="10" s="1"/>
  <c r="O107" i="10"/>
  <c r="J106" i="10"/>
  <c r="O490" i="5"/>
  <c r="L48" i="14"/>
  <c r="K106" i="10"/>
  <c r="G135" i="10"/>
  <c r="G308" i="5" s="1"/>
  <c r="O58" i="10"/>
  <c r="O38" i="10"/>
  <c r="G57" i="11"/>
  <c r="O57" i="13"/>
  <c r="G57" i="13"/>
  <c r="N65" i="14"/>
  <c r="K49" i="14"/>
  <c r="M49" i="14"/>
  <c r="L49" i="14"/>
  <c r="J49" i="14"/>
  <c r="I106" i="10" l="1"/>
  <c r="H106" i="10" s="1"/>
  <c r="I49" i="14"/>
  <c r="H49" i="14" s="1"/>
  <c r="I107" i="10"/>
  <c r="H107" i="10" s="1"/>
  <c r="N126" i="10" s="1"/>
  <c r="N122" i="10"/>
  <c r="G52" i="13"/>
  <c r="G341" i="5"/>
  <c r="G117" i="10"/>
  <c r="F96" i="10" s="1"/>
  <c r="N130" i="10"/>
  <c r="J48" i="14"/>
  <c r="M48" i="14"/>
  <c r="K48" i="14"/>
  <c r="I48" i="14" l="1"/>
  <c r="H48" i="14" s="1"/>
  <c r="T496" i="5"/>
  <c r="N69" i="14"/>
  <c r="P572" i="5"/>
  <c r="N496" i="5"/>
  <c r="Q496" i="5"/>
  <c r="N124" i="10"/>
  <c r="N71" i="14"/>
  <c r="S572" i="5"/>
  <c r="N67" i="14" l="1"/>
  <c r="L572" i="5"/>
  <c r="G126" i="13"/>
  <c r="O259" i="14"/>
  <c r="G259" i="14"/>
  <c r="G228" i="14"/>
  <c r="O228" i="14"/>
  <c r="O78" i="14"/>
  <c r="G78" i="14"/>
  <c r="O118" i="14"/>
  <c r="G369" i="5"/>
  <c r="O138" i="14"/>
  <c r="K21" i="11"/>
  <c r="F29" i="14"/>
  <c r="G365" i="5" l="1"/>
  <c r="G57" i="14"/>
  <c r="F38" i="14" s="1"/>
  <c r="G222" i="14"/>
  <c r="F214" i="14" s="1"/>
  <c r="G379" i="5"/>
  <c r="G252" i="14"/>
  <c r="F244" i="14" s="1"/>
  <c r="G382" i="5"/>
  <c r="G121" i="13"/>
  <c r="G346" i="5"/>
  <c r="G111" i="14"/>
  <c r="F103" i="14" s="1"/>
  <c r="G197" i="13" l="1"/>
  <c r="F189" i="13" s="1"/>
  <c r="G356" i="5"/>
  <c r="J82" i="13"/>
  <c r="J81" i="13"/>
  <c r="J80" i="13"/>
  <c r="J79" i="13"/>
  <c r="F213" i="13"/>
  <c r="F113" i="13" l="1"/>
  <c r="P3" i="22" l="1"/>
  <c r="CC8" i="22"/>
  <c r="CB8" i="22"/>
  <c r="BO3" i="22"/>
  <c r="BZ56" i="22" s="1"/>
  <c r="BL56" i="22" s="1"/>
  <c r="BZ8" i="22"/>
  <c r="BL8" i="22" s="1"/>
  <c r="BY8" i="22"/>
  <c r="BK8" i="22" s="1"/>
  <c r="AM5" i="22"/>
  <c r="AW5" i="22"/>
  <c r="AM6" i="22"/>
  <c r="Y6" i="22" s="1"/>
  <c r="AN6" i="22"/>
  <c r="Z6" i="22" s="1"/>
  <c r="AO6" i="22"/>
  <c r="AA6" i="22" s="1"/>
  <c r="AP6" i="22"/>
  <c r="AB6" i="22" s="1"/>
  <c r="AQ6" i="22"/>
  <c r="AC6" i="22" s="1"/>
  <c r="AR6" i="22"/>
  <c r="AD6" i="22" s="1"/>
  <c r="AS6" i="22"/>
  <c r="AE6" i="22" s="1"/>
  <c r="AT6" i="22"/>
  <c r="AF6" i="22" s="1"/>
  <c r="AU6" i="22"/>
  <c r="AG6" i="22" s="1"/>
  <c r="AV6" i="22"/>
  <c r="AH6" i="22" s="1"/>
  <c r="AW6" i="22"/>
  <c r="AI6" i="22" s="1"/>
  <c r="AX6" i="22"/>
  <c r="AJ6" i="22" s="1"/>
  <c r="AY6" i="22"/>
  <c r="AK6" i="22" s="1"/>
  <c r="EZ8" i="22"/>
  <c r="K9" i="22"/>
  <c r="L9" i="22"/>
  <c r="AR9" i="22"/>
  <c r="ES9" i="22"/>
  <c r="ET9" i="22"/>
  <c r="EU9" i="22"/>
  <c r="L10" i="22"/>
  <c r="K10" i="22" s="1"/>
  <c r="Y10" i="22"/>
  <c r="Z10" i="22"/>
  <c r="AA10" i="22"/>
  <c r="AB10" i="22"/>
  <c r="AC10" i="22"/>
  <c r="AD10" i="22"/>
  <c r="AE10" i="22"/>
  <c r="AF10" i="22"/>
  <c r="AG10" i="22"/>
  <c r="AH10" i="22"/>
  <c r="AI10" i="22"/>
  <c r="AJ10" i="22"/>
  <c r="AK10" i="22"/>
  <c r="EI10" i="22"/>
  <c r="EJ10" i="22"/>
  <c r="EK10" i="22"/>
  <c r="EL10" i="22"/>
  <c r="EM10" i="22"/>
  <c r="EN10" i="22"/>
  <c r="EO10" i="22"/>
  <c r="EP10" i="22"/>
  <c r="EQ10" i="22"/>
  <c r="ER10" i="22"/>
  <c r="ES10" i="22"/>
  <c r="ET10" i="22"/>
  <c r="EU10" i="22"/>
  <c r="EZ10" i="22"/>
  <c r="K11" i="22"/>
  <c r="L11" i="22"/>
  <c r="Y11" i="22"/>
  <c r="Z11" i="22"/>
  <c r="AA11" i="22"/>
  <c r="AB11" i="22"/>
  <c r="AC11" i="22"/>
  <c r="AD11" i="22"/>
  <c r="AE11" i="22"/>
  <c r="AF11" i="22"/>
  <c r="AG11" i="22"/>
  <c r="AH11" i="22"/>
  <c r="AI11" i="22"/>
  <c r="AJ11" i="22"/>
  <c r="AK11" i="22"/>
  <c r="K12" i="22"/>
  <c r="L12" i="22"/>
  <c r="Y12" i="22"/>
  <c r="Z12" i="22"/>
  <c r="AA12" i="22"/>
  <c r="AB12" i="22"/>
  <c r="AC12" i="22"/>
  <c r="AD12" i="22"/>
  <c r="AE12" i="22"/>
  <c r="AF12" i="22"/>
  <c r="AG12" i="22"/>
  <c r="AH12" i="22"/>
  <c r="AI12" i="22"/>
  <c r="AJ12" i="22"/>
  <c r="AK12" i="22"/>
  <c r="EZ12" i="22"/>
  <c r="K13" i="22"/>
  <c r="L13" i="22"/>
  <c r="Y13" i="22"/>
  <c r="Z13" i="22"/>
  <c r="AA13" i="22"/>
  <c r="AB13" i="22"/>
  <c r="AC13" i="22"/>
  <c r="AD13" i="22"/>
  <c r="AE13" i="22"/>
  <c r="AF13" i="22"/>
  <c r="AG13" i="22"/>
  <c r="AH13" i="22"/>
  <c r="AI13" i="22"/>
  <c r="AJ13" i="22"/>
  <c r="AK13" i="22"/>
  <c r="EZ13" i="22"/>
  <c r="K14" i="22"/>
  <c r="L14" i="22"/>
  <c r="Y14" i="22"/>
  <c r="Z14" i="22"/>
  <c r="AA14" i="22"/>
  <c r="AB14" i="22"/>
  <c r="AC14" i="22"/>
  <c r="AD14" i="22"/>
  <c r="AE14" i="22"/>
  <c r="AF14" i="22"/>
  <c r="AG14" i="22"/>
  <c r="AH14" i="22"/>
  <c r="AI14" i="22"/>
  <c r="AJ14" i="22"/>
  <c r="AK14" i="22"/>
  <c r="K15" i="22"/>
  <c r="L15" i="22"/>
  <c r="Y15" i="22"/>
  <c r="Z15" i="22"/>
  <c r="AA15" i="22"/>
  <c r="AB15" i="22"/>
  <c r="AC15" i="22"/>
  <c r="AD15" i="22"/>
  <c r="AE15" i="22"/>
  <c r="AF15" i="22"/>
  <c r="AG15" i="22"/>
  <c r="AH15" i="22"/>
  <c r="AI15" i="22"/>
  <c r="AJ15" i="22"/>
  <c r="AK15" i="22"/>
  <c r="EI15" i="22"/>
  <c r="EJ15" i="22"/>
  <c r="EK15" i="22"/>
  <c r="EL15" i="22"/>
  <c r="EM15" i="22"/>
  <c r="EN15" i="22"/>
  <c r="EO15" i="22"/>
  <c r="EP15" i="22"/>
  <c r="EQ15" i="22"/>
  <c r="ER15" i="22"/>
  <c r="ES15" i="22"/>
  <c r="ET15" i="22"/>
  <c r="EU15" i="22"/>
  <c r="K16" i="22"/>
  <c r="L16" i="22"/>
  <c r="Y16" i="22"/>
  <c r="Z16" i="22"/>
  <c r="AA16" i="22"/>
  <c r="AB16" i="22"/>
  <c r="AC16" i="22"/>
  <c r="AD16" i="22"/>
  <c r="AE16" i="22"/>
  <c r="AF16" i="22"/>
  <c r="AG16" i="22"/>
  <c r="AH16" i="22"/>
  <c r="AI16" i="22"/>
  <c r="AJ16" i="22"/>
  <c r="AK16" i="22"/>
  <c r="EI16" i="22"/>
  <c r="EJ16" i="22"/>
  <c r="EK16" i="22"/>
  <c r="EL16" i="22"/>
  <c r="EM16" i="22"/>
  <c r="EN16" i="22"/>
  <c r="EO16" i="22"/>
  <c r="EP16" i="22"/>
  <c r="EQ16" i="22"/>
  <c r="ER16" i="22"/>
  <c r="ES16" i="22"/>
  <c r="ET16" i="22"/>
  <c r="EU16" i="22"/>
  <c r="K17" i="22"/>
  <c r="L17" i="22"/>
  <c r="Y17" i="22"/>
  <c r="Z17" i="22"/>
  <c r="AA17" i="22"/>
  <c r="AB17" i="22"/>
  <c r="AC17" i="22"/>
  <c r="AD17" i="22"/>
  <c r="AE17" i="22"/>
  <c r="AF17" i="22"/>
  <c r="AG17" i="22"/>
  <c r="AH17" i="22"/>
  <c r="AI17" i="22"/>
  <c r="AJ17" i="22"/>
  <c r="AK17" i="22"/>
  <c r="EI17" i="22"/>
  <c r="EJ17" i="22"/>
  <c r="EK17" i="22"/>
  <c r="EL17" i="22"/>
  <c r="EM17" i="22"/>
  <c r="EN17" i="22"/>
  <c r="EO17" i="22"/>
  <c r="EP17" i="22"/>
  <c r="EQ17" i="22"/>
  <c r="ER17" i="22"/>
  <c r="ES17" i="22"/>
  <c r="ET17" i="22"/>
  <c r="EU17" i="22"/>
  <c r="K18" i="22"/>
  <c r="L18" i="22"/>
  <c r="Y18" i="22"/>
  <c r="Z18" i="22"/>
  <c r="AA18" i="22"/>
  <c r="AB18" i="22"/>
  <c r="AC18" i="22"/>
  <c r="AD18" i="22"/>
  <c r="AE18" i="22"/>
  <c r="AF18" i="22"/>
  <c r="AG18" i="22"/>
  <c r="AH18" i="22"/>
  <c r="AI18" i="22"/>
  <c r="AJ18" i="22"/>
  <c r="AK18" i="22"/>
  <c r="EI18" i="22"/>
  <c r="EJ18" i="22"/>
  <c r="EK18" i="22"/>
  <c r="EL18" i="22"/>
  <c r="EM18" i="22"/>
  <c r="EN18" i="22"/>
  <c r="EO18" i="22"/>
  <c r="EP18" i="22"/>
  <c r="EQ18" i="22"/>
  <c r="ER18" i="22"/>
  <c r="ES18" i="22"/>
  <c r="ET18" i="22"/>
  <c r="EU18" i="22"/>
  <c r="K19" i="22"/>
  <c r="L19" i="22"/>
  <c r="Y19" i="22"/>
  <c r="Z19" i="22"/>
  <c r="AA19" i="22"/>
  <c r="AB19" i="22"/>
  <c r="AC19" i="22"/>
  <c r="AD19" i="22"/>
  <c r="AE19" i="22"/>
  <c r="AF19" i="22"/>
  <c r="AG19" i="22"/>
  <c r="AH19" i="22"/>
  <c r="AI19" i="22"/>
  <c r="AJ19" i="22"/>
  <c r="AK19" i="22"/>
  <c r="ER19" i="22"/>
  <c r="EU19" i="22"/>
  <c r="K20" i="22"/>
  <c r="L20" i="22"/>
  <c r="Y20" i="22"/>
  <c r="Z20" i="22"/>
  <c r="AA20" i="22"/>
  <c r="AB20" i="22"/>
  <c r="AC20" i="22"/>
  <c r="AD20" i="22"/>
  <c r="AE20" i="22"/>
  <c r="AF20" i="22"/>
  <c r="AG20" i="22"/>
  <c r="AH20" i="22"/>
  <c r="AI20" i="22"/>
  <c r="AJ20" i="22"/>
  <c r="AK20" i="22"/>
  <c r="EI20" i="22"/>
  <c r="EJ20" i="22"/>
  <c r="EK20" i="22"/>
  <c r="EL20" i="22"/>
  <c r="EM20" i="22"/>
  <c r="EN20" i="22"/>
  <c r="EO20" i="22"/>
  <c r="EP20" i="22"/>
  <c r="EQ20" i="22"/>
  <c r="ER20" i="22"/>
  <c r="ES20" i="22"/>
  <c r="ET20" i="22"/>
  <c r="EU20" i="22"/>
  <c r="EZ20" i="22"/>
  <c r="K21" i="22"/>
  <c r="L21" i="22"/>
  <c r="Y21" i="22"/>
  <c r="Z21" i="22"/>
  <c r="AA21" i="22"/>
  <c r="AB21" i="22"/>
  <c r="AC21" i="22"/>
  <c r="AD21" i="22"/>
  <c r="AE21" i="22"/>
  <c r="AF21" i="22"/>
  <c r="AG21" i="22"/>
  <c r="AH21" i="22"/>
  <c r="AI21" i="22"/>
  <c r="AJ21" i="22"/>
  <c r="AK21" i="22"/>
  <c r="EI21" i="22"/>
  <c r="EJ21" i="22"/>
  <c r="EK21" i="22"/>
  <c r="EL21" i="22"/>
  <c r="EM21" i="22"/>
  <c r="EN21" i="22"/>
  <c r="EO21" i="22"/>
  <c r="EP21" i="22"/>
  <c r="EQ21" i="22"/>
  <c r="ER21" i="22"/>
  <c r="ES21" i="22"/>
  <c r="ET21" i="22"/>
  <c r="EU21" i="22"/>
  <c r="EZ21" i="22"/>
  <c r="K22" i="22"/>
  <c r="L22" i="22"/>
  <c r="Y22" i="22"/>
  <c r="Z22" i="22"/>
  <c r="AA22" i="22"/>
  <c r="AB22" i="22"/>
  <c r="AC22" i="22"/>
  <c r="AD22" i="22"/>
  <c r="AE22" i="22"/>
  <c r="AF22" i="22"/>
  <c r="AG22" i="22"/>
  <c r="AH22" i="22"/>
  <c r="AI22" i="22"/>
  <c r="AJ22" i="22"/>
  <c r="AK22" i="22"/>
  <c r="DQ22" i="22"/>
  <c r="DR22" i="22"/>
  <c r="DS22" i="22"/>
  <c r="DT22" i="22"/>
  <c r="DU22" i="22"/>
  <c r="DV22" i="22"/>
  <c r="DW22" i="22"/>
  <c r="EO22" i="22" s="1"/>
  <c r="DX22" i="22"/>
  <c r="DY22" i="22"/>
  <c r="DZ22" i="22"/>
  <c r="EA22" i="22"/>
  <c r="EB22" i="22"/>
  <c r="EC22" i="22"/>
  <c r="EI22" i="22"/>
  <c r="EK22" i="22"/>
  <c r="EM22" i="22"/>
  <c r="EQ22" i="22"/>
  <c r="ES22" i="22"/>
  <c r="EU22" i="22"/>
  <c r="EZ22" i="22"/>
  <c r="K23" i="22"/>
  <c r="L23" i="22"/>
  <c r="Y23" i="22"/>
  <c r="Z23" i="22"/>
  <c r="AA23" i="22"/>
  <c r="AB23" i="22"/>
  <c r="AC23" i="22"/>
  <c r="AD23" i="22"/>
  <c r="AE23" i="22"/>
  <c r="AF23" i="22"/>
  <c r="AG23" i="22"/>
  <c r="AH23" i="22"/>
  <c r="AI23" i="22"/>
  <c r="AJ23" i="22"/>
  <c r="AK23" i="22"/>
  <c r="EI23" i="22"/>
  <c r="EJ23" i="22"/>
  <c r="EK23" i="22"/>
  <c r="EL23" i="22"/>
  <c r="EM23" i="22"/>
  <c r="EN23" i="22"/>
  <c r="EO23" i="22"/>
  <c r="EP23" i="22"/>
  <c r="EQ23" i="22"/>
  <c r="ER23" i="22"/>
  <c r="ES23" i="22"/>
  <c r="ET23" i="22"/>
  <c r="EU23" i="22"/>
  <c r="EZ23" i="22"/>
  <c r="K24" i="22"/>
  <c r="L24" i="22"/>
  <c r="Y24" i="22"/>
  <c r="Z24" i="22"/>
  <c r="AA24" i="22"/>
  <c r="AB24" i="22"/>
  <c r="AC24" i="22"/>
  <c r="AD24" i="22"/>
  <c r="AE24" i="22"/>
  <c r="AF24" i="22"/>
  <c r="AG24" i="22"/>
  <c r="AH24" i="22"/>
  <c r="AI24" i="22"/>
  <c r="AJ24" i="22"/>
  <c r="AK24" i="22"/>
  <c r="DQ24" i="22"/>
  <c r="DR24" i="22"/>
  <c r="EJ24" i="22" s="1"/>
  <c r="DS24" i="22"/>
  <c r="DT24" i="22"/>
  <c r="DU24" i="22"/>
  <c r="DV24" i="22"/>
  <c r="EN24" i="22" s="1"/>
  <c r="DW24" i="22"/>
  <c r="DX24" i="22"/>
  <c r="DY24" i="22"/>
  <c r="DZ24" i="22"/>
  <c r="ER24" i="22" s="1"/>
  <c r="EA24" i="22"/>
  <c r="EB24" i="22"/>
  <c r="EC24" i="22"/>
  <c r="EL24" i="22"/>
  <c r="EP24" i="22"/>
  <c r="ET24" i="22"/>
  <c r="K25" i="22"/>
  <c r="L25" i="22"/>
  <c r="Y25" i="22"/>
  <c r="Z25" i="22"/>
  <c r="AA25" i="22"/>
  <c r="AB25" i="22"/>
  <c r="AC25" i="22"/>
  <c r="AD25" i="22"/>
  <c r="AE25" i="22"/>
  <c r="AF25" i="22"/>
  <c r="AG25" i="22"/>
  <c r="AH25" i="22"/>
  <c r="AI25" i="22"/>
  <c r="AJ25" i="22"/>
  <c r="AK25" i="22"/>
  <c r="DQ25" i="22"/>
  <c r="EI25" i="22" s="1"/>
  <c r="DS25" i="22"/>
  <c r="DT25" i="22"/>
  <c r="DU25" i="22"/>
  <c r="DV25" i="22"/>
  <c r="DX25" i="22"/>
  <c r="DY25" i="22"/>
  <c r="EQ25" i="22" s="1"/>
  <c r="EJ25" i="22"/>
  <c r="EK25" i="22"/>
  <c r="EL25" i="22"/>
  <c r="EM25" i="22"/>
  <c r="EN25" i="22"/>
  <c r="EO25" i="22"/>
  <c r="ER25" i="22"/>
  <c r="ES25" i="22"/>
  <c r="ET25" i="22"/>
  <c r="EU25" i="22"/>
  <c r="K26" i="22"/>
  <c r="L26" i="22"/>
  <c r="Y26" i="22"/>
  <c r="Z26" i="22"/>
  <c r="AA26" i="22"/>
  <c r="AB26" i="22"/>
  <c r="AC26" i="22"/>
  <c r="AD26" i="22"/>
  <c r="AE26" i="22"/>
  <c r="AF26" i="22"/>
  <c r="AG26" i="22"/>
  <c r="AH26" i="22"/>
  <c r="AI26" i="22"/>
  <c r="AJ26" i="22"/>
  <c r="AK26" i="22"/>
  <c r="EI26" i="22"/>
  <c r="EJ26" i="22"/>
  <c r="EK26" i="22"/>
  <c r="EL26" i="22"/>
  <c r="EM26" i="22"/>
  <c r="EN26" i="22"/>
  <c r="EO26" i="22"/>
  <c r="EP26" i="22"/>
  <c r="EQ26" i="22"/>
  <c r="ER26" i="22"/>
  <c r="ES26" i="22"/>
  <c r="ET26" i="22"/>
  <c r="EU26" i="22"/>
  <c r="EZ26" i="22"/>
  <c r="K27" i="22"/>
  <c r="L27" i="22"/>
  <c r="Y27" i="22"/>
  <c r="Z27" i="22"/>
  <c r="AA27" i="22"/>
  <c r="AB27" i="22"/>
  <c r="AC27" i="22"/>
  <c r="AD27" i="22"/>
  <c r="AE27" i="22"/>
  <c r="AF27" i="22"/>
  <c r="AG27" i="22"/>
  <c r="AH27" i="22"/>
  <c r="AI27" i="22"/>
  <c r="AJ27" i="22"/>
  <c r="AK27" i="22"/>
  <c r="EI27" i="22"/>
  <c r="EJ27" i="22"/>
  <c r="EK27" i="22"/>
  <c r="EL27" i="22"/>
  <c r="EM27" i="22"/>
  <c r="EN27" i="22"/>
  <c r="EO27" i="22"/>
  <c r="EP27" i="22"/>
  <c r="EQ27" i="22"/>
  <c r="ER27" i="22"/>
  <c r="ES27" i="22"/>
  <c r="ET27" i="22"/>
  <c r="EU27" i="22"/>
  <c r="EZ27" i="22"/>
  <c r="K28" i="22"/>
  <c r="L28" i="22"/>
  <c r="Y28" i="22"/>
  <c r="Z28" i="22"/>
  <c r="AA28" i="22"/>
  <c r="AB28" i="22"/>
  <c r="AC28" i="22"/>
  <c r="AD28" i="22"/>
  <c r="AE28" i="22"/>
  <c r="AF28" i="22"/>
  <c r="AG28" i="22"/>
  <c r="AH28" i="22"/>
  <c r="AI28" i="22"/>
  <c r="AJ28" i="22"/>
  <c r="AK28" i="22"/>
  <c r="EI28" i="22"/>
  <c r="EJ28" i="22"/>
  <c r="EK28" i="22"/>
  <c r="EL28" i="22"/>
  <c r="EM28" i="22"/>
  <c r="EN28" i="22"/>
  <c r="EO28" i="22"/>
  <c r="EP28" i="22"/>
  <c r="EQ28" i="22"/>
  <c r="ER28" i="22"/>
  <c r="ES28" i="22"/>
  <c r="ET28" i="22"/>
  <c r="EU28" i="22"/>
  <c r="EZ28" i="22"/>
  <c r="K29" i="22"/>
  <c r="L29" i="22"/>
  <c r="Y29" i="22"/>
  <c r="Z29" i="22"/>
  <c r="AA29" i="22"/>
  <c r="AB29" i="22"/>
  <c r="AC29" i="22"/>
  <c r="AD29" i="22"/>
  <c r="AE29" i="22"/>
  <c r="AF29" i="22"/>
  <c r="AG29" i="22"/>
  <c r="AH29" i="22"/>
  <c r="AI29" i="22"/>
  <c r="AJ29" i="22"/>
  <c r="AK29" i="22"/>
  <c r="EI29" i="22"/>
  <c r="EJ29" i="22"/>
  <c r="EK29" i="22"/>
  <c r="EL29" i="22"/>
  <c r="EM29" i="22"/>
  <c r="EN29" i="22"/>
  <c r="EO29" i="22"/>
  <c r="EP29" i="22"/>
  <c r="EQ29" i="22"/>
  <c r="ER29" i="22"/>
  <c r="ES29" i="22"/>
  <c r="ET29" i="22"/>
  <c r="EU29" i="22"/>
  <c r="EZ29" i="22"/>
  <c r="K30" i="22"/>
  <c r="L30" i="22"/>
  <c r="Y30" i="22"/>
  <c r="Z30" i="22"/>
  <c r="AA30" i="22"/>
  <c r="AB30" i="22"/>
  <c r="AC30" i="22"/>
  <c r="AD30" i="22"/>
  <c r="AE30" i="22"/>
  <c r="AF30" i="22"/>
  <c r="AG30" i="22"/>
  <c r="AH30" i="22"/>
  <c r="AI30" i="22"/>
  <c r="AJ30" i="22"/>
  <c r="AK30" i="22"/>
  <c r="EI30" i="22"/>
  <c r="EJ30" i="22"/>
  <c r="EK30" i="22"/>
  <c r="EL30" i="22"/>
  <c r="EM30" i="22"/>
  <c r="EN30" i="22"/>
  <c r="EO30" i="22"/>
  <c r="EP30" i="22"/>
  <c r="EQ30" i="22"/>
  <c r="ER30" i="22"/>
  <c r="ES30" i="22"/>
  <c r="ET30" i="22"/>
  <c r="EU30" i="22"/>
  <c r="EZ30" i="22"/>
  <c r="K31" i="22"/>
  <c r="L31" i="22"/>
  <c r="Y31" i="22"/>
  <c r="Z31" i="22"/>
  <c r="AA31" i="22"/>
  <c r="AB31" i="22"/>
  <c r="AC31" i="22"/>
  <c r="AD31" i="22"/>
  <c r="AE31" i="22"/>
  <c r="AF31" i="22"/>
  <c r="AG31" i="22"/>
  <c r="AH31" i="22"/>
  <c r="AI31" i="22"/>
  <c r="AJ31" i="22"/>
  <c r="AK31" i="22"/>
  <c r="EI31" i="22"/>
  <c r="EJ31" i="22"/>
  <c r="EK31" i="22"/>
  <c r="EL31" i="22"/>
  <c r="EM31" i="22"/>
  <c r="EN31" i="22"/>
  <c r="EO31" i="22"/>
  <c r="EP31" i="22"/>
  <c r="EQ31" i="22"/>
  <c r="ER31" i="22"/>
  <c r="ES31" i="22"/>
  <c r="ET31" i="22"/>
  <c r="EU31" i="22"/>
  <c r="EZ31" i="22"/>
  <c r="K32" i="22"/>
  <c r="L32" i="22"/>
  <c r="Y32" i="22"/>
  <c r="Z32" i="22"/>
  <c r="AA32" i="22"/>
  <c r="AB32" i="22"/>
  <c r="AC32" i="22"/>
  <c r="AD32" i="22"/>
  <c r="AE32" i="22"/>
  <c r="AF32" i="22"/>
  <c r="AG32" i="22"/>
  <c r="AH32" i="22"/>
  <c r="AI32" i="22"/>
  <c r="AJ32" i="22"/>
  <c r="AK32" i="22"/>
  <c r="EZ32" i="22"/>
  <c r="K33" i="22"/>
  <c r="L33" i="22"/>
  <c r="Y33" i="22"/>
  <c r="Z33" i="22"/>
  <c r="AA33" i="22"/>
  <c r="AB33" i="22"/>
  <c r="AC33" i="22"/>
  <c r="AD33" i="22"/>
  <c r="AE33" i="22"/>
  <c r="AF33" i="22"/>
  <c r="AG33" i="22"/>
  <c r="AH33" i="22"/>
  <c r="AI33" i="22"/>
  <c r="AJ33" i="22"/>
  <c r="AK33" i="22"/>
  <c r="EZ33" i="22"/>
  <c r="K34" i="22"/>
  <c r="L34" i="22"/>
  <c r="Y34" i="22"/>
  <c r="Z34" i="22"/>
  <c r="AA34" i="22"/>
  <c r="AB34" i="22"/>
  <c r="AC34" i="22"/>
  <c r="AD34" i="22"/>
  <c r="AE34" i="22"/>
  <c r="AF34" i="22"/>
  <c r="AG34" i="22"/>
  <c r="AH34" i="22"/>
  <c r="AI34" i="22"/>
  <c r="AJ34" i="22"/>
  <c r="AK34" i="22"/>
  <c r="EZ34" i="22"/>
  <c r="L35" i="22"/>
  <c r="K35" i="22" s="1"/>
  <c r="Y35" i="22"/>
  <c r="Z35" i="22"/>
  <c r="AA35" i="22"/>
  <c r="AB35" i="22"/>
  <c r="AC35" i="22"/>
  <c r="AD35" i="22"/>
  <c r="AE35" i="22"/>
  <c r="AF35" i="22"/>
  <c r="AG35" i="22"/>
  <c r="AH35" i="22"/>
  <c r="AI35" i="22"/>
  <c r="AJ35" i="22"/>
  <c r="AK35" i="22"/>
  <c r="EI35" i="22"/>
  <c r="EJ35" i="22"/>
  <c r="EK35" i="22"/>
  <c r="EL35" i="22"/>
  <c r="EM35" i="22"/>
  <c r="EN35" i="22"/>
  <c r="EO35" i="22"/>
  <c r="EP35" i="22"/>
  <c r="EQ35" i="22"/>
  <c r="ER35" i="22"/>
  <c r="ES35" i="22"/>
  <c r="ET35" i="22"/>
  <c r="EU35" i="22"/>
  <c r="EZ35" i="22"/>
  <c r="K36" i="22"/>
  <c r="L36" i="22"/>
  <c r="Y36" i="22"/>
  <c r="Z36" i="22"/>
  <c r="AA36" i="22"/>
  <c r="AB36" i="22"/>
  <c r="AC36" i="22"/>
  <c r="AD36" i="22"/>
  <c r="AE36" i="22"/>
  <c r="AF36" i="22"/>
  <c r="AG36" i="22"/>
  <c r="AH36" i="22"/>
  <c r="AI36" i="22"/>
  <c r="AJ36" i="22"/>
  <c r="AK36" i="22"/>
  <c r="EI36" i="22"/>
  <c r="EJ36" i="22"/>
  <c r="EK36" i="22"/>
  <c r="EL36" i="22"/>
  <c r="EM36" i="22"/>
  <c r="EN36" i="22"/>
  <c r="EO36" i="22"/>
  <c r="EP36" i="22"/>
  <c r="EQ36" i="22"/>
  <c r="ER36" i="22"/>
  <c r="ES36" i="22"/>
  <c r="ET36" i="22"/>
  <c r="EU36" i="22"/>
  <c r="EZ36" i="22"/>
  <c r="K37" i="22"/>
  <c r="L37" i="22"/>
  <c r="Y37" i="22"/>
  <c r="Z37" i="22"/>
  <c r="AA37" i="22"/>
  <c r="AB37" i="22"/>
  <c r="AC37" i="22"/>
  <c r="AD37" i="22"/>
  <c r="AE37" i="22"/>
  <c r="AF37" i="22"/>
  <c r="AG37" i="22"/>
  <c r="AH37" i="22"/>
  <c r="AI37" i="22"/>
  <c r="AJ37" i="22"/>
  <c r="AK37" i="22"/>
  <c r="EI37" i="22"/>
  <c r="EJ37" i="22"/>
  <c r="EK37" i="22"/>
  <c r="EL37" i="22"/>
  <c r="EM37" i="22"/>
  <c r="EN37" i="22"/>
  <c r="EO37" i="22"/>
  <c r="EP37" i="22"/>
  <c r="EQ37" i="22"/>
  <c r="ER37" i="22"/>
  <c r="ES37" i="22"/>
  <c r="ET37" i="22"/>
  <c r="EU37" i="22"/>
  <c r="EZ37" i="22"/>
  <c r="K38" i="22"/>
  <c r="L38" i="22"/>
  <c r="Y38" i="22"/>
  <c r="Z38" i="22"/>
  <c r="AA38" i="22"/>
  <c r="AB38" i="22"/>
  <c r="AC38" i="22"/>
  <c r="AD38" i="22"/>
  <c r="AE38" i="22"/>
  <c r="AF38" i="22"/>
  <c r="AG38" i="22"/>
  <c r="AH38" i="22"/>
  <c r="AI38" i="22"/>
  <c r="AJ38" i="22"/>
  <c r="AK38" i="22"/>
  <c r="EI38" i="22"/>
  <c r="EJ38" i="22"/>
  <c r="EK38" i="22"/>
  <c r="EL38" i="22"/>
  <c r="EM38" i="22"/>
  <c r="EN38" i="22"/>
  <c r="EO38" i="22"/>
  <c r="EP38" i="22"/>
  <c r="EQ38" i="22"/>
  <c r="ER38" i="22"/>
  <c r="ES38" i="22"/>
  <c r="ET38" i="22"/>
  <c r="EU38" i="22"/>
  <c r="EZ38" i="22"/>
  <c r="K39" i="22"/>
  <c r="L39" i="22"/>
  <c r="Y39" i="22"/>
  <c r="Z39" i="22"/>
  <c r="AA39" i="22"/>
  <c r="AB39" i="22"/>
  <c r="AC39" i="22"/>
  <c r="AD39" i="22"/>
  <c r="AE39" i="22"/>
  <c r="AF39" i="22"/>
  <c r="AG39" i="22"/>
  <c r="AH39" i="22"/>
  <c r="AI39" i="22"/>
  <c r="AJ39" i="22"/>
  <c r="AK39" i="22"/>
  <c r="EI39" i="22"/>
  <c r="EJ39" i="22"/>
  <c r="EK39" i="22"/>
  <c r="EL39" i="22"/>
  <c r="EM39" i="22"/>
  <c r="EN39" i="22"/>
  <c r="EO39" i="22"/>
  <c r="EP39" i="22"/>
  <c r="EQ39" i="22"/>
  <c r="ER39" i="22"/>
  <c r="ES39" i="22"/>
  <c r="ET39" i="22"/>
  <c r="EU39" i="22"/>
  <c r="EZ39" i="22"/>
  <c r="K40" i="22"/>
  <c r="L40" i="22"/>
  <c r="Y40" i="22"/>
  <c r="Z40" i="22"/>
  <c r="AA40" i="22"/>
  <c r="AB40" i="22"/>
  <c r="AC40" i="22"/>
  <c r="AD40" i="22"/>
  <c r="AE40" i="22"/>
  <c r="AF40" i="22"/>
  <c r="AG40" i="22"/>
  <c r="AH40" i="22"/>
  <c r="AI40" i="22"/>
  <c r="AJ40" i="22"/>
  <c r="AK40" i="22"/>
  <c r="EI40" i="22"/>
  <c r="EJ40" i="22"/>
  <c r="EK40" i="22"/>
  <c r="EL40" i="22"/>
  <c r="EM40" i="22"/>
  <c r="EN40" i="22"/>
  <c r="EO40" i="22"/>
  <c r="EP40" i="22"/>
  <c r="EQ40" i="22"/>
  <c r="ER40" i="22"/>
  <c r="ES40" i="22"/>
  <c r="ET40" i="22"/>
  <c r="EU40" i="22"/>
  <c r="EZ40" i="22"/>
  <c r="K41" i="22"/>
  <c r="L41" i="22"/>
  <c r="Y41" i="22"/>
  <c r="Z41" i="22"/>
  <c r="AA41" i="22"/>
  <c r="AB41" i="22"/>
  <c r="AC41" i="22"/>
  <c r="AD41" i="22"/>
  <c r="AE41" i="22"/>
  <c r="AF41" i="22"/>
  <c r="AG41" i="22"/>
  <c r="AH41" i="22"/>
  <c r="AI41" i="22"/>
  <c r="AJ41" i="22"/>
  <c r="AK41" i="22"/>
  <c r="EI41" i="22"/>
  <c r="EJ41" i="22"/>
  <c r="EK41" i="22"/>
  <c r="EL41" i="22"/>
  <c r="EM41" i="22"/>
  <c r="EN41" i="22"/>
  <c r="EO41" i="22"/>
  <c r="EP41" i="22"/>
  <c r="EQ41" i="22"/>
  <c r="ER41" i="22"/>
  <c r="ES41" i="22"/>
  <c r="ET41" i="22"/>
  <c r="EU41" i="22"/>
  <c r="K42" i="22"/>
  <c r="L42" i="22"/>
  <c r="Y42" i="22"/>
  <c r="Z42" i="22"/>
  <c r="AA42" i="22"/>
  <c r="AB42" i="22"/>
  <c r="AC42" i="22"/>
  <c r="AD42" i="22"/>
  <c r="AE42" i="22"/>
  <c r="AF42" i="22"/>
  <c r="AG42" i="22"/>
  <c r="AH42" i="22"/>
  <c r="AI42" i="22"/>
  <c r="AJ42" i="22"/>
  <c r="AK42" i="22"/>
  <c r="EI42" i="22"/>
  <c r="EJ42" i="22"/>
  <c r="EK42" i="22"/>
  <c r="EL42" i="22"/>
  <c r="EM42" i="22"/>
  <c r="EN42" i="22"/>
  <c r="EO42" i="22"/>
  <c r="EP42" i="22"/>
  <c r="EQ42" i="22"/>
  <c r="ER42" i="22"/>
  <c r="ES42" i="22"/>
  <c r="ET42" i="22"/>
  <c r="EU42" i="22"/>
  <c r="K43" i="22"/>
  <c r="L43" i="22"/>
  <c r="Y43" i="22"/>
  <c r="Z43" i="22"/>
  <c r="AA43" i="22"/>
  <c r="AB43" i="22"/>
  <c r="AC43" i="22"/>
  <c r="AD43" i="22"/>
  <c r="AE43" i="22"/>
  <c r="AF43" i="22"/>
  <c r="AG43" i="22"/>
  <c r="AH43" i="22"/>
  <c r="AI43" i="22"/>
  <c r="AJ43" i="22"/>
  <c r="AK43" i="22"/>
  <c r="BR43" i="22"/>
  <c r="BD43" i="22" s="1"/>
  <c r="K44" i="22"/>
  <c r="L44" i="22"/>
  <c r="Y44" i="22"/>
  <c r="Z44" i="22"/>
  <c r="AA44" i="22"/>
  <c r="AB44" i="22"/>
  <c r="AC44" i="22"/>
  <c r="AD44" i="22"/>
  <c r="AE44" i="22"/>
  <c r="AF44" i="22"/>
  <c r="AG44" i="22"/>
  <c r="AH44" i="22"/>
  <c r="AI44" i="22"/>
  <c r="AJ44" i="22"/>
  <c r="AK44" i="22"/>
  <c r="BX44" i="22"/>
  <c r="BJ44" i="22" s="1"/>
  <c r="EI44" i="22"/>
  <c r="EJ44" i="22"/>
  <c r="EK44" i="22"/>
  <c r="EL44" i="22"/>
  <c r="EM44" i="22"/>
  <c r="EN44" i="22"/>
  <c r="EO44" i="22"/>
  <c r="EP44" i="22"/>
  <c r="EQ44" i="22"/>
  <c r="ER44" i="22"/>
  <c r="ES44" i="22"/>
  <c r="ET44" i="22"/>
  <c r="EU44" i="22"/>
  <c r="EZ44" i="22"/>
  <c r="K45" i="22"/>
  <c r="L45" i="22"/>
  <c r="Y45" i="22"/>
  <c r="Z45" i="22"/>
  <c r="AA45" i="22"/>
  <c r="AB45" i="22"/>
  <c r="AC45" i="22"/>
  <c r="AD45" i="22"/>
  <c r="AE45" i="22"/>
  <c r="AF45" i="22"/>
  <c r="AG45" i="22"/>
  <c r="AH45" i="22"/>
  <c r="AI45" i="22"/>
  <c r="AJ45" i="22"/>
  <c r="AK45" i="22"/>
  <c r="EI45" i="22"/>
  <c r="EJ45" i="22"/>
  <c r="EK45" i="22"/>
  <c r="EL45" i="22"/>
  <c r="EM45" i="22"/>
  <c r="EN45" i="22"/>
  <c r="EO45" i="22"/>
  <c r="EP45" i="22"/>
  <c r="EQ45" i="22"/>
  <c r="ER45" i="22"/>
  <c r="ES45" i="22"/>
  <c r="ET45" i="22"/>
  <c r="EU45" i="22"/>
  <c r="EZ45" i="22"/>
  <c r="K46" i="22"/>
  <c r="L46" i="22"/>
  <c r="Y46" i="22"/>
  <c r="Z46" i="22"/>
  <c r="AA46" i="22"/>
  <c r="AB46" i="22"/>
  <c r="AC46" i="22"/>
  <c r="AD46" i="22"/>
  <c r="AE46" i="22"/>
  <c r="AF46" i="22"/>
  <c r="AG46" i="22"/>
  <c r="AH46" i="22"/>
  <c r="AI46" i="22"/>
  <c r="AJ46" i="22"/>
  <c r="AK46" i="22"/>
  <c r="EI46" i="22"/>
  <c r="EJ46" i="22"/>
  <c r="EK46" i="22"/>
  <c r="EL46" i="22"/>
  <c r="EM46" i="22"/>
  <c r="EN46" i="22"/>
  <c r="EO46" i="22"/>
  <c r="EP46" i="22"/>
  <c r="EQ46" i="22"/>
  <c r="ER46" i="22"/>
  <c r="ES46" i="22"/>
  <c r="ET46" i="22"/>
  <c r="EU46" i="22"/>
  <c r="EZ46" i="22"/>
  <c r="K47" i="22"/>
  <c r="L47" i="22"/>
  <c r="Y47" i="22"/>
  <c r="Z47" i="22"/>
  <c r="AA47" i="22"/>
  <c r="AB47" i="22"/>
  <c r="AC47" i="22"/>
  <c r="AD47" i="22"/>
  <c r="AE47" i="22"/>
  <c r="AF47" i="22"/>
  <c r="AG47" i="22"/>
  <c r="AH47" i="22"/>
  <c r="AI47" i="22"/>
  <c r="AJ47" i="22"/>
  <c r="AK47" i="22"/>
  <c r="EI47" i="22"/>
  <c r="EJ47" i="22"/>
  <c r="EK47" i="22"/>
  <c r="EL47" i="22"/>
  <c r="EM47" i="22"/>
  <c r="EN47" i="22"/>
  <c r="EO47" i="22"/>
  <c r="EP47" i="22"/>
  <c r="EQ47" i="22"/>
  <c r="ER47" i="22"/>
  <c r="ES47" i="22"/>
  <c r="ET47" i="22"/>
  <c r="EU47" i="22"/>
  <c r="EZ47" i="22"/>
  <c r="L48" i="22"/>
  <c r="K48" i="22" s="1"/>
  <c r="Y48" i="22"/>
  <c r="Z48" i="22"/>
  <c r="AA48" i="22"/>
  <c r="AB48" i="22"/>
  <c r="AC48" i="22"/>
  <c r="AD48" i="22"/>
  <c r="AE48" i="22"/>
  <c r="AF48" i="22"/>
  <c r="AG48" i="22"/>
  <c r="AH48" i="22"/>
  <c r="AI48" i="22"/>
  <c r="AJ48" i="22"/>
  <c r="AK48" i="22"/>
  <c r="EI48" i="22"/>
  <c r="EJ48" i="22"/>
  <c r="EK48" i="22"/>
  <c r="EL48" i="22"/>
  <c r="EM48" i="22"/>
  <c r="EN48" i="22"/>
  <c r="EO48" i="22"/>
  <c r="EP48" i="22"/>
  <c r="EQ48" i="22"/>
  <c r="ER48" i="22"/>
  <c r="ES48" i="22"/>
  <c r="ET48" i="22"/>
  <c r="EU48" i="22"/>
  <c r="EZ48" i="22"/>
  <c r="K49" i="22"/>
  <c r="L49" i="22"/>
  <c r="Y49" i="22"/>
  <c r="Z49" i="22"/>
  <c r="AA49" i="22"/>
  <c r="AB49" i="22"/>
  <c r="AC49" i="22"/>
  <c r="AD49" i="22"/>
  <c r="AE49" i="22"/>
  <c r="AF49" i="22"/>
  <c r="AG49" i="22"/>
  <c r="AH49" i="22"/>
  <c r="AI49" i="22"/>
  <c r="AJ49" i="22"/>
  <c r="AK49" i="22"/>
  <c r="BW49" i="22"/>
  <c r="BI49" i="22" s="1"/>
  <c r="EI49" i="22"/>
  <c r="EJ49" i="22"/>
  <c r="EK49" i="22"/>
  <c r="EL49" i="22"/>
  <c r="EM49" i="22"/>
  <c r="EN49" i="22"/>
  <c r="EO49" i="22"/>
  <c r="EP49" i="22"/>
  <c r="EQ49" i="22"/>
  <c r="ER49" i="22"/>
  <c r="ES49" i="22"/>
  <c r="ET49" i="22"/>
  <c r="EU49" i="22"/>
  <c r="EZ49" i="22"/>
  <c r="K50" i="22"/>
  <c r="L50" i="22"/>
  <c r="Y50" i="22"/>
  <c r="Z50" i="22"/>
  <c r="AA50" i="22"/>
  <c r="AB50" i="22"/>
  <c r="AC50" i="22"/>
  <c r="AD50" i="22"/>
  <c r="AE50" i="22"/>
  <c r="AF50" i="22"/>
  <c r="AG50" i="22"/>
  <c r="AH50" i="22"/>
  <c r="AI50" i="22"/>
  <c r="AJ50" i="22"/>
  <c r="AK50" i="22"/>
  <c r="EI50" i="22"/>
  <c r="EJ50" i="22"/>
  <c r="EK50" i="22"/>
  <c r="EL50" i="22"/>
  <c r="EM50" i="22"/>
  <c r="EN50" i="22"/>
  <c r="EO50" i="22"/>
  <c r="EP50" i="22"/>
  <c r="EQ50" i="22"/>
  <c r="ER50" i="22"/>
  <c r="ES50" i="22"/>
  <c r="ET50" i="22"/>
  <c r="EU50" i="22"/>
  <c r="EZ50" i="22"/>
  <c r="K51" i="22"/>
  <c r="L51" i="22"/>
  <c r="Y51" i="22"/>
  <c r="Z51" i="22"/>
  <c r="AA51" i="22"/>
  <c r="AB51" i="22"/>
  <c r="AC51" i="22"/>
  <c r="AD51" i="22"/>
  <c r="AE51" i="22"/>
  <c r="AF51" i="22"/>
  <c r="AG51" i="22"/>
  <c r="AH51" i="22"/>
  <c r="AI51" i="22"/>
  <c r="AJ51" i="22"/>
  <c r="AK51" i="22"/>
  <c r="K52" i="22"/>
  <c r="L52" i="22"/>
  <c r="Y52" i="22"/>
  <c r="Z52" i="22"/>
  <c r="AA52" i="22"/>
  <c r="AB52" i="22"/>
  <c r="AC52" i="22"/>
  <c r="AD52" i="22"/>
  <c r="AE52" i="22"/>
  <c r="AF52" i="22"/>
  <c r="AG52" i="22"/>
  <c r="AH52" i="22"/>
  <c r="AI52" i="22"/>
  <c r="AJ52" i="22"/>
  <c r="AK52" i="22"/>
  <c r="EI52" i="22"/>
  <c r="EJ52" i="22"/>
  <c r="EK52" i="22"/>
  <c r="EL52" i="22"/>
  <c r="EM52" i="22"/>
  <c r="EN52" i="22"/>
  <c r="EO52" i="22"/>
  <c r="EP52" i="22"/>
  <c r="EQ52" i="22"/>
  <c r="ER52" i="22"/>
  <c r="ES52" i="22"/>
  <c r="ET52" i="22"/>
  <c r="EU52" i="22"/>
  <c r="EZ52" i="22"/>
  <c r="K53" i="22"/>
  <c r="L53" i="22"/>
  <c r="Y53" i="22"/>
  <c r="Z53" i="22"/>
  <c r="AA53" i="22"/>
  <c r="AB53" i="22"/>
  <c r="AC53" i="22"/>
  <c r="AD53" i="22"/>
  <c r="AE53" i="22"/>
  <c r="AF53" i="22"/>
  <c r="AG53" i="22"/>
  <c r="AH53" i="22"/>
  <c r="AI53" i="22"/>
  <c r="AJ53" i="22"/>
  <c r="AK53" i="22"/>
  <c r="EI53" i="22"/>
  <c r="EJ53" i="22"/>
  <c r="EK53" i="22"/>
  <c r="EL53" i="22"/>
  <c r="EM53" i="22"/>
  <c r="EN53" i="22"/>
  <c r="EO53" i="22"/>
  <c r="EP53" i="22"/>
  <c r="EQ53" i="22"/>
  <c r="ER53" i="22"/>
  <c r="ES53" i="22"/>
  <c r="ET53" i="22"/>
  <c r="EU53" i="22"/>
  <c r="EZ53" i="22"/>
  <c r="K54" i="22"/>
  <c r="L54" i="22"/>
  <c r="Y54" i="22"/>
  <c r="Z54" i="22"/>
  <c r="AA54" i="22"/>
  <c r="AB54" i="22"/>
  <c r="AC54" i="22"/>
  <c r="AD54" i="22"/>
  <c r="AE54" i="22"/>
  <c r="AF54" i="22"/>
  <c r="AG54" i="22"/>
  <c r="AH54" i="22"/>
  <c r="AI54" i="22"/>
  <c r="AJ54" i="22"/>
  <c r="AK54" i="22"/>
  <c r="BV54" i="22"/>
  <c r="BH54" i="22" s="1"/>
  <c r="EI54" i="22"/>
  <c r="EJ54" i="22"/>
  <c r="EK54" i="22"/>
  <c r="EL54" i="22"/>
  <c r="EM54" i="22"/>
  <c r="EN54" i="22"/>
  <c r="EO54" i="22"/>
  <c r="EP54" i="22"/>
  <c r="EQ54" i="22"/>
  <c r="ER54" i="22"/>
  <c r="ES54" i="22"/>
  <c r="ET54" i="22"/>
  <c r="EU54" i="22"/>
  <c r="EZ54" i="22"/>
  <c r="K55" i="22"/>
  <c r="L55" i="22"/>
  <c r="Y55" i="22"/>
  <c r="Z55" i="22"/>
  <c r="AA55" i="22"/>
  <c r="AB55" i="22"/>
  <c r="AC55" i="22"/>
  <c r="AD55" i="22"/>
  <c r="AE55" i="22"/>
  <c r="AF55" i="22"/>
  <c r="AG55" i="22"/>
  <c r="AH55" i="22"/>
  <c r="AI55" i="22"/>
  <c r="AJ55" i="22"/>
  <c r="AK55" i="22"/>
  <c r="DQ55" i="22"/>
  <c r="DR55" i="22"/>
  <c r="EJ55" i="22" s="1"/>
  <c r="DS55" i="22"/>
  <c r="DT55" i="22"/>
  <c r="DU55" i="22"/>
  <c r="DV55" i="22"/>
  <c r="DW55" i="22"/>
  <c r="EO55" i="22" s="1"/>
  <c r="DX55" i="22"/>
  <c r="EP55" i="22" s="1"/>
  <c r="DY55" i="22"/>
  <c r="EA55" i="22"/>
  <c r="ES55" i="22" s="1"/>
  <c r="EB55" i="22"/>
  <c r="EC55" i="22"/>
  <c r="EU55" i="22" s="1"/>
  <c r="EI55" i="22"/>
  <c r="EK55" i="22"/>
  <c r="EL55" i="22"/>
  <c r="EM55" i="22"/>
  <c r="EN55" i="22"/>
  <c r="EQ55" i="22"/>
  <c r="ER55" i="22"/>
  <c r="ET55" i="22"/>
  <c r="EZ55" i="22"/>
  <c r="K56" i="22"/>
  <c r="L56" i="22"/>
  <c r="Y56" i="22"/>
  <c r="Z56" i="22"/>
  <c r="AA56" i="22"/>
  <c r="AB56" i="22"/>
  <c r="AC56" i="22"/>
  <c r="AD56" i="22"/>
  <c r="AE56" i="22"/>
  <c r="AF56" i="22"/>
  <c r="AG56" i="22"/>
  <c r="AH56" i="22"/>
  <c r="AI56" i="22"/>
  <c r="AJ56" i="22"/>
  <c r="AK56" i="22"/>
  <c r="DQ56" i="22"/>
  <c r="DR56" i="22"/>
  <c r="DU56" i="22"/>
  <c r="EM56" i="22" s="1"/>
  <c r="DV56" i="22"/>
  <c r="DW56" i="22"/>
  <c r="EO56" i="22" s="1"/>
  <c r="EA56" i="22"/>
  <c r="ES56" i="22" s="1"/>
  <c r="EB56" i="22"/>
  <c r="ET56" i="22" s="1"/>
  <c r="EC56" i="22"/>
  <c r="EU56" i="22" s="1"/>
  <c r="EI56" i="22"/>
  <c r="EJ56" i="22"/>
  <c r="EK56" i="22"/>
  <c r="EL56" i="22"/>
  <c r="EP56" i="22"/>
  <c r="EQ56" i="22"/>
  <c r="ER56" i="22"/>
  <c r="EZ56" i="22"/>
  <c r="K57" i="22"/>
  <c r="L57" i="22"/>
  <c r="Y57" i="22"/>
  <c r="Z57" i="22"/>
  <c r="AA57" i="22"/>
  <c r="AB57" i="22"/>
  <c r="AC57" i="22"/>
  <c r="AD57" i="22"/>
  <c r="AE57" i="22"/>
  <c r="AF57" i="22"/>
  <c r="AG57" i="22"/>
  <c r="AH57" i="22"/>
  <c r="AI57" i="22"/>
  <c r="AJ57" i="22"/>
  <c r="AK57" i="22"/>
  <c r="BR57" i="22"/>
  <c r="DQ57" i="22"/>
  <c r="EZ57" i="22" s="1"/>
  <c r="DR57" i="22"/>
  <c r="EJ57" i="22" s="1"/>
  <c r="DS57" i="22"/>
  <c r="DT57" i="22"/>
  <c r="DU57" i="22"/>
  <c r="DV57" i="22"/>
  <c r="DW57" i="22"/>
  <c r="EO57" i="22" s="1"/>
  <c r="DX57" i="22"/>
  <c r="EP57" i="22" s="1"/>
  <c r="DY57" i="22"/>
  <c r="EQ57" i="22" s="1"/>
  <c r="EA57" i="22"/>
  <c r="ES57" i="22" s="1"/>
  <c r="EB57" i="22"/>
  <c r="EC57" i="22"/>
  <c r="EU57" i="22" s="1"/>
  <c r="EI57" i="22"/>
  <c r="EK57" i="22"/>
  <c r="EL57" i="22"/>
  <c r="EM57" i="22"/>
  <c r="EN57" i="22"/>
  <c r="ER57" i="22"/>
  <c r="ET57" i="22"/>
  <c r="K58" i="22"/>
  <c r="L58" i="22"/>
  <c r="Y58" i="22"/>
  <c r="Z58" i="22"/>
  <c r="AA58" i="22"/>
  <c r="AB58" i="22"/>
  <c r="AC58" i="22"/>
  <c r="AD58" i="22"/>
  <c r="AE58" i="22"/>
  <c r="AF58" i="22"/>
  <c r="AG58" i="22"/>
  <c r="AH58" i="22"/>
  <c r="AI58" i="22"/>
  <c r="AJ58" i="22"/>
  <c r="AK58" i="22"/>
  <c r="K59" i="22"/>
  <c r="L59" i="22"/>
  <c r="Y59" i="22"/>
  <c r="Z59" i="22"/>
  <c r="AA59" i="22"/>
  <c r="AB59" i="22"/>
  <c r="AC59" i="22"/>
  <c r="AD59" i="22"/>
  <c r="AE59" i="22"/>
  <c r="AF59" i="22"/>
  <c r="AG59" i="22"/>
  <c r="AH59" i="22"/>
  <c r="AI59" i="22"/>
  <c r="AJ59" i="22"/>
  <c r="AK59" i="22"/>
  <c r="BS59" i="22"/>
  <c r="BE59" i="22" s="1"/>
  <c r="EI59" i="22"/>
  <c r="EJ59" i="22"/>
  <c r="EK59" i="22"/>
  <c r="EL59" i="22"/>
  <c r="EM59" i="22"/>
  <c r="EN59" i="22"/>
  <c r="EO59" i="22"/>
  <c r="EP59" i="22"/>
  <c r="EQ59" i="22"/>
  <c r="ER59" i="22"/>
  <c r="ES59" i="22"/>
  <c r="ET59" i="22"/>
  <c r="EU59" i="22"/>
  <c r="EZ59" i="22"/>
  <c r="K60" i="22"/>
  <c r="L60" i="22"/>
  <c r="Y60" i="22"/>
  <c r="Z60" i="22"/>
  <c r="AA60" i="22"/>
  <c r="AB60" i="22"/>
  <c r="AC60" i="22"/>
  <c r="AD60" i="22"/>
  <c r="AE60" i="22"/>
  <c r="AF60" i="22"/>
  <c r="AG60" i="22"/>
  <c r="AH60" i="22"/>
  <c r="AI60" i="22"/>
  <c r="AJ60" i="22"/>
  <c r="AK60" i="22"/>
  <c r="EI60" i="22"/>
  <c r="EJ60" i="22"/>
  <c r="EK60" i="22"/>
  <c r="EL60" i="22"/>
  <c r="EM60" i="22"/>
  <c r="EN60" i="22"/>
  <c r="EO60" i="22"/>
  <c r="EP60" i="22"/>
  <c r="EQ60" i="22"/>
  <c r="ER60" i="22"/>
  <c r="ES60" i="22"/>
  <c r="ET60" i="22"/>
  <c r="EU60" i="22"/>
  <c r="EZ60" i="22"/>
  <c r="K61" i="22"/>
  <c r="L61" i="22"/>
  <c r="Y61" i="22"/>
  <c r="Z61" i="22"/>
  <c r="AA61" i="22"/>
  <c r="AB61" i="22"/>
  <c r="AC61" i="22"/>
  <c r="AD61" i="22"/>
  <c r="AE61" i="22"/>
  <c r="AF61" i="22"/>
  <c r="AG61" i="22"/>
  <c r="AH61" i="22"/>
  <c r="AI61" i="22"/>
  <c r="AJ61" i="22"/>
  <c r="AK61" i="22"/>
  <c r="CD61" i="22"/>
  <c r="EI61" i="22"/>
  <c r="EJ61" i="22"/>
  <c r="EK61" i="22"/>
  <c r="EL61" i="22"/>
  <c r="EM61" i="22"/>
  <c r="EN61" i="22"/>
  <c r="EO61" i="22"/>
  <c r="EP61" i="22"/>
  <c r="EQ61" i="22"/>
  <c r="ER61" i="22"/>
  <c r="ES61" i="22"/>
  <c r="ET61" i="22"/>
  <c r="EU61" i="22"/>
  <c r="EZ61" i="22"/>
  <c r="K62" i="22"/>
  <c r="L62" i="22"/>
  <c r="AN62" i="22"/>
  <c r="Z62" i="22" s="1"/>
  <c r="AO62" i="22"/>
  <c r="AA62" i="22" s="1"/>
  <c r="AR62" i="22"/>
  <c r="AD62" i="22" s="1"/>
  <c r="AS62" i="22"/>
  <c r="AE62" i="22" s="1"/>
  <c r="AT62" i="22"/>
  <c r="AF62" i="22" s="1"/>
  <c r="AV62" i="22"/>
  <c r="AH62" i="22" s="1"/>
  <c r="AW62" i="22"/>
  <c r="AI62" i="22" s="1"/>
  <c r="BT62" i="22"/>
  <c r="ES62" i="22"/>
  <c r="ET62" i="22"/>
  <c r="EU62" i="22"/>
  <c r="L63" i="22"/>
  <c r="K63" i="22" s="1"/>
  <c r="Y63" i="22"/>
  <c r="Z63" i="22"/>
  <c r="AA63" i="22"/>
  <c r="AB63" i="22"/>
  <c r="AC63" i="22"/>
  <c r="AD63" i="22"/>
  <c r="AE63" i="22"/>
  <c r="AF63" i="22"/>
  <c r="AG63" i="22"/>
  <c r="AH63" i="22"/>
  <c r="AI63" i="22"/>
  <c r="AJ63" i="22"/>
  <c r="AK63" i="22"/>
  <c r="ES63" i="22"/>
  <c r="ET63" i="22"/>
  <c r="EU63" i="22"/>
  <c r="K64" i="22"/>
  <c r="L64" i="22"/>
  <c r="Y64" i="22"/>
  <c r="Z64" i="22"/>
  <c r="AA64" i="22"/>
  <c r="AB64" i="22"/>
  <c r="AC64" i="22"/>
  <c r="AD64" i="22"/>
  <c r="AE64" i="22"/>
  <c r="AF64" i="22"/>
  <c r="AG64" i="22"/>
  <c r="AH64" i="22"/>
  <c r="AI64" i="22"/>
  <c r="AJ64" i="22"/>
  <c r="AK64" i="22"/>
  <c r="BY64" i="22"/>
  <c r="BK64" i="22" s="1"/>
  <c r="EI64" i="22"/>
  <c r="EJ64" i="22"/>
  <c r="EK64" i="22"/>
  <c r="EL64" i="22"/>
  <c r="EM64" i="22"/>
  <c r="EN64" i="22"/>
  <c r="EO64" i="22"/>
  <c r="EP64" i="22"/>
  <c r="EQ64" i="22"/>
  <c r="ER64" i="22"/>
  <c r="ES64" i="22"/>
  <c r="ET64" i="22"/>
  <c r="EU64" i="22"/>
  <c r="EZ64" i="22"/>
  <c r="K65" i="22"/>
  <c r="L65" i="22"/>
  <c r="Y65" i="22"/>
  <c r="Z65" i="22"/>
  <c r="AA65" i="22"/>
  <c r="AB65" i="22"/>
  <c r="AC65" i="22"/>
  <c r="AD65" i="22"/>
  <c r="AE65" i="22"/>
  <c r="AF65" i="22"/>
  <c r="AG65" i="22"/>
  <c r="AH65" i="22"/>
  <c r="AI65" i="22"/>
  <c r="AJ65" i="22"/>
  <c r="AK65" i="22"/>
  <c r="EI65" i="22"/>
  <c r="EJ65" i="22"/>
  <c r="EK65" i="22"/>
  <c r="EL65" i="22"/>
  <c r="EM65" i="22"/>
  <c r="EN65" i="22"/>
  <c r="EO65" i="22"/>
  <c r="EP65" i="22"/>
  <c r="EQ65" i="22"/>
  <c r="ER65" i="22"/>
  <c r="ES65" i="22"/>
  <c r="ET65" i="22"/>
  <c r="EU65" i="22"/>
  <c r="EZ65" i="22"/>
  <c r="K66" i="22"/>
  <c r="L66" i="22"/>
  <c r="Y66" i="22"/>
  <c r="Z66" i="22"/>
  <c r="AA66" i="22"/>
  <c r="AB66" i="22"/>
  <c r="AC66" i="22"/>
  <c r="AD66" i="22"/>
  <c r="AE66" i="22"/>
  <c r="AF66" i="22"/>
  <c r="AG66" i="22"/>
  <c r="AH66" i="22"/>
  <c r="AI66" i="22"/>
  <c r="AJ66" i="22"/>
  <c r="AK66" i="22"/>
  <c r="BT66" i="22"/>
  <c r="BF66" i="22" s="1"/>
  <c r="EI66" i="22"/>
  <c r="EJ66" i="22"/>
  <c r="EK66" i="22"/>
  <c r="EL66" i="22"/>
  <c r="EM66" i="22"/>
  <c r="EN66" i="22"/>
  <c r="EO66" i="22"/>
  <c r="EP66" i="22"/>
  <c r="EQ66" i="22"/>
  <c r="ER66" i="22"/>
  <c r="ES66" i="22"/>
  <c r="ET66" i="22"/>
  <c r="EU66" i="22"/>
  <c r="EZ66" i="22"/>
  <c r="K67" i="22"/>
  <c r="L67" i="22"/>
  <c r="Y67" i="22"/>
  <c r="Z67" i="22"/>
  <c r="AA67" i="22"/>
  <c r="AB67" i="22"/>
  <c r="AC67" i="22"/>
  <c r="AD67" i="22"/>
  <c r="AE67" i="22"/>
  <c r="AF67" i="22"/>
  <c r="AG67" i="22"/>
  <c r="AH67" i="22"/>
  <c r="AI67" i="22"/>
  <c r="AJ67" i="22"/>
  <c r="AK67" i="22"/>
  <c r="EI67" i="22"/>
  <c r="EJ67" i="22"/>
  <c r="EK67" i="22"/>
  <c r="EL67" i="22"/>
  <c r="EM67" i="22"/>
  <c r="EN67" i="22"/>
  <c r="EO67" i="22"/>
  <c r="EP67" i="22"/>
  <c r="EQ67" i="22"/>
  <c r="ER67" i="22"/>
  <c r="ES67" i="22"/>
  <c r="ET67" i="22"/>
  <c r="EU67" i="22"/>
  <c r="EZ67" i="22"/>
  <c r="K68" i="22"/>
  <c r="L68" i="22"/>
  <c r="Y68" i="22"/>
  <c r="Z68" i="22"/>
  <c r="AA68" i="22"/>
  <c r="AB68" i="22"/>
  <c r="AC68" i="22"/>
  <c r="AD68" i="22"/>
  <c r="AE68" i="22"/>
  <c r="AF68" i="22"/>
  <c r="AG68" i="22"/>
  <c r="AH68" i="22"/>
  <c r="AI68" i="22"/>
  <c r="AJ68" i="22"/>
  <c r="AK68" i="22"/>
  <c r="CB68" i="22"/>
  <c r="EI68" i="22"/>
  <c r="EJ68" i="22"/>
  <c r="EK68" i="22"/>
  <c r="EL68" i="22"/>
  <c r="EM68" i="22"/>
  <c r="EN68" i="22"/>
  <c r="EO68" i="22"/>
  <c r="EP68" i="22"/>
  <c r="EQ68" i="22"/>
  <c r="ER68" i="22"/>
  <c r="ES68" i="22"/>
  <c r="ET68" i="22"/>
  <c r="EU68" i="22"/>
  <c r="K69" i="22"/>
  <c r="L69" i="22"/>
  <c r="Y69" i="22"/>
  <c r="Z69" i="22"/>
  <c r="AA69" i="22"/>
  <c r="AB69" i="22"/>
  <c r="AC69" i="22"/>
  <c r="AD69" i="22"/>
  <c r="AE69" i="22"/>
  <c r="AF69" i="22"/>
  <c r="AG69" i="22"/>
  <c r="AH69" i="22"/>
  <c r="AI69" i="22"/>
  <c r="AJ69" i="22"/>
  <c r="AK69" i="22"/>
  <c r="EI69" i="22"/>
  <c r="EJ69" i="22"/>
  <c r="EK69" i="22"/>
  <c r="EL69" i="22"/>
  <c r="EM69" i="22"/>
  <c r="EN69" i="22"/>
  <c r="EO69" i="22"/>
  <c r="EP69" i="22"/>
  <c r="EQ69" i="22"/>
  <c r="ER69" i="22"/>
  <c r="ES69" i="22"/>
  <c r="ET69" i="22"/>
  <c r="EU69" i="22"/>
  <c r="K70" i="22"/>
  <c r="L70" i="22"/>
  <c r="Y70" i="22"/>
  <c r="Z70" i="22"/>
  <c r="AA70" i="22"/>
  <c r="AB70" i="22"/>
  <c r="AC70" i="22"/>
  <c r="AD70" i="22"/>
  <c r="AE70" i="22"/>
  <c r="AF70" i="22"/>
  <c r="AG70" i="22"/>
  <c r="AH70" i="22"/>
  <c r="AI70" i="22"/>
  <c r="AJ70" i="22"/>
  <c r="AK70" i="22"/>
  <c r="K71" i="22"/>
  <c r="L71" i="22"/>
  <c r="Y71" i="22"/>
  <c r="Z71" i="22"/>
  <c r="AA71" i="22"/>
  <c r="AB71" i="22"/>
  <c r="AC71" i="22"/>
  <c r="AD71" i="22"/>
  <c r="AE71" i="22"/>
  <c r="AF71" i="22"/>
  <c r="AG71" i="22"/>
  <c r="AH71" i="22"/>
  <c r="AI71" i="22"/>
  <c r="AJ71" i="22"/>
  <c r="AK71" i="22"/>
  <c r="EI71" i="22"/>
  <c r="EJ71" i="22"/>
  <c r="EK71" i="22"/>
  <c r="EL71" i="22"/>
  <c r="EM71" i="22"/>
  <c r="EN71" i="22"/>
  <c r="EO71" i="22"/>
  <c r="EP71" i="22"/>
  <c r="EQ71" i="22"/>
  <c r="ER71" i="22"/>
  <c r="ES71" i="22"/>
  <c r="ET71" i="22"/>
  <c r="EU71" i="22"/>
  <c r="K72" i="22"/>
  <c r="L72" i="22"/>
  <c r="Y72" i="22"/>
  <c r="Z72" i="22"/>
  <c r="AA72" i="22"/>
  <c r="AB72" i="22"/>
  <c r="AC72" i="22"/>
  <c r="AD72" i="22"/>
  <c r="AE72" i="22"/>
  <c r="AF72" i="22"/>
  <c r="AG72" i="22"/>
  <c r="AH72" i="22"/>
  <c r="AI72" i="22"/>
  <c r="AJ72" i="22"/>
  <c r="AK72" i="22"/>
  <c r="EI72" i="22"/>
  <c r="EJ72" i="22"/>
  <c r="EK72" i="22"/>
  <c r="EL72" i="22"/>
  <c r="EM72" i="22"/>
  <c r="EN72" i="22"/>
  <c r="EO72" i="22"/>
  <c r="EP72" i="22"/>
  <c r="EQ72" i="22"/>
  <c r="ER72" i="22"/>
  <c r="ES72" i="22"/>
  <c r="ET72" i="22"/>
  <c r="EU72" i="22"/>
  <c r="K73" i="22"/>
  <c r="L73" i="22"/>
  <c r="Y73" i="22"/>
  <c r="Z73" i="22"/>
  <c r="AA73" i="22"/>
  <c r="AB73" i="22"/>
  <c r="AC73" i="22"/>
  <c r="AD73" i="22"/>
  <c r="AE73" i="22"/>
  <c r="AF73" i="22"/>
  <c r="AG73" i="22"/>
  <c r="AH73" i="22"/>
  <c r="AI73" i="22"/>
  <c r="AJ73" i="22"/>
  <c r="AK73" i="22"/>
  <c r="K74" i="22"/>
  <c r="L74" i="22"/>
  <c r="Y74" i="22"/>
  <c r="Z74" i="22"/>
  <c r="AA74" i="22"/>
  <c r="AB74" i="22"/>
  <c r="AC74" i="22"/>
  <c r="AD74" i="22"/>
  <c r="AE74" i="22"/>
  <c r="AF74" i="22"/>
  <c r="AG74" i="22"/>
  <c r="AH74" i="22"/>
  <c r="AI74" i="22"/>
  <c r="AJ74" i="22"/>
  <c r="AK74" i="22"/>
  <c r="EI74" i="22"/>
  <c r="EJ74" i="22"/>
  <c r="EK74" i="22"/>
  <c r="EL74" i="22"/>
  <c r="EM74" i="22"/>
  <c r="EN74" i="22"/>
  <c r="EO74" i="22"/>
  <c r="EP74" i="22"/>
  <c r="EQ74" i="22"/>
  <c r="ER74" i="22"/>
  <c r="ES74" i="22"/>
  <c r="ET74" i="22"/>
  <c r="EU74" i="22"/>
  <c r="K75" i="22"/>
  <c r="L75" i="22"/>
  <c r="Y75" i="22"/>
  <c r="Z75" i="22"/>
  <c r="AA75" i="22"/>
  <c r="AB75" i="22"/>
  <c r="AC75" i="22"/>
  <c r="AD75" i="22"/>
  <c r="AE75" i="22"/>
  <c r="AF75" i="22"/>
  <c r="AG75" i="22"/>
  <c r="AH75" i="22"/>
  <c r="AI75" i="22"/>
  <c r="AJ75" i="22"/>
  <c r="AK75" i="22"/>
  <c r="EI75" i="22"/>
  <c r="EJ75" i="22"/>
  <c r="EK75" i="22"/>
  <c r="EL75" i="22"/>
  <c r="EM75" i="22"/>
  <c r="EN75" i="22"/>
  <c r="EO75" i="22"/>
  <c r="EP75" i="22"/>
  <c r="EQ75" i="22"/>
  <c r="ER75" i="22"/>
  <c r="ES75" i="22"/>
  <c r="ET75" i="22"/>
  <c r="EU75" i="22"/>
  <c r="K76" i="22"/>
  <c r="L76" i="22"/>
  <c r="Y76" i="22"/>
  <c r="Z76" i="22"/>
  <c r="AA76" i="22"/>
  <c r="AB76" i="22"/>
  <c r="AC76" i="22"/>
  <c r="AD76" i="22"/>
  <c r="AE76" i="22"/>
  <c r="AF76" i="22"/>
  <c r="AG76" i="22"/>
  <c r="AH76" i="22"/>
  <c r="AI76" i="22"/>
  <c r="AJ76" i="22"/>
  <c r="AK76" i="22"/>
  <c r="CA76" i="22"/>
  <c r="BM76" i="22" s="1"/>
  <c r="EI76" i="22"/>
  <c r="EJ76" i="22"/>
  <c r="EK76" i="22"/>
  <c r="EL76" i="22"/>
  <c r="EM76" i="22"/>
  <c r="EN76" i="22"/>
  <c r="EO76" i="22"/>
  <c r="EP76" i="22"/>
  <c r="EQ76" i="22"/>
  <c r="ER76" i="22"/>
  <c r="ES76" i="22"/>
  <c r="ET76" i="22"/>
  <c r="EU76" i="22"/>
  <c r="K77" i="22"/>
  <c r="L77" i="22"/>
  <c r="Y77" i="22"/>
  <c r="Z77" i="22"/>
  <c r="AA77" i="22"/>
  <c r="AB77" i="22"/>
  <c r="AC77" i="22"/>
  <c r="AD77" i="22"/>
  <c r="AE77" i="22"/>
  <c r="AF77" i="22"/>
  <c r="AG77" i="22"/>
  <c r="AH77" i="22"/>
  <c r="AI77" i="22"/>
  <c r="AJ77" i="22"/>
  <c r="AK77" i="22"/>
  <c r="EI77" i="22"/>
  <c r="EJ77" i="22"/>
  <c r="EK77" i="22"/>
  <c r="EL77" i="22"/>
  <c r="EM77" i="22"/>
  <c r="EN77" i="22"/>
  <c r="EO77" i="22"/>
  <c r="EP77" i="22"/>
  <c r="EQ77" i="22"/>
  <c r="ER77" i="22"/>
  <c r="ES77" i="22"/>
  <c r="ET77" i="22"/>
  <c r="EU77" i="22"/>
  <c r="EZ77" i="22"/>
  <c r="K78" i="22"/>
  <c r="L78" i="22"/>
  <c r="Y78" i="22"/>
  <c r="Z78" i="22"/>
  <c r="AA78" i="22"/>
  <c r="AB78" i="22"/>
  <c r="AC78" i="22"/>
  <c r="AD78" i="22"/>
  <c r="AE78" i="22"/>
  <c r="AF78" i="22"/>
  <c r="AG78" i="22"/>
  <c r="AH78" i="22"/>
  <c r="AI78" i="22"/>
  <c r="AJ78" i="22"/>
  <c r="AK78" i="22"/>
  <c r="ES78" i="22"/>
  <c r="ET78" i="22"/>
  <c r="EU78" i="22"/>
  <c r="K79" i="22"/>
  <c r="L79" i="22"/>
  <c r="Y79" i="22"/>
  <c r="Z79" i="22"/>
  <c r="AA79" i="22"/>
  <c r="AB79" i="22"/>
  <c r="AC79" i="22"/>
  <c r="AD79" i="22"/>
  <c r="AE79" i="22"/>
  <c r="AF79" i="22"/>
  <c r="AG79" i="22"/>
  <c r="AH79" i="22"/>
  <c r="AI79" i="22"/>
  <c r="AJ79" i="22"/>
  <c r="AK79" i="22"/>
  <c r="BO79" i="22"/>
  <c r="B79" i="22" s="1"/>
  <c r="ES79" i="22"/>
  <c r="ET79" i="22"/>
  <c r="EU79" i="22"/>
  <c r="K80" i="22"/>
  <c r="L80" i="22"/>
  <c r="Y80" i="22"/>
  <c r="Z80" i="22"/>
  <c r="AA80" i="22"/>
  <c r="AB80" i="22"/>
  <c r="AC80" i="22"/>
  <c r="AD80" i="22"/>
  <c r="AE80" i="22"/>
  <c r="AF80" i="22"/>
  <c r="AG80" i="22"/>
  <c r="AH80" i="22"/>
  <c r="AI80" i="22"/>
  <c r="AJ80" i="22"/>
  <c r="AK80" i="22"/>
  <c r="CD80" i="22"/>
  <c r="ES80" i="22"/>
  <c r="ET80" i="22"/>
  <c r="EU80" i="22"/>
  <c r="EZ80" i="22"/>
  <c r="K81" i="22"/>
  <c r="L81" i="22"/>
  <c r="Y81" i="22"/>
  <c r="Z81" i="22"/>
  <c r="AA81" i="22"/>
  <c r="AB81" i="22"/>
  <c r="AC81" i="22"/>
  <c r="AD81" i="22"/>
  <c r="AE81" i="22"/>
  <c r="AF81" i="22"/>
  <c r="AG81" i="22"/>
  <c r="AH81" i="22"/>
  <c r="AI81" i="22"/>
  <c r="AJ81" i="22"/>
  <c r="AK81" i="22"/>
  <c r="ES81" i="22"/>
  <c r="ET81" i="22"/>
  <c r="EU81" i="22"/>
  <c r="EZ81" i="22"/>
  <c r="K82" i="22"/>
  <c r="L82" i="22"/>
  <c r="Y82" i="22"/>
  <c r="Z82" i="22"/>
  <c r="AA82" i="22"/>
  <c r="AB82" i="22"/>
  <c r="AC82" i="22"/>
  <c r="AD82" i="22"/>
  <c r="AE82" i="22"/>
  <c r="AF82" i="22"/>
  <c r="AG82" i="22"/>
  <c r="AH82" i="22"/>
  <c r="AI82" i="22"/>
  <c r="AJ82" i="22"/>
  <c r="AK82" i="22"/>
  <c r="ES82" i="22"/>
  <c r="ET82" i="22"/>
  <c r="EU82" i="22"/>
  <c r="K83" i="22"/>
  <c r="L83" i="22"/>
  <c r="Y83" i="22"/>
  <c r="Z83" i="22"/>
  <c r="AA83" i="22"/>
  <c r="AB83" i="22"/>
  <c r="AC83" i="22"/>
  <c r="AD83" i="22"/>
  <c r="AE83" i="22"/>
  <c r="AF83" i="22"/>
  <c r="AG83" i="22"/>
  <c r="AH83" i="22"/>
  <c r="AI83" i="22"/>
  <c r="AJ83" i="22"/>
  <c r="AK83" i="22"/>
  <c r="ET83" i="22"/>
  <c r="EU83" i="22"/>
  <c r="K84" i="22"/>
  <c r="L84" i="22"/>
  <c r="Y84" i="22"/>
  <c r="Z84" i="22"/>
  <c r="AA84" i="22"/>
  <c r="AB84" i="22"/>
  <c r="AC84" i="22"/>
  <c r="AD84" i="22"/>
  <c r="AE84" i="22"/>
  <c r="AF84" i="22"/>
  <c r="AG84" i="22"/>
  <c r="AH84" i="22"/>
  <c r="AI84" i="22"/>
  <c r="AJ84" i="22"/>
  <c r="AK84" i="22"/>
  <c r="ET84" i="22"/>
  <c r="EU84" i="22"/>
  <c r="K85" i="22"/>
  <c r="L85" i="22"/>
  <c r="Y85" i="22"/>
  <c r="Z85" i="22"/>
  <c r="AA85" i="22"/>
  <c r="AB85" i="22"/>
  <c r="AC85" i="22"/>
  <c r="AD85" i="22"/>
  <c r="AE85" i="22"/>
  <c r="AF85" i="22"/>
  <c r="AG85" i="22"/>
  <c r="AH85" i="22"/>
  <c r="AI85" i="22"/>
  <c r="AJ85" i="22"/>
  <c r="AK85" i="22"/>
  <c r="ET85" i="22"/>
  <c r="EU85" i="22"/>
  <c r="K86" i="22"/>
  <c r="L86" i="22"/>
  <c r="Y86" i="22"/>
  <c r="Z86" i="22"/>
  <c r="AA86" i="22"/>
  <c r="AB86" i="22"/>
  <c r="AC86" i="22"/>
  <c r="AD86" i="22"/>
  <c r="AE86" i="22"/>
  <c r="AF86" i="22"/>
  <c r="AG86" i="22"/>
  <c r="AH86" i="22"/>
  <c r="AI86" i="22"/>
  <c r="AJ86" i="22"/>
  <c r="AK86" i="22"/>
  <c r="CA86" i="22"/>
  <c r="BM86" i="22" s="1"/>
  <c r="ET86" i="22"/>
  <c r="EU86" i="22"/>
  <c r="K87" i="22"/>
  <c r="L87" i="22"/>
  <c r="Y87" i="22"/>
  <c r="Z87" i="22"/>
  <c r="AA87" i="22"/>
  <c r="AB87" i="22"/>
  <c r="AC87" i="22"/>
  <c r="AD87" i="22"/>
  <c r="AE87" i="22"/>
  <c r="AF87" i="22"/>
  <c r="AG87" i="22"/>
  <c r="AH87" i="22"/>
  <c r="AI87" i="22"/>
  <c r="AJ87" i="22"/>
  <c r="AK87" i="22"/>
  <c r="ET87" i="22"/>
  <c r="EU87" i="22"/>
  <c r="K88" i="22"/>
  <c r="L88" i="22"/>
  <c r="Y88" i="22"/>
  <c r="Z88" i="22"/>
  <c r="AA88" i="22"/>
  <c r="AB88" i="22"/>
  <c r="AC88" i="22"/>
  <c r="AD88" i="22"/>
  <c r="AE88" i="22"/>
  <c r="AF88" i="22"/>
  <c r="AG88" i="22"/>
  <c r="AH88" i="22"/>
  <c r="AI88" i="22"/>
  <c r="AJ88" i="22"/>
  <c r="AK88" i="22"/>
  <c r="BT88" i="22"/>
  <c r="BF88" i="22" s="1"/>
  <c r="ET88" i="22"/>
  <c r="EU88" i="22"/>
  <c r="K89" i="22"/>
  <c r="L89" i="22"/>
  <c r="Y89" i="22"/>
  <c r="Z89" i="22"/>
  <c r="AA89" i="22"/>
  <c r="AB89" i="22"/>
  <c r="AC89" i="22"/>
  <c r="AD89" i="22"/>
  <c r="AE89" i="22"/>
  <c r="AF89" i="22"/>
  <c r="AG89" i="22"/>
  <c r="AH89" i="22"/>
  <c r="AI89" i="22"/>
  <c r="AJ89" i="22"/>
  <c r="AK89" i="22"/>
  <c r="EI89" i="22"/>
  <c r="EJ89" i="22"/>
  <c r="EK89" i="22"/>
  <c r="EL89" i="22"/>
  <c r="EM89" i="22"/>
  <c r="EN89" i="22"/>
  <c r="EO89" i="22"/>
  <c r="EP89" i="22"/>
  <c r="EQ89" i="22"/>
  <c r="ER89" i="22"/>
  <c r="ES89" i="22"/>
  <c r="ET89" i="22"/>
  <c r="EU89" i="22"/>
  <c r="EZ89" i="22"/>
  <c r="K90" i="22"/>
  <c r="L90" i="22"/>
  <c r="Y90" i="22"/>
  <c r="Z90" i="22"/>
  <c r="AA90" i="22"/>
  <c r="AB90" i="22"/>
  <c r="AC90" i="22"/>
  <c r="AD90" i="22"/>
  <c r="AE90" i="22"/>
  <c r="AF90" i="22"/>
  <c r="AG90" i="22"/>
  <c r="AH90" i="22"/>
  <c r="AI90" i="22"/>
  <c r="AJ90" i="22"/>
  <c r="AK90" i="22"/>
  <c r="BY90" i="22"/>
  <c r="BK90" i="22" s="1"/>
  <c r="EI90" i="22"/>
  <c r="EJ90" i="22"/>
  <c r="EK90" i="22"/>
  <c r="EL90" i="22"/>
  <c r="EM90" i="22"/>
  <c r="EN90" i="22"/>
  <c r="EO90" i="22"/>
  <c r="EP90" i="22"/>
  <c r="EQ90" i="22"/>
  <c r="ER90" i="22"/>
  <c r="ES90" i="22"/>
  <c r="ET90" i="22"/>
  <c r="EU90" i="22"/>
  <c r="EZ90" i="22"/>
  <c r="K91" i="22"/>
  <c r="L91" i="22"/>
  <c r="Y91" i="22"/>
  <c r="Z91" i="22"/>
  <c r="AA91" i="22"/>
  <c r="AB91" i="22"/>
  <c r="AC91" i="22"/>
  <c r="AD91" i="22"/>
  <c r="AE91" i="22"/>
  <c r="AF91" i="22"/>
  <c r="AG91" i="22"/>
  <c r="AH91" i="22"/>
  <c r="AI91" i="22"/>
  <c r="AJ91" i="22"/>
  <c r="AK91" i="22"/>
  <c r="BY91" i="22"/>
  <c r="BK91" i="22" s="1"/>
  <c r="EI91" i="22"/>
  <c r="EJ91" i="22"/>
  <c r="EK91" i="22"/>
  <c r="EL91" i="22"/>
  <c r="EM91" i="22"/>
  <c r="EN91" i="22"/>
  <c r="EO91" i="22"/>
  <c r="EP91" i="22"/>
  <c r="EQ91" i="22"/>
  <c r="ER91" i="22"/>
  <c r="ES91" i="22"/>
  <c r="ET91" i="22"/>
  <c r="EU91" i="22"/>
  <c r="EZ91" i="22"/>
  <c r="K92" i="22"/>
  <c r="L92" i="22"/>
  <c r="Y92" i="22"/>
  <c r="Z92" i="22"/>
  <c r="AA92" i="22"/>
  <c r="AB92" i="22"/>
  <c r="AC92" i="22"/>
  <c r="AD92" i="22"/>
  <c r="AE92" i="22"/>
  <c r="AF92" i="22"/>
  <c r="AG92" i="22"/>
  <c r="AH92" i="22"/>
  <c r="AI92" i="22"/>
  <c r="AJ92" i="22"/>
  <c r="AK92" i="22"/>
  <c r="CC92" i="22"/>
  <c r="EI92" i="22"/>
  <c r="EJ92" i="22"/>
  <c r="EK92" i="22"/>
  <c r="EL92" i="22"/>
  <c r="EM92" i="22"/>
  <c r="EN92" i="22"/>
  <c r="EO92" i="22"/>
  <c r="EP92" i="22"/>
  <c r="EQ92" i="22"/>
  <c r="ER92" i="22"/>
  <c r="ES92" i="22"/>
  <c r="ET92" i="22"/>
  <c r="EU92" i="22"/>
  <c r="EZ92" i="22"/>
  <c r="K93" i="22"/>
  <c r="L93" i="22"/>
  <c r="Y93" i="22"/>
  <c r="Z93" i="22"/>
  <c r="AA93" i="22"/>
  <c r="AB93" i="22"/>
  <c r="AC93" i="22"/>
  <c r="AD93" i="22"/>
  <c r="AE93" i="22"/>
  <c r="AF93" i="22"/>
  <c r="AG93" i="22"/>
  <c r="AH93" i="22"/>
  <c r="AI93" i="22"/>
  <c r="AJ93" i="22"/>
  <c r="AK93" i="22"/>
  <c r="BZ93" i="22"/>
  <c r="BL93" i="22" s="1"/>
  <c r="ES93" i="22"/>
  <c r="ET93" i="22"/>
  <c r="EU93" i="22"/>
  <c r="K94" i="22"/>
  <c r="L94" i="22"/>
  <c r="Y94" i="22"/>
  <c r="Z94" i="22"/>
  <c r="AA94" i="22"/>
  <c r="AB94" i="22"/>
  <c r="AC94" i="22"/>
  <c r="AD94" i="22"/>
  <c r="AE94" i="22"/>
  <c r="AF94" i="22"/>
  <c r="AG94" i="22"/>
  <c r="AH94" i="22"/>
  <c r="AI94" i="22"/>
  <c r="AJ94" i="22"/>
  <c r="AK94" i="22"/>
  <c r="BU94" i="22"/>
  <c r="BG94" i="22" s="1"/>
  <c r="BV94" i="22"/>
  <c r="BH94" i="22" s="1"/>
  <c r="ES94" i="22"/>
  <c r="ET94" i="22"/>
  <c r="EU94" i="22"/>
  <c r="K95" i="22"/>
  <c r="L95" i="22"/>
  <c r="Y95" i="22"/>
  <c r="Z95" i="22"/>
  <c r="AA95" i="22"/>
  <c r="AB95" i="22"/>
  <c r="AC95" i="22"/>
  <c r="AD95" i="22"/>
  <c r="AE95" i="22"/>
  <c r="AF95" i="22"/>
  <c r="AG95" i="22"/>
  <c r="AH95" i="22"/>
  <c r="AI95" i="22"/>
  <c r="AJ95" i="22"/>
  <c r="AK95" i="22"/>
  <c r="BS95" i="22"/>
  <c r="BE95" i="22" s="1"/>
  <c r="ES95" i="22"/>
  <c r="ET95" i="22"/>
  <c r="EU95" i="22"/>
  <c r="K96" i="22"/>
  <c r="L96" i="22"/>
  <c r="Y96" i="22"/>
  <c r="Z96" i="22"/>
  <c r="AA96" i="22"/>
  <c r="AB96" i="22"/>
  <c r="AC96" i="22"/>
  <c r="AD96" i="22"/>
  <c r="AE96" i="22"/>
  <c r="AF96" i="22"/>
  <c r="AG96" i="22"/>
  <c r="AH96" i="22"/>
  <c r="AI96" i="22"/>
  <c r="AJ96" i="22"/>
  <c r="AK96" i="22"/>
  <c r="BZ96" i="22"/>
  <c r="BL96" i="22" s="1"/>
  <c r="ES96" i="22"/>
  <c r="ET96" i="22"/>
  <c r="EU96" i="22"/>
  <c r="K97" i="22"/>
  <c r="L97" i="22"/>
  <c r="Y97" i="22"/>
  <c r="Z97" i="22"/>
  <c r="AA97" i="22"/>
  <c r="AB97" i="22"/>
  <c r="AC97" i="22"/>
  <c r="AD97" i="22"/>
  <c r="AE97" i="22"/>
  <c r="AF97" i="22"/>
  <c r="AG97" i="22"/>
  <c r="AH97" i="22"/>
  <c r="AI97" i="22"/>
  <c r="AJ97" i="22"/>
  <c r="AK97" i="22"/>
  <c r="BW97" i="22"/>
  <c r="BI97" i="22" s="1"/>
  <c r="CB97" i="22"/>
  <c r="ES97" i="22"/>
  <c r="ET97" i="22"/>
  <c r="EU97" i="22"/>
  <c r="K98" i="22"/>
  <c r="L98" i="22"/>
  <c r="Y98" i="22"/>
  <c r="Z98" i="22"/>
  <c r="AA98" i="22"/>
  <c r="AB98" i="22"/>
  <c r="AC98" i="22"/>
  <c r="AD98" i="22"/>
  <c r="AE98" i="22"/>
  <c r="AF98" i="22"/>
  <c r="AG98" i="22"/>
  <c r="AH98" i="22"/>
  <c r="AI98" i="22"/>
  <c r="AJ98" i="22"/>
  <c r="AK98" i="22"/>
  <c r="BR98" i="22"/>
  <c r="BD98" i="22" s="1"/>
  <c r="BS98" i="22"/>
  <c r="BE98" i="22" s="1"/>
  <c r="ES98" i="22"/>
  <c r="ET98" i="22"/>
  <c r="EU98" i="22"/>
  <c r="H99" i="22"/>
  <c r="Y99" i="22"/>
  <c r="Z99" i="22"/>
  <c r="AA99" i="22"/>
  <c r="AB99" i="22"/>
  <c r="AC99" i="22"/>
  <c r="AD99" i="22"/>
  <c r="AE99" i="22"/>
  <c r="AF99" i="22"/>
  <c r="AG99" i="22"/>
  <c r="AH99" i="22"/>
  <c r="AI99" i="22"/>
  <c r="AJ99" i="22"/>
  <c r="AK99" i="22"/>
  <c r="BO99" i="22"/>
  <c r="B99" i="22" s="1"/>
  <c r="BY99" i="22"/>
  <c r="BK99" i="22" s="1"/>
  <c r="CD99" i="22"/>
  <c r="EI99" i="22"/>
  <c r="EJ99" i="22"/>
  <c r="EK99" i="22"/>
  <c r="EL99" i="22"/>
  <c r="EM99" i="22"/>
  <c r="EN99" i="22"/>
  <c r="EO99" i="22"/>
  <c r="EP99" i="22"/>
  <c r="EQ99" i="22"/>
  <c r="ER99" i="22"/>
  <c r="ES99" i="22"/>
  <c r="ET99" i="22"/>
  <c r="EU99" i="22"/>
  <c r="EZ99" i="22"/>
  <c r="K100" i="22"/>
  <c r="L100" i="22"/>
  <c r="Y100" i="22"/>
  <c r="Z100" i="22"/>
  <c r="AA100" i="22"/>
  <c r="AB100" i="22"/>
  <c r="AC100" i="22"/>
  <c r="AD100" i="22"/>
  <c r="AE100" i="22"/>
  <c r="AF100" i="22"/>
  <c r="AG100" i="22"/>
  <c r="AH100" i="22"/>
  <c r="AI100" i="22"/>
  <c r="AJ100" i="22"/>
  <c r="AK100" i="22"/>
  <c r="BV100" i="22"/>
  <c r="BH100" i="22" s="1"/>
  <c r="CB100" i="22"/>
  <c r="ES100" i="22"/>
  <c r="ET100" i="22"/>
  <c r="EU100" i="22"/>
  <c r="K101" i="22"/>
  <c r="L101" i="22"/>
  <c r="Y101" i="22"/>
  <c r="Z101" i="22"/>
  <c r="AA101" i="22"/>
  <c r="AB101" i="22"/>
  <c r="AC101" i="22"/>
  <c r="AD101" i="22"/>
  <c r="AE101" i="22"/>
  <c r="AF101" i="22"/>
  <c r="AG101" i="22"/>
  <c r="AH101" i="22"/>
  <c r="AI101" i="22"/>
  <c r="AJ101" i="22"/>
  <c r="AK101" i="22"/>
  <c r="BR101" i="22"/>
  <c r="BD101" i="22" s="1"/>
  <c r="CB101" i="22"/>
  <c r="EZ101" i="22"/>
  <c r="K102" i="22"/>
  <c r="L102" i="22"/>
  <c r="Y102" i="22"/>
  <c r="Z102" i="22"/>
  <c r="AA102" i="22"/>
  <c r="AB102" i="22"/>
  <c r="AC102" i="22"/>
  <c r="AD102" i="22"/>
  <c r="AE102" i="22"/>
  <c r="AF102" i="22"/>
  <c r="AG102" i="22"/>
  <c r="AH102" i="22"/>
  <c r="AI102" i="22"/>
  <c r="AJ102" i="22"/>
  <c r="AK102" i="22"/>
  <c r="BP102" i="22"/>
  <c r="BX102" i="22"/>
  <c r="BJ102" i="22" s="1"/>
  <c r="CC102" i="22"/>
  <c r="K103" i="22"/>
  <c r="L103" i="22"/>
  <c r="Y103" i="22"/>
  <c r="Z103" i="22"/>
  <c r="AA103" i="22"/>
  <c r="AB103" i="22"/>
  <c r="AC103" i="22"/>
  <c r="AD103" i="22"/>
  <c r="AE103" i="22"/>
  <c r="AF103" i="22"/>
  <c r="AG103" i="22"/>
  <c r="AH103" i="22"/>
  <c r="AI103" i="22"/>
  <c r="AJ103" i="22"/>
  <c r="AK103" i="22"/>
  <c r="BY103" i="22"/>
  <c r="BK103" i="22" s="1"/>
  <c r="CB103" i="22"/>
  <c r="K104" i="22"/>
  <c r="L104" i="22"/>
  <c r="Y104" i="22"/>
  <c r="Z104" i="22"/>
  <c r="AA104" i="22"/>
  <c r="AB104" i="22"/>
  <c r="AC104" i="22"/>
  <c r="AD104" i="22"/>
  <c r="AE104" i="22"/>
  <c r="AF104" i="22"/>
  <c r="AG104" i="22"/>
  <c r="AH104" i="22"/>
  <c r="AI104" i="22"/>
  <c r="AJ104" i="22"/>
  <c r="AK104" i="22"/>
  <c r="BS104" i="22"/>
  <c r="BE104" i="22" s="1"/>
  <c r="CC104" i="22"/>
  <c r="EZ104" i="22"/>
  <c r="K105" i="22"/>
  <c r="L105" i="22"/>
  <c r="Y105" i="22"/>
  <c r="Z105" i="22"/>
  <c r="AA105" i="22"/>
  <c r="AB105" i="22"/>
  <c r="AC105" i="22"/>
  <c r="AD105" i="22"/>
  <c r="AE105" i="22"/>
  <c r="AF105" i="22"/>
  <c r="AG105" i="22"/>
  <c r="AH105" i="22"/>
  <c r="AI105" i="22"/>
  <c r="AJ105" i="22"/>
  <c r="AK105" i="22"/>
  <c r="BJ105" i="22"/>
  <c r="BX105" i="22"/>
  <c r="CA105" i="22"/>
  <c r="BM105" i="22" s="1"/>
  <c r="EZ105" i="22"/>
  <c r="K106" i="22"/>
  <c r="L106" i="22"/>
  <c r="Y106" i="22"/>
  <c r="Z106" i="22"/>
  <c r="AA106" i="22"/>
  <c r="AB106" i="22"/>
  <c r="AC106" i="22"/>
  <c r="AD106" i="22"/>
  <c r="AE106" i="22"/>
  <c r="AF106" i="22"/>
  <c r="AG106" i="22"/>
  <c r="AH106" i="22"/>
  <c r="AI106" i="22"/>
  <c r="AJ106" i="22"/>
  <c r="AK106" i="22"/>
  <c r="BV106" i="22"/>
  <c r="BH106" i="22" s="1"/>
  <c r="BZ106" i="22"/>
  <c r="BL106" i="22" s="1"/>
  <c r="K107" i="22"/>
  <c r="L107" i="22"/>
  <c r="Y107" i="22"/>
  <c r="Z107" i="22"/>
  <c r="AA107" i="22"/>
  <c r="AB107" i="22"/>
  <c r="AC107" i="22"/>
  <c r="AD107" i="22"/>
  <c r="AE107" i="22"/>
  <c r="AF107" i="22"/>
  <c r="AG107" i="22"/>
  <c r="AH107" i="22"/>
  <c r="AI107" i="22"/>
  <c r="AJ107" i="22"/>
  <c r="AK107" i="22"/>
  <c r="BU107" i="22"/>
  <c r="BG107" i="22" s="1"/>
  <c r="BV107" i="22"/>
  <c r="BH107" i="22" s="1"/>
  <c r="K108" i="22"/>
  <c r="L108" i="22"/>
  <c r="Y108" i="22"/>
  <c r="Z108" i="22"/>
  <c r="AA108" i="22"/>
  <c r="AB108" i="22"/>
  <c r="AC108" i="22"/>
  <c r="AD108" i="22"/>
  <c r="AE108" i="22"/>
  <c r="AF108" i="22"/>
  <c r="AG108" i="22"/>
  <c r="AH108" i="22"/>
  <c r="AI108" i="22"/>
  <c r="AJ108" i="22"/>
  <c r="AK108" i="22"/>
  <c r="BS108" i="22"/>
  <c r="BE108" i="22" s="1"/>
  <c r="BT108" i="22"/>
  <c r="BF108" i="22" s="1"/>
  <c r="CD108" i="22"/>
  <c r="EZ108" i="22"/>
  <c r="K109" i="22"/>
  <c r="L109" i="22"/>
  <c r="Y109" i="22"/>
  <c r="Z109" i="22"/>
  <c r="AA109" i="22"/>
  <c r="AB109" i="22"/>
  <c r="AC109" i="22"/>
  <c r="AD109" i="22"/>
  <c r="AE109" i="22"/>
  <c r="AF109" i="22"/>
  <c r="AG109" i="22"/>
  <c r="AH109" i="22"/>
  <c r="AI109" i="22"/>
  <c r="AJ109" i="22"/>
  <c r="AK109" i="22"/>
  <c r="BV109" i="22"/>
  <c r="BH109" i="22" s="1"/>
  <c r="BW109" i="22"/>
  <c r="BI109" i="22" s="1"/>
  <c r="EZ109" i="22"/>
  <c r="K110" i="22"/>
  <c r="L110" i="22"/>
  <c r="Y110" i="22"/>
  <c r="Z110" i="22"/>
  <c r="AA110" i="22"/>
  <c r="AB110" i="22"/>
  <c r="AC110" i="22"/>
  <c r="AD110" i="22"/>
  <c r="AE110" i="22"/>
  <c r="AF110" i="22"/>
  <c r="AG110" i="22"/>
  <c r="AH110" i="22"/>
  <c r="AI110" i="22"/>
  <c r="AJ110" i="22"/>
  <c r="AK110" i="22"/>
  <c r="BR110" i="22"/>
  <c r="BS110" i="22"/>
  <c r="BE110" i="22" s="1"/>
  <c r="CC110" i="22"/>
  <c r="CD110" i="22"/>
  <c r="EZ110" i="22"/>
  <c r="K111" i="22"/>
  <c r="L111" i="22"/>
  <c r="Y111" i="22"/>
  <c r="Z111" i="22"/>
  <c r="AA111" i="22"/>
  <c r="AB111" i="22"/>
  <c r="AC111" i="22"/>
  <c r="AD111" i="22"/>
  <c r="AE111" i="22"/>
  <c r="AF111" i="22"/>
  <c r="AG111" i="22"/>
  <c r="AH111" i="22"/>
  <c r="AI111" i="22"/>
  <c r="AJ111" i="22"/>
  <c r="AK111" i="22"/>
  <c r="BV111" i="22"/>
  <c r="BH111" i="22" s="1"/>
  <c r="BW111" i="22"/>
  <c r="BI111" i="22" s="1"/>
  <c r="EZ111" i="22"/>
  <c r="K112" i="22"/>
  <c r="L112" i="22"/>
  <c r="AA112" i="22"/>
  <c r="AM112" i="22"/>
  <c r="Y112" i="22" s="1"/>
  <c r="AN112" i="22"/>
  <c r="Z112" i="22" s="1"/>
  <c r="AO112" i="22"/>
  <c r="AR112" i="22"/>
  <c r="AD112" i="22" s="1"/>
  <c r="AS112" i="22"/>
  <c r="AE112" i="22" s="1"/>
  <c r="AT112" i="22"/>
  <c r="AF112" i="22" s="1"/>
  <c r="AU112" i="22"/>
  <c r="AG112" i="22" s="1"/>
  <c r="AV112" i="22"/>
  <c r="AH112" i="22" s="1"/>
  <c r="AW112" i="22"/>
  <c r="AI112" i="22" s="1"/>
  <c r="BW112" i="22"/>
  <c r="BI112" i="22" s="1"/>
  <c r="BX112" i="22"/>
  <c r="BJ112" i="22" s="1"/>
  <c r="ES112" i="22"/>
  <c r="ET112" i="22"/>
  <c r="EU112" i="22"/>
  <c r="K113" i="22"/>
  <c r="L113" i="22"/>
  <c r="Y113" i="22"/>
  <c r="Z113" i="22"/>
  <c r="AA113" i="22"/>
  <c r="AB113" i="22"/>
  <c r="AC113" i="22"/>
  <c r="AD113" i="22"/>
  <c r="AE113" i="22"/>
  <c r="AF113" i="22"/>
  <c r="AG113" i="22"/>
  <c r="AH113" i="22"/>
  <c r="AI113" i="22"/>
  <c r="AJ113" i="22"/>
  <c r="AK113" i="22"/>
  <c r="BX113" i="22"/>
  <c r="BJ113" i="22" s="1"/>
  <c r="BY113" i="22"/>
  <c r="BK113" i="22" s="1"/>
  <c r="EI113" i="22"/>
  <c r="EJ113" i="22"/>
  <c r="EK113" i="22"/>
  <c r="EL113" i="22"/>
  <c r="EM113" i="22"/>
  <c r="EN113" i="22"/>
  <c r="EO113" i="22"/>
  <c r="EP113" i="22"/>
  <c r="EQ113" i="22"/>
  <c r="ER113" i="22"/>
  <c r="ES113" i="22"/>
  <c r="ET113" i="22"/>
  <c r="EU113" i="22"/>
  <c r="K114" i="22"/>
  <c r="L114" i="22"/>
  <c r="Y114" i="22"/>
  <c r="Z114" i="22"/>
  <c r="AA114" i="22"/>
  <c r="AB114" i="22"/>
  <c r="AC114" i="22"/>
  <c r="AD114" i="22"/>
  <c r="AE114" i="22"/>
  <c r="AF114" i="22"/>
  <c r="AG114" i="22"/>
  <c r="AH114" i="22"/>
  <c r="AI114" i="22"/>
  <c r="AJ114" i="22"/>
  <c r="AK114" i="22"/>
  <c r="BQ114" i="22"/>
  <c r="C114" i="22" s="1"/>
  <c r="BR114" i="22"/>
  <c r="BD114" i="22" s="1"/>
  <c r="CA114" i="22"/>
  <c r="BM114" i="22" s="1"/>
  <c r="CC114" i="22"/>
  <c r="K115" i="22"/>
  <c r="L115" i="22"/>
  <c r="Y115" i="22"/>
  <c r="Z115" i="22"/>
  <c r="AA115" i="22"/>
  <c r="AB115" i="22"/>
  <c r="AC115" i="22"/>
  <c r="AD115" i="22"/>
  <c r="AE115" i="22"/>
  <c r="AF115" i="22"/>
  <c r="AG115" i="22"/>
  <c r="AH115" i="22"/>
  <c r="AI115" i="22"/>
  <c r="AJ115" i="22"/>
  <c r="AK115" i="22"/>
  <c r="BO115" i="22"/>
  <c r="BY115" i="22"/>
  <c r="BK115" i="22" s="1"/>
  <c r="BZ115" i="22"/>
  <c r="BL115" i="22" s="1"/>
  <c r="K116" i="22"/>
  <c r="L116" i="22"/>
  <c r="Y116" i="22"/>
  <c r="Z116" i="22"/>
  <c r="AA116" i="22"/>
  <c r="AB116" i="22"/>
  <c r="AC116" i="22"/>
  <c r="AD116" i="22"/>
  <c r="AE116" i="22"/>
  <c r="AF116" i="22"/>
  <c r="AG116" i="22"/>
  <c r="AH116" i="22"/>
  <c r="AI116" i="22"/>
  <c r="AJ116" i="22"/>
  <c r="AK116" i="22"/>
  <c r="BS116" i="22"/>
  <c r="BE116" i="22" s="1"/>
  <c r="BW116" i="22"/>
  <c r="BI116" i="22" s="1"/>
  <c r="CD116" i="22"/>
  <c r="EI116" i="22"/>
  <c r="EJ116" i="22"/>
  <c r="EK116" i="22"/>
  <c r="EL116" i="22"/>
  <c r="EM116" i="22"/>
  <c r="EN116" i="22"/>
  <c r="EO116" i="22"/>
  <c r="EP116" i="22"/>
  <c r="EQ116" i="22"/>
  <c r="ER116" i="22"/>
  <c r="ES116" i="22"/>
  <c r="ET116" i="22"/>
  <c r="EU116" i="22"/>
  <c r="K117" i="22"/>
  <c r="L117" i="22"/>
  <c r="Y117" i="22"/>
  <c r="Z117" i="22"/>
  <c r="AA117" i="22"/>
  <c r="AB117" i="22"/>
  <c r="AC117" i="22"/>
  <c r="AD117" i="22"/>
  <c r="AE117" i="22"/>
  <c r="AF117" i="22"/>
  <c r="AG117" i="22"/>
  <c r="AH117" i="22"/>
  <c r="AI117" i="22"/>
  <c r="AJ117" i="22"/>
  <c r="AK117" i="22"/>
  <c r="BP117" i="22"/>
  <c r="BW117" i="22"/>
  <c r="BI117" i="22" s="1"/>
  <c r="CA117" i="22"/>
  <c r="BM117" i="22" s="1"/>
  <c r="EI117" i="22"/>
  <c r="EJ117" i="22"/>
  <c r="EK117" i="22"/>
  <c r="EL117" i="22"/>
  <c r="EM117" i="22"/>
  <c r="EN117" i="22"/>
  <c r="EO117" i="22"/>
  <c r="EP117" i="22"/>
  <c r="EQ117" i="22"/>
  <c r="ER117" i="22"/>
  <c r="ES117" i="22"/>
  <c r="ET117" i="22"/>
  <c r="EU117" i="22"/>
  <c r="K118" i="22"/>
  <c r="L118" i="22"/>
  <c r="Y118" i="22"/>
  <c r="Z118" i="22"/>
  <c r="AA118" i="22"/>
  <c r="AB118" i="22"/>
  <c r="AC118" i="22"/>
  <c r="AD118" i="22"/>
  <c r="AE118" i="22"/>
  <c r="AF118" i="22"/>
  <c r="AG118" i="22"/>
  <c r="AH118" i="22"/>
  <c r="AI118" i="22"/>
  <c r="AJ118" i="22"/>
  <c r="AK118" i="22"/>
  <c r="BO118" i="22"/>
  <c r="B118" i="22" s="1"/>
  <c r="BS118" i="22"/>
  <c r="BE118" i="22" s="1"/>
  <c r="BY118" i="22"/>
  <c r="BK118" i="22" s="1"/>
  <c r="CC118" i="22"/>
  <c r="EI118" i="22"/>
  <c r="EJ118" i="22"/>
  <c r="EK118" i="22"/>
  <c r="EL118" i="22"/>
  <c r="EM118" i="22"/>
  <c r="EN118" i="22"/>
  <c r="EO118" i="22"/>
  <c r="EP118" i="22"/>
  <c r="EQ118" i="22"/>
  <c r="ER118" i="22"/>
  <c r="ES118" i="22"/>
  <c r="ET118" i="22"/>
  <c r="EU118" i="22"/>
  <c r="K119" i="22"/>
  <c r="L119" i="22"/>
  <c r="Y119" i="22"/>
  <c r="Z119" i="22"/>
  <c r="AA119" i="22"/>
  <c r="AB119" i="22"/>
  <c r="AC119" i="22"/>
  <c r="AD119" i="22"/>
  <c r="AE119" i="22"/>
  <c r="AF119" i="22"/>
  <c r="AG119" i="22"/>
  <c r="AH119" i="22"/>
  <c r="AI119" i="22"/>
  <c r="AJ119" i="22"/>
  <c r="AK119" i="22"/>
  <c r="BQ119" i="22"/>
  <c r="C119" i="22" s="1"/>
  <c r="BU119" i="22"/>
  <c r="BG119" i="22" s="1"/>
  <c r="CB119" i="22"/>
  <c r="EI119" i="22"/>
  <c r="EJ119" i="22"/>
  <c r="EK119" i="22"/>
  <c r="EL119" i="22"/>
  <c r="EM119" i="22"/>
  <c r="EN119" i="22"/>
  <c r="EO119" i="22"/>
  <c r="EP119" i="22"/>
  <c r="EQ119" i="22"/>
  <c r="ER119" i="22"/>
  <c r="ES119" i="22"/>
  <c r="ET119" i="22"/>
  <c r="EU119" i="22"/>
  <c r="H120" i="22"/>
  <c r="Y120" i="22"/>
  <c r="Z120" i="22"/>
  <c r="AA120" i="22"/>
  <c r="AB120" i="22"/>
  <c r="AC120" i="22"/>
  <c r="AD120" i="22"/>
  <c r="AE120" i="22"/>
  <c r="AF120" i="22"/>
  <c r="AG120" i="22"/>
  <c r="AH120" i="22"/>
  <c r="AI120" i="22"/>
  <c r="AJ120" i="22"/>
  <c r="AK120" i="22"/>
  <c r="BP120" i="22"/>
  <c r="BQ120" i="22"/>
  <c r="C120" i="22" s="1"/>
  <c r="BZ120" i="22"/>
  <c r="BL120" i="22" s="1"/>
  <c r="CB120" i="22"/>
  <c r="EI120" i="22"/>
  <c r="EJ120" i="22"/>
  <c r="EK120" i="22"/>
  <c r="EL120" i="22"/>
  <c r="EM120" i="22"/>
  <c r="EN120" i="22"/>
  <c r="EO120" i="22"/>
  <c r="EP120" i="22"/>
  <c r="EQ120" i="22"/>
  <c r="ER120" i="22"/>
  <c r="ES120" i="22"/>
  <c r="ET120" i="22"/>
  <c r="EU120" i="22"/>
  <c r="EZ120" i="22"/>
  <c r="K121" i="22"/>
  <c r="L121" i="22"/>
  <c r="Y121" i="22"/>
  <c r="Z121" i="22"/>
  <c r="AA121" i="22"/>
  <c r="AB121" i="22"/>
  <c r="AC121" i="22"/>
  <c r="AD121" i="22"/>
  <c r="AE121" i="22"/>
  <c r="AF121" i="22"/>
  <c r="AG121" i="22"/>
  <c r="AH121" i="22"/>
  <c r="AI121" i="22"/>
  <c r="AJ121" i="22"/>
  <c r="AK121" i="22"/>
  <c r="BP121" i="22"/>
  <c r="BT121" i="22"/>
  <c r="BF121" i="22" s="1"/>
  <c r="CA121" i="22"/>
  <c r="BM121" i="22" s="1"/>
  <c r="EI121" i="22"/>
  <c r="EJ121" i="22"/>
  <c r="EK121" i="22"/>
  <c r="EL121" i="22"/>
  <c r="EM121" i="22"/>
  <c r="EN121" i="22"/>
  <c r="EO121" i="22"/>
  <c r="EP121" i="22"/>
  <c r="EQ121" i="22"/>
  <c r="ER121" i="22"/>
  <c r="ES121" i="22"/>
  <c r="ET121" i="22"/>
  <c r="EU121" i="22"/>
  <c r="EZ121" i="22"/>
  <c r="K122" i="22"/>
  <c r="L122" i="22"/>
  <c r="AN122" i="22"/>
  <c r="Z122" i="22" s="1"/>
  <c r="AO122" i="22"/>
  <c r="AA122" i="22" s="1"/>
  <c r="AP122" i="22"/>
  <c r="AB122" i="22" s="1"/>
  <c r="AR122" i="22"/>
  <c r="AD122" i="22" s="1"/>
  <c r="AT122" i="22"/>
  <c r="AF122" i="22" s="1"/>
  <c r="AV122" i="22"/>
  <c r="AH122" i="22" s="1"/>
  <c r="AW122" i="22"/>
  <c r="AI122" i="22" s="1"/>
  <c r="AX122" i="22"/>
  <c r="AJ122" i="22" s="1"/>
  <c r="BO122" i="22"/>
  <c r="B122" i="22" s="1"/>
  <c r="BP122" i="22"/>
  <c r="BY122" i="22"/>
  <c r="BK122" i="22" s="1"/>
  <c r="CA122" i="22"/>
  <c r="BM122" i="22" s="1"/>
  <c r="ES122" i="22"/>
  <c r="ET122" i="22"/>
  <c r="EU122" i="22"/>
  <c r="K123" i="22"/>
  <c r="L123" i="22"/>
  <c r="Y123" i="22"/>
  <c r="Z123" i="22"/>
  <c r="AA123" i="22"/>
  <c r="AB123" i="22"/>
  <c r="AC123" i="22"/>
  <c r="AD123" i="22"/>
  <c r="AE123" i="22"/>
  <c r="AF123" i="22"/>
  <c r="AG123" i="22"/>
  <c r="AH123" i="22"/>
  <c r="AI123" i="22"/>
  <c r="AJ123" i="22"/>
  <c r="AK123" i="22"/>
  <c r="BQ123" i="22"/>
  <c r="C123" i="22" s="1"/>
  <c r="BR123" i="22"/>
  <c r="BD123" i="22" s="1"/>
  <c r="CA123" i="22"/>
  <c r="BM123" i="22" s="1"/>
  <c r="CC123" i="22"/>
  <c r="EI123" i="22"/>
  <c r="EJ123" i="22"/>
  <c r="EK123" i="22"/>
  <c r="EL123" i="22"/>
  <c r="EM123" i="22"/>
  <c r="EN123" i="22"/>
  <c r="EO123" i="22"/>
  <c r="EP123" i="22"/>
  <c r="EQ123" i="22"/>
  <c r="ER123" i="22"/>
  <c r="ES123" i="22"/>
  <c r="ET123" i="22"/>
  <c r="EU123" i="22"/>
  <c r="EZ123" i="22"/>
  <c r="K124" i="22"/>
  <c r="L124" i="22"/>
  <c r="Y124" i="22"/>
  <c r="Z124" i="22"/>
  <c r="AA124" i="22"/>
  <c r="AB124" i="22"/>
  <c r="AC124" i="22"/>
  <c r="AD124" i="22"/>
  <c r="AE124" i="22"/>
  <c r="AF124" i="22"/>
  <c r="AG124" i="22"/>
  <c r="AH124" i="22"/>
  <c r="AI124" i="22"/>
  <c r="AJ124" i="22"/>
  <c r="AK124" i="22"/>
  <c r="BS124" i="22"/>
  <c r="BE124" i="22" s="1"/>
  <c r="BU124" i="22"/>
  <c r="BG124" i="22" s="1"/>
  <c r="BY124" i="22"/>
  <c r="BK124" i="22" s="1"/>
  <c r="CD124" i="22"/>
  <c r="EI124" i="22"/>
  <c r="EJ124" i="22"/>
  <c r="EK124" i="22"/>
  <c r="EL124" i="22"/>
  <c r="EM124" i="22"/>
  <c r="EN124" i="22"/>
  <c r="EO124" i="22"/>
  <c r="EP124" i="22"/>
  <c r="EQ124" i="22"/>
  <c r="ER124" i="22"/>
  <c r="ES124" i="22"/>
  <c r="ET124" i="22"/>
  <c r="EU124" i="22"/>
  <c r="EZ124" i="22"/>
  <c r="K125" i="22"/>
  <c r="L125" i="22"/>
  <c r="Y125" i="22"/>
  <c r="Z125" i="22"/>
  <c r="AA125" i="22"/>
  <c r="AB125" i="22"/>
  <c r="AC125" i="22"/>
  <c r="AD125" i="22"/>
  <c r="AE125" i="22"/>
  <c r="AF125" i="22"/>
  <c r="AG125" i="22"/>
  <c r="AH125" i="22"/>
  <c r="AI125" i="22"/>
  <c r="AJ125" i="22"/>
  <c r="AK125" i="22"/>
  <c r="BO125" i="22"/>
  <c r="B125" i="22" s="1"/>
  <c r="BT125" i="22"/>
  <c r="BF125" i="22" s="1"/>
  <c r="BX125" i="22"/>
  <c r="BJ125" i="22" s="1"/>
  <c r="BY125" i="22"/>
  <c r="BK125" i="22" s="1"/>
  <c r="EI125" i="22"/>
  <c r="EJ125" i="22"/>
  <c r="EK125" i="22"/>
  <c r="EL125" i="22"/>
  <c r="EM125" i="22"/>
  <c r="EN125" i="22"/>
  <c r="EO125" i="22"/>
  <c r="EP125" i="22"/>
  <c r="EQ125" i="22"/>
  <c r="ER125" i="22"/>
  <c r="ES125" i="22"/>
  <c r="ET125" i="22"/>
  <c r="EU125" i="22"/>
  <c r="EZ125" i="22"/>
  <c r="K126" i="22"/>
  <c r="L126" i="22"/>
  <c r="Y126" i="22"/>
  <c r="Z126" i="22"/>
  <c r="AA126" i="22"/>
  <c r="AB126" i="22"/>
  <c r="AC126" i="22"/>
  <c r="AD126" i="22"/>
  <c r="AE126" i="22"/>
  <c r="AF126" i="22"/>
  <c r="AG126" i="22"/>
  <c r="AH126" i="22"/>
  <c r="AI126" i="22"/>
  <c r="AJ126" i="22"/>
  <c r="AK126" i="22"/>
  <c r="BG126" i="22"/>
  <c r="BO126" i="22"/>
  <c r="B126" i="22" s="1"/>
  <c r="BU126" i="22"/>
  <c r="BY126" i="22"/>
  <c r="BK126" i="22" s="1"/>
  <c r="BZ126" i="22"/>
  <c r="BL126" i="22" s="1"/>
  <c r="EI126" i="22"/>
  <c r="EJ126" i="22"/>
  <c r="EK126" i="22"/>
  <c r="EL126" i="22"/>
  <c r="EM126" i="22"/>
  <c r="EN126" i="22"/>
  <c r="EO126" i="22"/>
  <c r="EP126" i="22"/>
  <c r="EQ126" i="22"/>
  <c r="ER126" i="22"/>
  <c r="ES126" i="22"/>
  <c r="ET126" i="22"/>
  <c r="EU126" i="22"/>
  <c r="EZ126" i="22"/>
  <c r="K127" i="22"/>
  <c r="L127" i="22"/>
  <c r="Y127" i="22"/>
  <c r="Z127" i="22"/>
  <c r="AA127" i="22"/>
  <c r="AB127" i="22"/>
  <c r="AC127" i="22"/>
  <c r="AD127" i="22"/>
  <c r="AE127" i="22"/>
  <c r="AF127" i="22"/>
  <c r="AG127" i="22"/>
  <c r="AH127" i="22"/>
  <c r="AI127" i="22"/>
  <c r="AJ127" i="22"/>
  <c r="AK127" i="22"/>
  <c r="BP127" i="22"/>
  <c r="BT127" i="22"/>
  <c r="BF127" i="22" s="1"/>
  <c r="BY127" i="22"/>
  <c r="BK127" i="22" s="1"/>
  <c r="BZ127" i="22"/>
  <c r="BL127" i="22" s="1"/>
  <c r="CD127" i="22"/>
  <c r="EI127" i="22"/>
  <c r="EJ127" i="22"/>
  <c r="EK127" i="22"/>
  <c r="EL127" i="22"/>
  <c r="EM127" i="22"/>
  <c r="EN127" i="22"/>
  <c r="EO127" i="22"/>
  <c r="EP127" i="22"/>
  <c r="EQ127" i="22"/>
  <c r="ER127" i="22"/>
  <c r="ES127" i="22"/>
  <c r="ET127" i="22"/>
  <c r="EU127" i="22"/>
  <c r="EZ127" i="22"/>
  <c r="K128" i="22"/>
  <c r="L128" i="22"/>
  <c r="Y128" i="22"/>
  <c r="Z128" i="22"/>
  <c r="AA128" i="22"/>
  <c r="AB128" i="22"/>
  <c r="AC128" i="22"/>
  <c r="AD128" i="22"/>
  <c r="AE128" i="22"/>
  <c r="AF128" i="22"/>
  <c r="AG128" i="22"/>
  <c r="AH128" i="22"/>
  <c r="AI128" i="22"/>
  <c r="AJ128" i="22"/>
  <c r="AK128" i="22"/>
  <c r="BO128" i="22"/>
  <c r="B128" i="22" s="1"/>
  <c r="BP128" i="22"/>
  <c r="BT128" i="22"/>
  <c r="BF128" i="22" s="1"/>
  <c r="BY128" i="22"/>
  <c r="BK128" i="22" s="1"/>
  <c r="CA128" i="22"/>
  <c r="BM128" i="22" s="1"/>
  <c r="EI128" i="22"/>
  <c r="EJ128" i="22"/>
  <c r="EK128" i="22"/>
  <c r="EL128" i="22"/>
  <c r="EM128" i="22"/>
  <c r="EN128" i="22"/>
  <c r="EO128" i="22"/>
  <c r="EP128" i="22"/>
  <c r="EQ128" i="22"/>
  <c r="ER128" i="22"/>
  <c r="ES128" i="22"/>
  <c r="ET128" i="22"/>
  <c r="EU128" i="22"/>
  <c r="EZ128" i="22"/>
  <c r="K129" i="22"/>
  <c r="L129" i="22"/>
  <c r="Y129" i="22"/>
  <c r="Z129" i="22"/>
  <c r="AA129" i="22"/>
  <c r="AB129" i="22"/>
  <c r="AC129" i="22"/>
  <c r="AD129" i="22"/>
  <c r="AE129" i="22"/>
  <c r="AF129" i="22"/>
  <c r="AG129" i="22"/>
  <c r="AH129" i="22"/>
  <c r="AI129" i="22"/>
  <c r="AJ129" i="22"/>
  <c r="AK129" i="22"/>
  <c r="BO129" i="22"/>
  <c r="B129" i="22" s="1"/>
  <c r="BS129" i="22"/>
  <c r="BE129" i="22" s="1"/>
  <c r="BU129" i="22"/>
  <c r="BG129" i="22" s="1"/>
  <c r="BY129" i="22"/>
  <c r="BK129" i="22" s="1"/>
  <c r="BZ129" i="22"/>
  <c r="BL129" i="22" s="1"/>
  <c r="CD129" i="22"/>
  <c r="EI129" i="22"/>
  <c r="EJ129" i="22"/>
  <c r="EK129" i="22"/>
  <c r="EL129" i="22"/>
  <c r="EM129" i="22"/>
  <c r="EN129" i="22"/>
  <c r="EO129" i="22"/>
  <c r="EP129" i="22"/>
  <c r="EQ129" i="22"/>
  <c r="ER129" i="22"/>
  <c r="ES129" i="22"/>
  <c r="ET129" i="22"/>
  <c r="EU129" i="22"/>
  <c r="EZ129" i="22"/>
  <c r="K130" i="22"/>
  <c r="L130" i="22"/>
  <c r="Y130" i="22"/>
  <c r="Z130" i="22"/>
  <c r="AA130" i="22"/>
  <c r="AB130" i="22"/>
  <c r="AC130" i="22"/>
  <c r="AD130" i="22"/>
  <c r="AE130" i="22"/>
  <c r="AF130" i="22"/>
  <c r="AG130" i="22"/>
  <c r="AH130" i="22"/>
  <c r="AI130" i="22"/>
  <c r="AJ130" i="22"/>
  <c r="AK130" i="22"/>
  <c r="BO130" i="22"/>
  <c r="B130" i="22" s="1"/>
  <c r="BS130" i="22"/>
  <c r="BE130" i="22" s="1"/>
  <c r="BT130" i="22"/>
  <c r="BF130" i="22" s="1"/>
  <c r="BX130" i="22"/>
  <c r="BJ130" i="22" s="1"/>
  <c r="BY130" i="22"/>
  <c r="BK130" i="22" s="1"/>
  <c r="CC130" i="22"/>
  <c r="EI130" i="22"/>
  <c r="EJ130" i="22"/>
  <c r="EK130" i="22"/>
  <c r="EL130" i="22"/>
  <c r="EM130" i="22"/>
  <c r="EN130" i="22"/>
  <c r="EO130" i="22"/>
  <c r="EP130" i="22"/>
  <c r="EQ130" i="22"/>
  <c r="ER130" i="22"/>
  <c r="ES130" i="22"/>
  <c r="ET130" i="22"/>
  <c r="EU130" i="22"/>
  <c r="EZ130" i="22"/>
  <c r="K131" i="22"/>
  <c r="L131" i="22"/>
  <c r="Y131" i="22"/>
  <c r="Z131" i="22"/>
  <c r="AA131" i="22"/>
  <c r="AB131" i="22"/>
  <c r="AC131" i="22"/>
  <c r="AD131" i="22"/>
  <c r="AE131" i="22"/>
  <c r="AF131" i="22"/>
  <c r="AG131" i="22"/>
  <c r="AH131" i="22"/>
  <c r="AI131" i="22"/>
  <c r="AJ131" i="22"/>
  <c r="AK131" i="22"/>
  <c r="BP131" i="22"/>
  <c r="BR131" i="22"/>
  <c r="BD131" i="22" s="1"/>
  <c r="BV131" i="22"/>
  <c r="BH131" i="22" s="1"/>
  <c r="BW131" i="22"/>
  <c r="BI131" i="22" s="1"/>
  <c r="CA131" i="22"/>
  <c r="BM131" i="22" s="1"/>
  <c r="CB131" i="22"/>
  <c r="EI131" i="22"/>
  <c r="EJ131" i="22"/>
  <c r="EK131" i="22"/>
  <c r="EL131" i="22"/>
  <c r="EM131" i="22"/>
  <c r="EN131" i="22"/>
  <c r="EO131" i="22"/>
  <c r="EP131" i="22"/>
  <c r="EQ131" i="22"/>
  <c r="ER131" i="22"/>
  <c r="ES131" i="22"/>
  <c r="ET131" i="22"/>
  <c r="EU131" i="22"/>
  <c r="EZ131" i="22"/>
  <c r="K132" i="22"/>
  <c r="L132" i="22"/>
  <c r="Y132" i="22"/>
  <c r="Z132" i="22"/>
  <c r="AA132" i="22"/>
  <c r="AB132" i="22"/>
  <c r="AC132" i="22"/>
  <c r="AD132" i="22"/>
  <c r="AE132" i="22"/>
  <c r="AF132" i="22"/>
  <c r="AG132" i="22"/>
  <c r="AH132" i="22"/>
  <c r="AI132" i="22"/>
  <c r="AJ132" i="22"/>
  <c r="AK132" i="22"/>
  <c r="BP132" i="22"/>
  <c r="BQ132" i="22"/>
  <c r="C132" i="22" s="1"/>
  <c r="BU132" i="22"/>
  <c r="BG132" i="22" s="1"/>
  <c r="BW132" i="22"/>
  <c r="BI132" i="22" s="1"/>
  <c r="CA132" i="22"/>
  <c r="BM132" i="22" s="1"/>
  <c r="CB132" i="22"/>
  <c r="EE132" i="22"/>
  <c r="EI132" i="22"/>
  <c r="EJ132" i="22"/>
  <c r="EK132" i="22"/>
  <c r="EL132" i="22"/>
  <c r="EM132" i="22"/>
  <c r="EN132" i="22"/>
  <c r="EO132" i="22"/>
  <c r="EP132" i="22"/>
  <c r="EQ132" i="22"/>
  <c r="ER132" i="22"/>
  <c r="ES132" i="22"/>
  <c r="ET132" i="22"/>
  <c r="EU132" i="22"/>
  <c r="EZ132" i="22"/>
  <c r="K133" i="22"/>
  <c r="L133" i="22"/>
  <c r="Y133" i="22"/>
  <c r="Z133" i="22"/>
  <c r="AA133" i="22"/>
  <c r="AB133" i="22"/>
  <c r="AC133" i="22"/>
  <c r="AD133" i="22"/>
  <c r="AE133" i="22"/>
  <c r="AF133" i="22"/>
  <c r="AG133" i="22"/>
  <c r="AH133" i="22"/>
  <c r="AI133" i="22"/>
  <c r="AJ133" i="22"/>
  <c r="AK133" i="22"/>
  <c r="BR133" i="22"/>
  <c r="BD133" i="22" s="1"/>
  <c r="BS133" i="22"/>
  <c r="BE133" i="22" s="1"/>
  <c r="BW133" i="22"/>
  <c r="BI133" i="22" s="1"/>
  <c r="BX133" i="22"/>
  <c r="BJ133" i="22" s="1"/>
  <c r="CB133" i="22"/>
  <c r="CD133" i="22"/>
  <c r="EE133" i="22"/>
  <c r="EI133" i="22"/>
  <c r="EJ133" i="22"/>
  <c r="EK133" i="22"/>
  <c r="EL133" i="22"/>
  <c r="EM133" i="22"/>
  <c r="EN133" i="22"/>
  <c r="EO133" i="22"/>
  <c r="EP133" i="22"/>
  <c r="EQ133" i="22"/>
  <c r="ER133" i="22"/>
  <c r="ES133" i="22"/>
  <c r="ET133" i="22"/>
  <c r="EU133" i="22"/>
  <c r="EZ133" i="22"/>
  <c r="K134" i="22"/>
  <c r="L134" i="22"/>
  <c r="Y134" i="22"/>
  <c r="Z134" i="22"/>
  <c r="AA134" i="22"/>
  <c r="AB134" i="22"/>
  <c r="AC134" i="22"/>
  <c r="AD134" i="22"/>
  <c r="AE134" i="22"/>
  <c r="AF134" i="22"/>
  <c r="AG134" i="22"/>
  <c r="AH134" i="22"/>
  <c r="AI134" i="22"/>
  <c r="AJ134" i="22"/>
  <c r="AK134" i="22"/>
  <c r="BP134" i="22"/>
  <c r="BQ134" i="22"/>
  <c r="C134" i="22" s="1"/>
  <c r="BU134" i="22"/>
  <c r="BG134" i="22" s="1"/>
  <c r="BW134" i="22"/>
  <c r="BI134" i="22" s="1"/>
  <c r="CA134" i="22"/>
  <c r="BM134" i="22" s="1"/>
  <c r="CB134" i="22"/>
  <c r="EE134" i="22"/>
  <c r="EI134" i="22"/>
  <c r="EJ134" i="22"/>
  <c r="EK134" i="22"/>
  <c r="EL134" i="22"/>
  <c r="EM134" i="22"/>
  <c r="EN134" i="22"/>
  <c r="EO134" i="22"/>
  <c r="EP134" i="22"/>
  <c r="EQ134" i="22"/>
  <c r="ER134" i="22"/>
  <c r="ES134" i="22"/>
  <c r="ET134" i="22"/>
  <c r="EU134" i="22"/>
  <c r="EZ134" i="22"/>
  <c r="K135" i="22"/>
  <c r="L135" i="22"/>
  <c r="Y135" i="22"/>
  <c r="Z135" i="22"/>
  <c r="AA135" i="22"/>
  <c r="AB135" i="22"/>
  <c r="AC135" i="22"/>
  <c r="AD135" i="22"/>
  <c r="AE135" i="22"/>
  <c r="AF135" i="22"/>
  <c r="AG135" i="22"/>
  <c r="AH135" i="22"/>
  <c r="AI135" i="22"/>
  <c r="AJ135" i="22"/>
  <c r="AK135" i="22"/>
  <c r="BP135" i="22"/>
  <c r="BQ135" i="22"/>
  <c r="C135" i="22" s="1"/>
  <c r="BU135" i="22"/>
  <c r="BG135" i="22" s="1"/>
  <c r="BV135" i="22"/>
  <c r="BH135" i="22" s="1"/>
  <c r="BZ135" i="22"/>
  <c r="BL135" i="22" s="1"/>
  <c r="CB135" i="22"/>
  <c r="EE135" i="22"/>
  <c r="EI135" i="22"/>
  <c r="EJ135" i="22"/>
  <c r="EK135" i="22"/>
  <c r="EL135" i="22"/>
  <c r="EM135" i="22"/>
  <c r="EN135" i="22"/>
  <c r="EO135" i="22"/>
  <c r="EP135" i="22"/>
  <c r="EQ135" i="22"/>
  <c r="ER135" i="22"/>
  <c r="ES135" i="22"/>
  <c r="ET135" i="22"/>
  <c r="EU135" i="22"/>
  <c r="EZ135" i="22"/>
  <c r="K136" i="22"/>
  <c r="L136" i="22"/>
  <c r="Y136" i="22"/>
  <c r="Z136" i="22"/>
  <c r="AA136" i="22"/>
  <c r="AB136" i="22"/>
  <c r="AC136" i="22"/>
  <c r="AD136" i="22"/>
  <c r="AE136" i="22"/>
  <c r="AF136" i="22"/>
  <c r="AG136" i="22"/>
  <c r="AH136" i="22"/>
  <c r="AI136" i="22"/>
  <c r="AJ136" i="22"/>
  <c r="AK136" i="22"/>
  <c r="BQ136" i="22"/>
  <c r="C136" i="22" s="1"/>
  <c r="BR136" i="22"/>
  <c r="BD136" i="22" s="1"/>
  <c r="BV136" i="22"/>
  <c r="BH136" i="22" s="1"/>
  <c r="BX136" i="22"/>
  <c r="BJ136" i="22" s="1"/>
  <c r="CB136" i="22"/>
  <c r="CC136" i="22"/>
  <c r="EE136" i="22"/>
  <c r="EI136" i="22"/>
  <c r="EJ136" i="22"/>
  <c r="EK136" i="22"/>
  <c r="EL136" i="22"/>
  <c r="EM136" i="22"/>
  <c r="EN136" i="22"/>
  <c r="EO136" i="22"/>
  <c r="EP136" i="22"/>
  <c r="EQ136" i="22"/>
  <c r="ER136" i="22"/>
  <c r="ES136" i="22"/>
  <c r="ET136" i="22"/>
  <c r="EU136" i="22"/>
  <c r="EZ136" i="22"/>
  <c r="K137" i="22"/>
  <c r="L137" i="22"/>
  <c r="Y137" i="22"/>
  <c r="Z137" i="22"/>
  <c r="AA137" i="22"/>
  <c r="AB137" i="22"/>
  <c r="AC137" i="22"/>
  <c r="AD137" i="22"/>
  <c r="AE137" i="22"/>
  <c r="AF137" i="22"/>
  <c r="AG137" i="22"/>
  <c r="AH137" i="22"/>
  <c r="AI137" i="22"/>
  <c r="AJ137" i="22"/>
  <c r="AK137" i="22"/>
  <c r="BR137" i="22"/>
  <c r="BD137" i="22" s="1"/>
  <c r="BT137" i="22"/>
  <c r="BF137" i="22" s="1"/>
  <c r="BX137" i="22"/>
  <c r="BJ137" i="22" s="1"/>
  <c r="BY137" i="22"/>
  <c r="BK137" i="22" s="1"/>
  <c r="CC137" i="22"/>
  <c r="CD137" i="22"/>
  <c r="EE137" i="22"/>
  <c r="EI137" i="22"/>
  <c r="EJ137" i="22"/>
  <c r="EK137" i="22"/>
  <c r="EL137" i="22"/>
  <c r="EM137" i="22"/>
  <c r="EN137" i="22"/>
  <c r="EO137" i="22"/>
  <c r="EP137" i="22"/>
  <c r="EQ137" i="22"/>
  <c r="ER137" i="22"/>
  <c r="ES137" i="22"/>
  <c r="ET137" i="22"/>
  <c r="EU137" i="22"/>
  <c r="EZ137" i="22"/>
  <c r="K138" i="22"/>
  <c r="L138" i="22"/>
  <c r="Y138" i="22"/>
  <c r="Z138" i="22"/>
  <c r="AA138" i="22"/>
  <c r="AB138" i="22"/>
  <c r="AC138" i="22"/>
  <c r="AD138" i="22"/>
  <c r="AE138" i="22"/>
  <c r="AF138" i="22"/>
  <c r="AG138" i="22"/>
  <c r="AH138" i="22"/>
  <c r="AI138" i="22"/>
  <c r="AJ138" i="22"/>
  <c r="AK138" i="22"/>
  <c r="BO138" i="22"/>
  <c r="B138" i="22" s="1"/>
  <c r="BS138" i="22"/>
  <c r="BE138" i="22" s="1"/>
  <c r="BT138" i="22"/>
  <c r="BF138" i="22" s="1"/>
  <c r="BX138" i="22"/>
  <c r="BJ138" i="22" s="1"/>
  <c r="BY138" i="22"/>
  <c r="BK138" i="22" s="1"/>
  <c r="CC138" i="22"/>
  <c r="EE138" i="22"/>
  <c r="EI138" i="22"/>
  <c r="EJ138" i="22"/>
  <c r="EK138" i="22"/>
  <c r="EL138" i="22"/>
  <c r="EM138" i="22"/>
  <c r="EN138" i="22"/>
  <c r="EO138" i="22"/>
  <c r="EP138" i="22"/>
  <c r="EQ138" i="22"/>
  <c r="ER138" i="22"/>
  <c r="ES138" i="22"/>
  <c r="ET138" i="22"/>
  <c r="EU138" i="22"/>
  <c r="EZ138" i="22"/>
  <c r="K139" i="22"/>
  <c r="L139" i="22"/>
  <c r="Y139" i="22"/>
  <c r="Z139" i="22"/>
  <c r="AA139" i="22"/>
  <c r="AB139" i="22"/>
  <c r="AC139" i="22"/>
  <c r="AD139" i="22"/>
  <c r="AE139" i="22"/>
  <c r="AF139" i="22"/>
  <c r="AG139" i="22"/>
  <c r="AH139" i="22"/>
  <c r="AI139" i="22"/>
  <c r="AJ139" i="22"/>
  <c r="AK139" i="22"/>
  <c r="BP139" i="22"/>
  <c r="BQ139" i="22"/>
  <c r="C139" i="22" s="1"/>
  <c r="BU139" i="22"/>
  <c r="BG139" i="22" s="1"/>
  <c r="BW139" i="22"/>
  <c r="BI139" i="22" s="1"/>
  <c r="CA139" i="22"/>
  <c r="BM139" i="22" s="1"/>
  <c r="CB139" i="22"/>
  <c r="EE139" i="22"/>
  <c r="EI139" i="22"/>
  <c r="EJ139" i="22"/>
  <c r="EK139" i="22"/>
  <c r="EL139" i="22"/>
  <c r="EM139" i="22"/>
  <c r="EN139" i="22"/>
  <c r="EO139" i="22"/>
  <c r="EP139" i="22"/>
  <c r="EQ139" i="22"/>
  <c r="ER139" i="22"/>
  <c r="ES139" i="22"/>
  <c r="ET139" i="22"/>
  <c r="EU139" i="22"/>
  <c r="EZ139" i="22"/>
  <c r="K140" i="22"/>
  <c r="L140" i="22"/>
  <c r="Y140" i="22"/>
  <c r="Z140" i="22"/>
  <c r="AA140" i="22"/>
  <c r="AB140" i="22"/>
  <c r="AC140" i="22"/>
  <c r="AD140" i="22"/>
  <c r="AE140" i="22"/>
  <c r="AF140" i="22"/>
  <c r="AG140" i="22"/>
  <c r="AH140" i="22"/>
  <c r="AI140" i="22"/>
  <c r="AJ140" i="22"/>
  <c r="AK140" i="22"/>
  <c r="BO140" i="22"/>
  <c r="B140" i="22" s="1"/>
  <c r="BS140" i="22"/>
  <c r="BE140" i="22" s="1"/>
  <c r="BT140" i="22"/>
  <c r="BF140" i="22" s="1"/>
  <c r="BX140" i="22"/>
  <c r="BJ140" i="22" s="1"/>
  <c r="BY140" i="22"/>
  <c r="BK140" i="22" s="1"/>
  <c r="CC140" i="22"/>
  <c r="EI140" i="22"/>
  <c r="EJ140" i="22"/>
  <c r="EK140" i="22"/>
  <c r="EL140" i="22"/>
  <c r="EM140" i="22"/>
  <c r="EN140" i="22"/>
  <c r="EO140" i="22"/>
  <c r="EP140" i="22"/>
  <c r="EQ140" i="22"/>
  <c r="ER140" i="22"/>
  <c r="ES140" i="22"/>
  <c r="ET140" i="22"/>
  <c r="EU140" i="22"/>
  <c r="EZ140" i="22"/>
  <c r="K141" i="22"/>
  <c r="L141" i="22"/>
  <c r="Y141" i="22"/>
  <c r="Z141" i="22"/>
  <c r="AA141" i="22"/>
  <c r="AB141" i="22"/>
  <c r="AC141" i="22"/>
  <c r="AD141" i="22"/>
  <c r="AE141" i="22"/>
  <c r="AF141" i="22"/>
  <c r="AG141" i="22"/>
  <c r="AH141" i="22"/>
  <c r="AI141" i="22"/>
  <c r="AJ141" i="22"/>
  <c r="AK141" i="22"/>
  <c r="BR141" i="22"/>
  <c r="BD141" i="22" s="1"/>
  <c r="BS141" i="22"/>
  <c r="BE141" i="22" s="1"/>
  <c r="BW141" i="22"/>
  <c r="BI141" i="22" s="1"/>
  <c r="BY141" i="22"/>
  <c r="BK141" i="22" s="1"/>
  <c r="CC141" i="22"/>
  <c r="CD141" i="22"/>
  <c r="EI141" i="22"/>
  <c r="EJ141" i="22"/>
  <c r="EK141" i="22"/>
  <c r="EL141" i="22"/>
  <c r="EM141" i="22"/>
  <c r="EN141" i="22"/>
  <c r="EO141" i="22"/>
  <c r="EP141" i="22"/>
  <c r="EQ141" i="22"/>
  <c r="ER141" i="22"/>
  <c r="ES141" i="22"/>
  <c r="ET141" i="22"/>
  <c r="EU141" i="22"/>
  <c r="EZ141" i="22"/>
  <c r="K142" i="22"/>
  <c r="L142" i="22"/>
  <c r="Y142" i="22"/>
  <c r="Z142" i="22"/>
  <c r="AA142" i="22"/>
  <c r="AB142" i="22"/>
  <c r="AC142" i="22"/>
  <c r="AD142" i="22"/>
  <c r="AE142" i="22"/>
  <c r="AF142" i="22"/>
  <c r="AG142" i="22"/>
  <c r="AH142" i="22"/>
  <c r="AI142" i="22"/>
  <c r="AJ142" i="22"/>
  <c r="AK142" i="22"/>
  <c r="BF142" i="22"/>
  <c r="BP142" i="22"/>
  <c r="BT142" i="22"/>
  <c r="BU142" i="22"/>
  <c r="BG142" i="22" s="1"/>
  <c r="BY142" i="22"/>
  <c r="BK142" i="22" s="1"/>
  <c r="BZ142" i="22"/>
  <c r="BL142" i="22" s="1"/>
  <c r="CD142" i="22"/>
  <c r="EI142" i="22"/>
  <c r="EJ142" i="22"/>
  <c r="EK142" i="22"/>
  <c r="EL142" i="22"/>
  <c r="EM142" i="22"/>
  <c r="EN142" i="22"/>
  <c r="EO142" i="22"/>
  <c r="EP142" i="22"/>
  <c r="EQ142" i="22"/>
  <c r="ER142" i="22"/>
  <c r="ES142" i="22"/>
  <c r="ET142" i="22"/>
  <c r="EU142" i="22"/>
  <c r="EZ142" i="22"/>
  <c r="K143" i="22"/>
  <c r="L143" i="22"/>
  <c r="Y143" i="22"/>
  <c r="Z143" i="22"/>
  <c r="AA143" i="22"/>
  <c r="AB143" i="22"/>
  <c r="AC143" i="22"/>
  <c r="AD143" i="22"/>
  <c r="AE143" i="22"/>
  <c r="AF143" i="22"/>
  <c r="AG143" i="22"/>
  <c r="AH143" i="22"/>
  <c r="AI143" i="22"/>
  <c r="AJ143" i="22"/>
  <c r="AK143" i="22"/>
  <c r="BP143" i="22"/>
  <c r="BQ143" i="22"/>
  <c r="C143" i="22" s="1"/>
  <c r="BU143" i="22"/>
  <c r="BG143" i="22" s="1"/>
  <c r="BV143" i="22"/>
  <c r="BH143" i="22" s="1"/>
  <c r="BZ143" i="22"/>
  <c r="BL143" i="22" s="1"/>
  <c r="CB143" i="22"/>
  <c r="EI143" i="22"/>
  <c r="EJ143" i="22"/>
  <c r="EK143" i="22"/>
  <c r="EL143" i="22"/>
  <c r="EM143" i="22"/>
  <c r="EN143" i="22"/>
  <c r="EO143" i="22"/>
  <c r="EP143" i="22"/>
  <c r="EQ143" i="22"/>
  <c r="ER143" i="22"/>
  <c r="ES143" i="22"/>
  <c r="ET143" i="22"/>
  <c r="EU143" i="22"/>
  <c r="EZ143" i="22"/>
  <c r="K144" i="22"/>
  <c r="L144" i="22"/>
  <c r="Y144" i="22"/>
  <c r="Z144" i="22"/>
  <c r="AA144" i="22"/>
  <c r="AB144" i="22"/>
  <c r="AC144" i="22"/>
  <c r="AD144" i="22"/>
  <c r="AE144" i="22"/>
  <c r="AF144" i="22"/>
  <c r="AG144" i="22"/>
  <c r="AH144" i="22"/>
  <c r="AI144" i="22"/>
  <c r="AJ144" i="22"/>
  <c r="AK144" i="22"/>
  <c r="BR144" i="22"/>
  <c r="BD144" i="22" s="1"/>
  <c r="BS144" i="22"/>
  <c r="BW144" i="22"/>
  <c r="BI144" i="22" s="1"/>
  <c r="BY144" i="22"/>
  <c r="BK144" i="22" s="1"/>
  <c r="CC144" i="22"/>
  <c r="CD144" i="22"/>
  <c r="EI144" i="22"/>
  <c r="EJ144" i="22"/>
  <c r="EK144" i="22"/>
  <c r="EL144" i="22"/>
  <c r="EM144" i="22"/>
  <c r="EN144" i="22"/>
  <c r="EO144" i="22"/>
  <c r="EP144" i="22"/>
  <c r="EQ144" i="22"/>
  <c r="ER144" i="22"/>
  <c r="ES144" i="22"/>
  <c r="ET144" i="22"/>
  <c r="EU144" i="22"/>
  <c r="EZ144" i="22"/>
  <c r="K145" i="22"/>
  <c r="L145" i="22"/>
  <c r="AM145" i="22"/>
  <c r="Y145" i="22" s="1"/>
  <c r="AN145" i="22"/>
  <c r="Z145" i="22" s="1"/>
  <c r="AO145" i="22"/>
  <c r="AA145" i="22" s="1"/>
  <c r="AR145" i="22"/>
  <c r="AD145" i="22" s="1"/>
  <c r="AT145" i="22"/>
  <c r="AF145" i="22" s="1"/>
  <c r="AU145" i="22"/>
  <c r="AG145" i="22" s="1"/>
  <c r="AV145" i="22"/>
  <c r="AH145" i="22" s="1"/>
  <c r="AW145" i="22"/>
  <c r="AI145" i="22" s="1"/>
  <c r="BO145" i="22"/>
  <c r="B145" i="22" s="1"/>
  <c r="BS145" i="22"/>
  <c r="BE145" i="22" s="1"/>
  <c r="BT145" i="22"/>
  <c r="BF145" i="22" s="1"/>
  <c r="BX145" i="22"/>
  <c r="BJ145" i="22" s="1"/>
  <c r="BY145" i="22"/>
  <c r="BK145" i="22" s="1"/>
  <c r="CC145" i="22"/>
  <c r="ES145" i="22"/>
  <c r="ET145" i="22"/>
  <c r="EU145" i="22"/>
  <c r="K146" i="22"/>
  <c r="L146" i="22"/>
  <c r="Y146" i="22"/>
  <c r="Z146" i="22"/>
  <c r="AA146" i="22"/>
  <c r="AB146" i="22"/>
  <c r="AC146" i="22"/>
  <c r="AD146" i="22"/>
  <c r="AE146" i="22"/>
  <c r="AF146" i="22"/>
  <c r="AG146" i="22"/>
  <c r="AH146" i="22"/>
  <c r="AI146" i="22"/>
  <c r="AJ146" i="22"/>
  <c r="AK146" i="22"/>
  <c r="BQ146" i="22"/>
  <c r="C146" i="22" s="1"/>
  <c r="BS146" i="22"/>
  <c r="BE146" i="22" s="1"/>
  <c r="BW146" i="22"/>
  <c r="BI146" i="22" s="1"/>
  <c r="BX146" i="22"/>
  <c r="BJ146" i="22" s="1"/>
  <c r="CB146" i="22"/>
  <c r="CC146" i="22"/>
  <c r="ES146" i="22"/>
  <c r="ET146" i="22"/>
  <c r="EU146" i="22"/>
  <c r="K147" i="22"/>
  <c r="L147" i="22"/>
  <c r="Y147" i="22"/>
  <c r="Z147" i="22"/>
  <c r="AA147" i="22"/>
  <c r="AB147" i="22"/>
  <c r="AC147" i="22"/>
  <c r="AD147" i="22"/>
  <c r="AE147" i="22"/>
  <c r="AF147" i="22"/>
  <c r="AG147" i="22"/>
  <c r="AH147" i="22"/>
  <c r="AI147" i="22"/>
  <c r="AJ147" i="22"/>
  <c r="AK147" i="22"/>
  <c r="BP147" i="22"/>
  <c r="BQ147" i="22"/>
  <c r="C147" i="22" s="1"/>
  <c r="BU147" i="22"/>
  <c r="BG147" i="22" s="1"/>
  <c r="BW147" i="22"/>
  <c r="BI147" i="22" s="1"/>
  <c r="CA147" i="22"/>
  <c r="BM147" i="22" s="1"/>
  <c r="CB147" i="22"/>
  <c r="EI147" i="22"/>
  <c r="EJ147" i="22"/>
  <c r="EK147" i="22"/>
  <c r="EL147" i="22"/>
  <c r="EM147" i="22"/>
  <c r="EN147" i="22"/>
  <c r="EO147" i="22"/>
  <c r="EP147" i="22"/>
  <c r="EQ147" i="22"/>
  <c r="ER147" i="22"/>
  <c r="ES147" i="22"/>
  <c r="ET147" i="22"/>
  <c r="EU147" i="22"/>
  <c r="EZ147" i="22"/>
  <c r="K148" i="22"/>
  <c r="L148" i="22"/>
  <c r="Y148" i="22"/>
  <c r="Z148" i="22"/>
  <c r="AA148" i="22"/>
  <c r="AB148" i="22"/>
  <c r="AC148" i="22"/>
  <c r="AD148" i="22"/>
  <c r="AE148" i="22"/>
  <c r="AF148" i="22"/>
  <c r="AG148" i="22"/>
  <c r="AH148" i="22"/>
  <c r="AI148" i="22"/>
  <c r="AJ148" i="22"/>
  <c r="AK148" i="22"/>
  <c r="BP148" i="22"/>
  <c r="BT148" i="22"/>
  <c r="BF148" i="22" s="1"/>
  <c r="BU148" i="22"/>
  <c r="BG148" i="22" s="1"/>
  <c r="BY148" i="22"/>
  <c r="BK148" i="22" s="1"/>
  <c r="BZ148" i="22"/>
  <c r="BL148" i="22" s="1"/>
  <c r="CD148" i="22"/>
  <c r="EI148" i="22"/>
  <c r="EJ148" i="22"/>
  <c r="EK148" i="22"/>
  <c r="EL148" i="22"/>
  <c r="EM148" i="22"/>
  <c r="EN148" i="22"/>
  <c r="EO148" i="22"/>
  <c r="EP148" i="22"/>
  <c r="EQ148" i="22"/>
  <c r="ER148" i="22"/>
  <c r="ES148" i="22"/>
  <c r="ET148" i="22"/>
  <c r="EU148" i="22"/>
  <c r="EZ148" i="22"/>
  <c r="K149" i="22"/>
  <c r="L149" i="22"/>
  <c r="Y149" i="22"/>
  <c r="Z149" i="22"/>
  <c r="AA149" i="22"/>
  <c r="AB149" i="22"/>
  <c r="AC149" i="22"/>
  <c r="AD149" i="22"/>
  <c r="AE149" i="22"/>
  <c r="AF149" i="22"/>
  <c r="AG149" i="22"/>
  <c r="AH149" i="22"/>
  <c r="AI149" i="22"/>
  <c r="AJ149" i="22"/>
  <c r="AK149" i="22"/>
  <c r="BP149" i="22"/>
  <c r="BT149" i="22"/>
  <c r="BF149" i="22" s="1"/>
  <c r="BU149" i="22"/>
  <c r="BG149" i="22" s="1"/>
  <c r="BY149" i="22"/>
  <c r="BK149" i="22" s="1"/>
  <c r="BZ149" i="22"/>
  <c r="BL149" i="22" s="1"/>
  <c r="CD149" i="22"/>
  <c r="EI149" i="22"/>
  <c r="EJ149" i="22"/>
  <c r="EK149" i="22"/>
  <c r="EL149" i="22"/>
  <c r="EM149" i="22"/>
  <c r="EN149" i="22"/>
  <c r="EO149" i="22"/>
  <c r="EP149" i="22"/>
  <c r="EQ149" i="22"/>
  <c r="ER149" i="22"/>
  <c r="ES149" i="22"/>
  <c r="ET149" i="22"/>
  <c r="EU149" i="22"/>
  <c r="EZ149" i="22"/>
  <c r="K150" i="22"/>
  <c r="L150" i="22"/>
  <c r="Y150" i="22"/>
  <c r="Z150" i="22"/>
  <c r="AA150" i="22"/>
  <c r="AB150" i="22"/>
  <c r="AC150" i="22"/>
  <c r="AD150" i="22"/>
  <c r="AE150" i="22"/>
  <c r="AF150" i="22"/>
  <c r="AG150" i="22"/>
  <c r="AH150" i="22"/>
  <c r="AI150" i="22"/>
  <c r="AJ150" i="22"/>
  <c r="AK150" i="22"/>
  <c r="BO150" i="22"/>
  <c r="B150" i="22" s="1"/>
  <c r="BQ150" i="22"/>
  <c r="C150" i="22" s="1"/>
  <c r="BU150" i="22"/>
  <c r="BG150" i="22" s="1"/>
  <c r="BV150" i="22"/>
  <c r="BH150" i="22" s="1"/>
  <c r="BZ150" i="22"/>
  <c r="BL150" i="22" s="1"/>
  <c r="CA150" i="22"/>
  <c r="BM150" i="22" s="1"/>
  <c r="EI150" i="22"/>
  <c r="EJ150" i="22"/>
  <c r="EK150" i="22"/>
  <c r="EL150" i="22"/>
  <c r="EM150" i="22"/>
  <c r="EN150" i="22"/>
  <c r="EO150" i="22"/>
  <c r="EP150" i="22"/>
  <c r="EQ150" i="22"/>
  <c r="ER150" i="22"/>
  <c r="ES150" i="22"/>
  <c r="ET150" i="22"/>
  <c r="EU150" i="22"/>
  <c r="EZ150" i="22"/>
  <c r="K151" i="22"/>
  <c r="L151" i="22"/>
  <c r="Y151" i="22"/>
  <c r="Z151" i="22"/>
  <c r="AA151" i="22"/>
  <c r="AB151" i="22"/>
  <c r="AC151" i="22"/>
  <c r="AD151" i="22"/>
  <c r="AE151" i="22"/>
  <c r="AF151" i="22"/>
  <c r="AG151" i="22"/>
  <c r="AH151" i="22"/>
  <c r="AI151" i="22"/>
  <c r="AJ151" i="22"/>
  <c r="AK151" i="22"/>
  <c r="BR151" i="22"/>
  <c r="BD151" i="22" s="1"/>
  <c r="BS151" i="22"/>
  <c r="BE151" i="22" s="1"/>
  <c r="BW151" i="22"/>
  <c r="BI151" i="22" s="1"/>
  <c r="BX151" i="22"/>
  <c r="BJ151" i="22" s="1"/>
  <c r="CB151" i="22"/>
  <c r="CD151" i="22"/>
  <c r="ES151" i="22"/>
  <c r="ET151" i="22"/>
  <c r="EU151" i="22"/>
  <c r="K152" i="22"/>
  <c r="L152" i="22"/>
  <c r="Y152" i="22"/>
  <c r="Z152" i="22"/>
  <c r="AA152" i="22"/>
  <c r="AB152" i="22"/>
  <c r="AC152" i="22"/>
  <c r="AD152" i="22"/>
  <c r="AE152" i="22"/>
  <c r="AF152" i="22"/>
  <c r="AG152" i="22"/>
  <c r="AH152" i="22"/>
  <c r="AI152" i="22"/>
  <c r="AJ152" i="22"/>
  <c r="AK152" i="22"/>
  <c r="BO152" i="22"/>
  <c r="B152" i="22" s="1"/>
  <c r="BS152" i="22"/>
  <c r="BE152" i="22" s="1"/>
  <c r="BT152" i="22"/>
  <c r="BF152" i="22" s="1"/>
  <c r="BX152" i="22"/>
  <c r="BJ152" i="22" s="1"/>
  <c r="BZ152" i="22"/>
  <c r="BL152" i="22" s="1"/>
  <c r="CD152" i="22"/>
  <c r="ES152" i="22"/>
  <c r="ET152" i="22"/>
  <c r="EU152" i="22"/>
  <c r="K153" i="22"/>
  <c r="L153" i="22"/>
  <c r="Y153" i="22"/>
  <c r="Z153" i="22"/>
  <c r="AA153" i="22"/>
  <c r="AB153" i="22"/>
  <c r="AC153" i="22"/>
  <c r="AD153" i="22"/>
  <c r="AE153" i="22"/>
  <c r="AF153" i="22"/>
  <c r="AG153" i="22"/>
  <c r="AH153" i="22"/>
  <c r="AI153" i="22"/>
  <c r="AJ153" i="22"/>
  <c r="AK153" i="22"/>
  <c r="BR153" i="22"/>
  <c r="BD153" i="22" s="1"/>
  <c r="BS153" i="22"/>
  <c r="BE153" i="22" s="1"/>
  <c r="BW153" i="22"/>
  <c r="BI153" i="22" s="1"/>
  <c r="BY153" i="22"/>
  <c r="BK153" i="22" s="1"/>
  <c r="CC153" i="22"/>
  <c r="CD153" i="22"/>
  <c r="ES153" i="22"/>
  <c r="ET153" i="22"/>
  <c r="EU153" i="22"/>
  <c r="K154" i="22"/>
  <c r="L154" i="22"/>
  <c r="Y154" i="22"/>
  <c r="Z154" i="22"/>
  <c r="AA154" i="22"/>
  <c r="AB154" i="22"/>
  <c r="AC154" i="22"/>
  <c r="AD154" i="22"/>
  <c r="AE154" i="22"/>
  <c r="AF154" i="22"/>
  <c r="AG154" i="22"/>
  <c r="AH154" i="22"/>
  <c r="AI154" i="22"/>
  <c r="AJ154" i="22"/>
  <c r="AK154" i="22"/>
  <c r="BG154" i="22"/>
  <c r="BP154" i="22"/>
  <c r="BQ154" i="22"/>
  <c r="C154" i="22" s="1"/>
  <c r="BU154" i="22"/>
  <c r="BW154" i="22"/>
  <c r="BI154" i="22" s="1"/>
  <c r="CA154" i="22"/>
  <c r="BM154" i="22" s="1"/>
  <c r="CB154" i="22"/>
  <c r="ES154" i="22"/>
  <c r="ET154" i="22"/>
  <c r="EU154" i="22"/>
  <c r="K155" i="22"/>
  <c r="L155" i="22"/>
  <c r="Y155" i="22"/>
  <c r="Z155" i="22"/>
  <c r="AA155" i="22"/>
  <c r="AB155" i="22"/>
  <c r="AC155" i="22"/>
  <c r="AD155" i="22"/>
  <c r="AE155" i="22"/>
  <c r="AF155" i="22"/>
  <c r="AG155" i="22"/>
  <c r="AH155" i="22"/>
  <c r="AI155" i="22"/>
  <c r="AJ155" i="22"/>
  <c r="AK155" i="22"/>
  <c r="BO155" i="22"/>
  <c r="B155" i="22" s="1"/>
  <c r="BQ155" i="22"/>
  <c r="C155" i="22" s="1"/>
  <c r="BU155" i="22"/>
  <c r="BG155" i="22" s="1"/>
  <c r="BV155" i="22"/>
  <c r="BH155" i="22" s="1"/>
  <c r="BZ155" i="22"/>
  <c r="BL155" i="22" s="1"/>
  <c r="CA155" i="22"/>
  <c r="BM155" i="22" s="1"/>
  <c r="ES155" i="22"/>
  <c r="ET155" i="22"/>
  <c r="EU155" i="22"/>
  <c r="EZ155" i="22"/>
  <c r="K156" i="22"/>
  <c r="L156" i="22"/>
  <c r="Y156" i="22"/>
  <c r="Z156" i="22"/>
  <c r="AA156" i="22"/>
  <c r="AB156" i="22"/>
  <c r="AC156" i="22"/>
  <c r="AD156" i="22"/>
  <c r="AE156" i="22"/>
  <c r="AF156" i="22"/>
  <c r="AG156" i="22"/>
  <c r="AH156" i="22"/>
  <c r="AI156" i="22"/>
  <c r="AJ156" i="22"/>
  <c r="AK156" i="22"/>
  <c r="BP156" i="22"/>
  <c r="BQ156" i="22"/>
  <c r="C156" i="22" s="1"/>
  <c r="BU156" i="22"/>
  <c r="BG156" i="22" s="1"/>
  <c r="BV156" i="22"/>
  <c r="BH156" i="22" s="1"/>
  <c r="BZ156" i="22"/>
  <c r="BL156" i="22" s="1"/>
  <c r="CB156" i="22"/>
  <c r="ES156" i="22"/>
  <c r="ET156" i="22"/>
  <c r="EU156" i="22"/>
  <c r="K157" i="22"/>
  <c r="L157" i="22"/>
  <c r="Y157" i="22"/>
  <c r="Z157" i="22"/>
  <c r="AA157" i="22"/>
  <c r="AB157" i="22"/>
  <c r="AC157" i="22"/>
  <c r="AD157" i="22"/>
  <c r="AE157" i="22"/>
  <c r="AF157" i="22"/>
  <c r="AG157" i="22"/>
  <c r="AH157" i="22"/>
  <c r="AI157" i="22"/>
  <c r="AJ157" i="22"/>
  <c r="AK157" i="22"/>
  <c r="BO157" i="22"/>
  <c r="B157" i="22" s="1"/>
  <c r="BS157" i="22"/>
  <c r="BE157" i="22" s="1"/>
  <c r="BT157" i="22"/>
  <c r="BF157" i="22" s="1"/>
  <c r="BX157" i="22"/>
  <c r="BJ157" i="22" s="1"/>
  <c r="BZ157" i="22"/>
  <c r="BL157" i="22" s="1"/>
  <c r="CD157" i="22"/>
  <c r="ES157" i="22"/>
  <c r="ET157" i="22"/>
  <c r="EU157" i="22"/>
  <c r="K158" i="22"/>
  <c r="L158" i="22"/>
  <c r="Y158" i="22"/>
  <c r="Z158" i="22"/>
  <c r="AA158" i="22"/>
  <c r="AB158" i="22"/>
  <c r="AC158" i="22"/>
  <c r="AD158" i="22"/>
  <c r="AE158" i="22"/>
  <c r="AF158" i="22"/>
  <c r="AG158" i="22"/>
  <c r="AH158" i="22"/>
  <c r="AI158" i="22"/>
  <c r="AJ158" i="22"/>
  <c r="AK158" i="22"/>
  <c r="BO158" i="22"/>
  <c r="B158" i="22" s="1"/>
  <c r="BP158" i="22"/>
  <c r="BT158" i="22"/>
  <c r="BF158" i="22" s="1"/>
  <c r="BV158" i="22"/>
  <c r="BH158" i="22" s="1"/>
  <c r="BZ158" i="22"/>
  <c r="BL158" i="22" s="1"/>
  <c r="CA158" i="22"/>
  <c r="BM158" i="22" s="1"/>
  <c r="ES158" i="22"/>
  <c r="ET158" i="22"/>
  <c r="EU158" i="22"/>
  <c r="EZ158" i="22"/>
  <c r="K159" i="22"/>
  <c r="L159" i="22"/>
  <c r="Y159" i="22"/>
  <c r="Z159" i="22"/>
  <c r="AA159" i="22"/>
  <c r="AB159" i="22"/>
  <c r="AC159" i="22"/>
  <c r="AD159" i="22"/>
  <c r="AE159" i="22"/>
  <c r="AF159" i="22"/>
  <c r="AG159" i="22"/>
  <c r="AH159" i="22"/>
  <c r="AI159" i="22"/>
  <c r="AJ159" i="22"/>
  <c r="AK159" i="22"/>
  <c r="BO159" i="22"/>
  <c r="BQ159" i="22"/>
  <c r="C159" i="22" s="1"/>
  <c r="BU159" i="22"/>
  <c r="BG159" i="22" s="1"/>
  <c r="BV159" i="22"/>
  <c r="BH159" i="22" s="1"/>
  <c r="BZ159" i="22"/>
  <c r="BL159" i="22" s="1"/>
  <c r="CA159" i="22"/>
  <c r="BM159" i="22" s="1"/>
  <c r="CD159" i="22"/>
  <c r="ES159" i="22"/>
  <c r="ET159" i="22"/>
  <c r="EU159" i="22"/>
  <c r="EZ159" i="22"/>
  <c r="K160" i="22"/>
  <c r="L160" i="22"/>
  <c r="Y160" i="22"/>
  <c r="Z160" i="22"/>
  <c r="AA160" i="22"/>
  <c r="AB160" i="22"/>
  <c r="AC160" i="22"/>
  <c r="AD160" i="22"/>
  <c r="AE160" i="22"/>
  <c r="AF160" i="22"/>
  <c r="AG160" i="22"/>
  <c r="AH160" i="22"/>
  <c r="AI160" i="22"/>
  <c r="AJ160" i="22"/>
  <c r="AK160" i="22"/>
  <c r="BP160" i="22"/>
  <c r="BQ160" i="22"/>
  <c r="C160" i="22" s="1"/>
  <c r="BR160" i="22"/>
  <c r="BD160" i="22" s="1"/>
  <c r="BT160" i="22"/>
  <c r="BF160" i="22" s="1"/>
  <c r="BU160" i="22"/>
  <c r="BG160" i="22" s="1"/>
  <c r="BV160" i="22"/>
  <c r="BH160" i="22" s="1"/>
  <c r="BX160" i="22"/>
  <c r="BJ160" i="22" s="1"/>
  <c r="BY160" i="22"/>
  <c r="BK160" i="22" s="1"/>
  <c r="BZ160" i="22"/>
  <c r="BL160" i="22" s="1"/>
  <c r="CB160" i="22"/>
  <c r="CC160" i="22"/>
  <c r="CD160" i="22"/>
  <c r="ES160" i="22"/>
  <c r="ET160" i="22"/>
  <c r="EU160" i="22"/>
  <c r="EZ160" i="22"/>
  <c r="K161" i="22"/>
  <c r="L161" i="22"/>
  <c r="Y161" i="22"/>
  <c r="Z161" i="22"/>
  <c r="AA161" i="22"/>
  <c r="AB161" i="22"/>
  <c r="AC161" i="22"/>
  <c r="AD161" i="22"/>
  <c r="AE161" i="22"/>
  <c r="AF161" i="22"/>
  <c r="AG161" i="22"/>
  <c r="AH161" i="22"/>
  <c r="AI161" i="22"/>
  <c r="AJ161" i="22"/>
  <c r="AK161" i="22"/>
  <c r="BP161" i="22"/>
  <c r="BQ161" i="22"/>
  <c r="C161" i="22" s="1"/>
  <c r="BR161" i="22"/>
  <c r="BT161" i="22"/>
  <c r="BF161" i="22" s="1"/>
  <c r="BU161" i="22"/>
  <c r="BG161" i="22" s="1"/>
  <c r="BV161" i="22"/>
  <c r="BH161" i="22" s="1"/>
  <c r="BX161" i="22"/>
  <c r="BJ161" i="22" s="1"/>
  <c r="BY161" i="22"/>
  <c r="BK161" i="22" s="1"/>
  <c r="BZ161" i="22"/>
  <c r="BL161" i="22" s="1"/>
  <c r="CB161" i="22"/>
  <c r="CC161" i="22"/>
  <c r="CD161" i="22"/>
  <c r="ES161" i="22"/>
  <c r="ET161" i="22"/>
  <c r="EU161" i="22"/>
  <c r="EZ161" i="22"/>
  <c r="K162" i="22"/>
  <c r="L162" i="22"/>
  <c r="Y162" i="22"/>
  <c r="Z162" i="22"/>
  <c r="AA162" i="22"/>
  <c r="AB162" i="22"/>
  <c r="AC162" i="22"/>
  <c r="AD162" i="22"/>
  <c r="AE162" i="22"/>
  <c r="AF162" i="22"/>
  <c r="AG162" i="22"/>
  <c r="AH162" i="22"/>
  <c r="AI162" i="22"/>
  <c r="AJ162" i="22"/>
  <c r="AK162" i="22"/>
  <c r="BO162" i="22"/>
  <c r="BP162" i="22"/>
  <c r="BQ162" i="22"/>
  <c r="C162" i="22" s="1"/>
  <c r="BS162" i="22"/>
  <c r="BE162" i="22" s="1"/>
  <c r="BT162" i="22"/>
  <c r="BF162" i="22" s="1"/>
  <c r="BU162" i="22"/>
  <c r="BG162" i="22" s="1"/>
  <c r="BW162" i="22"/>
  <c r="BI162" i="22" s="1"/>
  <c r="BX162" i="22"/>
  <c r="BJ162" i="22" s="1"/>
  <c r="BY162" i="22"/>
  <c r="BK162" i="22" s="1"/>
  <c r="CA162" i="22"/>
  <c r="BM162" i="22" s="1"/>
  <c r="CB162" i="22"/>
  <c r="CC162" i="22"/>
  <c r="ES162" i="22"/>
  <c r="ET162" i="22"/>
  <c r="EU162" i="22"/>
  <c r="EZ162" i="22"/>
  <c r="K163" i="22"/>
  <c r="L163" i="22"/>
  <c r="Y163" i="22"/>
  <c r="Z163" i="22"/>
  <c r="AA163" i="22"/>
  <c r="AB163" i="22"/>
  <c r="AC163" i="22"/>
  <c r="AD163" i="22"/>
  <c r="AE163" i="22"/>
  <c r="AF163" i="22"/>
  <c r="AG163" i="22"/>
  <c r="AH163" i="22"/>
  <c r="AI163" i="22"/>
  <c r="AJ163" i="22"/>
  <c r="AK163" i="22"/>
  <c r="BO163" i="22"/>
  <c r="BQ163" i="22"/>
  <c r="C163" i="22" s="1"/>
  <c r="BR163" i="22"/>
  <c r="BD163" i="22" s="1"/>
  <c r="BS163" i="22"/>
  <c r="BE163" i="22" s="1"/>
  <c r="BU163" i="22"/>
  <c r="BG163" i="22" s="1"/>
  <c r="BV163" i="22"/>
  <c r="BH163" i="22" s="1"/>
  <c r="BW163" i="22"/>
  <c r="BI163" i="22" s="1"/>
  <c r="BY163" i="22"/>
  <c r="BK163" i="22" s="1"/>
  <c r="BZ163" i="22"/>
  <c r="BL163" i="22" s="1"/>
  <c r="CA163" i="22"/>
  <c r="BM163" i="22" s="1"/>
  <c r="CC163" i="22"/>
  <c r="CD163" i="22"/>
  <c r="ES163" i="22"/>
  <c r="ET163" i="22"/>
  <c r="EU163" i="22"/>
  <c r="EZ163" i="22"/>
  <c r="K164" i="22"/>
  <c r="L164" i="22"/>
  <c r="Y164" i="22"/>
  <c r="Z164" i="22"/>
  <c r="AA164" i="22"/>
  <c r="AB164" i="22"/>
  <c r="AC164" i="22"/>
  <c r="AD164" i="22"/>
  <c r="AE164" i="22"/>
  <c r="AF164" i="22"/>
  <c r="AG164" i="22"/>
  <c r="AH164" i="22"/>
  <c r="AI164" i="22"/>
  <c r="AJ164" i="22"/>
  <c r="AK164" i="22"/>
  <c r="BO164" i="22"/>
  <c r="BP164" i="22"/>
  <c r="BQ164" i="22"/>
  <c r="C164" i="22" s="1"/>
  <c r="BS164" i="22"/>
  <c r="BE164" i="22" s="1"/>
  <c r="BT164" i="22"/>
  <c r="BF164" i="22" s="1"/>
  <c r="BU164" i="22"/>
  <c r="BG164" i="22" s="1"/>
  <c r="BW164" i="22"/>
  <c r="BI164" i="22" s="1"/>
  <c r="BX164" i="22"/>
  <c r="BJ164" i="22" s="1"/>
  <c r="BY164" i="22"/>
  <c r="BK164" i="22" s="1"/>
  <c r="CA164" i="22"/>
  <c r="BM164" i="22" s="1"/>
  <c r="CB164" i="22"/>
  <c r="CC164" i="22"/>
  <c r="ES164" i="22"/>
  <c r="ET164" i="22"/>
  <c r="EU164" i="22"/>
  <c r="EZ164" i="22"/>
  <c r="K165" i="22"/>
  <c r="L165" i="22"/>
  <c r="Y165" i="22"/>
  <c r="Z165" i="22"/>
  <c r="AA165" i="22"/>
  <c r="AB165" i="22"/>
  <c r="AC165" i="22"/>
  <c r="AD165" i="22"/>
  <c r="AE165" i="22"/>
  <c r="AF165" i="22"/>
  <c r="AG165" i="22"/>
  <c r="AH165" i="22"/>
  <c r="AI165" i="22"/>
  <c r="AJ165" i="22"/>
  <c r="AK165" i="22"/>
  <c r="BO165" i="22"/>
  <c r="BP165" i="22"/>
  <c r="BR165" i="22"/>
  <c r="BD165" i="22" s="1"/>
  <c r="BS165" i="22"/>
  <c r="BE165" i="22" s="1"/>
  <c r="BT165" i="22"/>
  <c r="BF165" i="22" s="1"/>
  <c r="BV165" i="22"/>
  <c r="BH165" i="22" s="1"/>
  <c r="BW165" i="22"/>
  <c r="BI165" i="22" s="1"/>
  <c r="BX165" i="22"/>
  <c r="BJ165" i="22" s="1"/>
  <c r="BZ165" i="22"/>
  <c r="BL165" i="22" s="1"/>
  <c r="CA165" i="22"/>
  <c r="BM165" i="22" s="1"/>
  <c r="CB165" i="22"/>
  <c r="CD165" i="22"/>
  <c r="ES165" i="22"/>
  <c r="ET165" i="22"/>
  <c r="EU165" i="22"/>
  <c r="EZ165" i="22"/>
  <c r="K166" i="22"/>
  <c r="L166" i="22"/>
  <c r="Y166" i="22"/>
  <c r="Z166" i="22"/>
  <c r="AA166" i="22"/>
  <c r="AB166" i="22"/>
  <c r="AC166" i="22"/>
  <c r="AD166" i="22"/>
  <c r="AE166" i="22"/>
  <c r="AF166" i="22"/>
  <c r="AG166" i="22"/>
  <c r="AH166" i="22"/>
  <c r="AI166" i="22"/>
  <c r="AJ166" i="22"/>
  <c r="AK166" i="22"/>
  <c r="BO166" i="22"/>
  <c r="B166" i="22" s="1"/>
  <c r="BQ166" i="22"/>
  <c r="C166" i="22" s="1"/>
  <c r="BR166" i="22"/>
  <c r="BS166" i="22"/>
  <c r="BE166" i="22" s="1"/>
  <c r="BU166" i="22"/>
  <c r="BG166" i="22" s="1"/>
  <c r="BV166" i="22"/>
  <c r="BH166" i="22" s="1"/>
  <c r="BW166" i="22"/>
  <c r="BI166" i="22" s="1"/>
  <c r="BY166" i="22"/>
  <c r="BK166" i="22" s="1"/>
  <c r="BZ166" i="22"/>
  <c r="BL166" i="22" s="1"/>
  <c r="CA166" i="22"/>
  <c r="BM166" i="22" s="1"/>
  <c r="CC166" i="22"/>
  <c r="CD166" i="22"/>
  <c r="ES166" i="22"/>
  <c r="ET166" i="22"/>
  <c r="EU166" i="22"/>
  <c r="EZ166" i="22"/>
  <c r="K167" i="22"/>
  <c r="L167" i="22"/>
  <c r="Y167" i="22"/>
  <c r="Z167" i="22"/>
  <c r="AA167" i="22"/>
  <c r="AB167" i="22"/>
  <c r="AC167" i="22"/>
  <c r="AD167" i="22"/>
  <c r="AE167" i="22"/>
  <c r="AF167" i="22"/>
  <c r="AG167" i="22"/>
  <c r="AH167" i="22"/>
  <c r="AI167" i="22"/>
  <c r="AJ167" i="22"/>
  <c r="AK167" i="22"/>
  <c r="BP167" i="22"/>
  <c r="BQ167" i="22"/>
  <c r="C167" i="22" s="1"/>
  <c r="BR167" i="22"/>
  <c r="BD167" i="22" s="1"/>
  <c r="BT167" i="22"/>
  <c r="BF167" i="22" s="1"/>
  <c r="BU167" i="22"/>
  <c r="BG167" i="22" s="1"/>
  <c r="BV167" i="22"/>
  <c r="BH167" i="22" s="1"/>
  <c r="BX167" i="22"/>
  <c r="BJ167" i="22" s="1"/>
  <c r="BY167" i="22"/>
  <c r="BK167" i="22" s="1"/>
  <c r="BZ167" i="22"/>
  <c r="BL167" i="22" s="1"/>
  <c r="CB167" i="22"/>
  <c r="CC167" i="22"/>
  <c r="CD167" i="22"/>
  <c r="EI167" i="22"/>
  <c r="EJ167" i="22"/>
  <c r="EK167" i="22"/>
  <c r="EL167" i="22"/>
  <c r="EM167" i="22"/>
  <c r="EN167" i="22"/>
  <c r="EO167" i="22"/>
  <c r="EP167" i="22"/>
  <c r="EQ167" i="22"/>
  <c r="ER167" i="22"/>
  <c r="ES167" i="22"/>
  <c r="ET167" i="22"/>
  <c r="EU167" i="22"/>
  <c r="K168" i="22"/>
  <c r="L168" i="22"/>
  <c r="Y168" i="22"/>
  <c r="Z168" i="22"/>
  <c r="AA168" i="22"/>
  <c r="AB168" i="22"/>
  <c r="AC168" i="22"/>
  <c r="AD168" i="22"/>
  <c r="AE168" i="22"/>
  <c r="AF168" i="22"/>
  <c r="AG168" i="22"/>
  <c r="AH168" i="22"/>
  <c r="AI168" i="22"/>
  <c r="AJ168" i="22"/>
  <c r="AK168" i="22"/>
  <c r="BO168" i="22"/>
  <c r="B168" i="22" s="1"/>
  <c r="BP168" i="22"/>
  <c r="BR168" i="22"/>
  <c r="BD168" i="22" s="1"/>
  <c r="BS168" i="22"/>
  <c r="BE168" i="22" s="1"/>
  <c r="BT168" i="22"/>
  <c r="BV168" i="22"/>
  <c r="BH168" i="22" s="1"/>
  <c r="BW168" i="22"/>
  <c r="BI168" i="22" s="1"/>
  <c r="BX168" i="22"/>
  <c r="BJ168" i="22" s="1"/>
  <c r="BZ168" i="22"/>
  <c r="BL168" i="22" s="1"/>
  <c r="CA168" i="22"/>
  <c r="BM168" i="22" s="1"/>
  <c r="CB168" i="22"/>
  <c r="CD168" i="22"/>
  <c r="EI168" i="22"/>
  <c r="EJ168" i="22"/>
  <c r="EK168" i="22"/>
  <c r="EL168" i="22"/>
  <c r="EM168" i="22"/>
  <c r="EN168" i="22"/>
  <c r="EO168" i="22"/>
  <c r="EP168" i="22"/>
  <c r="EQ168" i="22"/>
  <c r="ER168" i="22"/>
  <c r="ES168" i="22"/>
  <c r="ET168" i="22"/>
  <c r="EU168" i="22"/>
  <c r="K169" i="22"/>
  <c r="L169" i="22"/>
  <c r="Y169" i="22"/>
  <c r="Z169" i="22"/>
  <c r="AA169" i="22"/>
  <c r="AB169" i="22"/>
  <c r="AC169" i="22"/>
  <c r="AD169" i="22"/>
  <c r="AE169" i="22"/>
  <c r="AF169" i="22"/>
  <c r="AG169" i="22"/>
  <c r="AH169" i="22"/>
  <c r="AI169" i="22"/>
  <c r="AJ169" i="22"/>
  <c r="AK169" i="22"/>
  <c r="BP169" i="22"/>
  <c r="BQ169" i="22"/>
  <c r="C169" i="22" s="1"/>
  <c r="BR169" i="22"/>
  <c r="BD169" i="22" s="1"/>
  <c r="BT169" i="22"/>
  <c r="BF169" i="22" s="1"/>
  <c r="BU169" i="22"/>
  <c r="BG169" i="22" s="1"/>
  <c r="BV169" i="22"/>
  <c r="BH169" i="22" s="1"/>
  <c r="BX169" i="22"/>
  <c r="BJ169" i="22" s="1"/>
  <c r="BY169" i="22"/>
  <c r="BK169" i="22" s="1"/>
  <c r="BZ169" i="22"/>
  <c r="BL169" i="22" s="1"/>
  <c r="CB169" i="22"/>
  <c r="CC169" i="22"/>
  <c r="CD169" i="22"/>
  <c r="EI169" i="22"/>
  <c r="EJ169" i="22"/>
  <c r="EK169" i="22"/>
  <c r="EL169" i="22"/>
  <c r="EM169" i="22"/>
  <c r="EN169" i="22"/>
  <c r="EO169" i="22"/>
  <c r="EP169" i="22"/>
  <c r="EQ169" i="22"/>
  <c r="ER169" i="22"/>
  <c r="ES169" i="22"/>
  <c r="ET169" i="22"/>
  <c r="EU169" i="22"/>
  <c r="K170" i="22"/>
  <c r="L170" i="22"/>
  <c r="Y170" i="22"/>
  <c r="Z170" i="22"/>
  <c r="AA170" i="22"/>
  <c r="AB170" i="22"/>
  <c r="AC170" i="22"/>
  <c r="AD170" i="22"/>
  <c r="AE170" i="22"/>
  <c r="AF170" i="22"/>
  <c r="AG170" i="22"/>
  <c r="AH170" i="22"/>
  <c r="AI170" i="22"/>
  <c r="AJ170" i="22"/>
  <c r="AK170" i="22"/>
  <c r="BO170" i="22"/>
  <c r="B170" i="22" s="1"/>
  <c r="BQ170" i="22"/>
  <c r="C170" i="22" s="1"/>
  <c r="BR170" i="22"/>
  <c r="BD170" i="22" s="1"/>
  <c r="BS170" i="22"/>
  <c r="BE170" i="22" s="1"/>
  <c r="BU170" i="22"/>
  <c r="BG170" i="22" s="1"/>
  <c r="BV170" i="22"/>
  <c r="BH170" i="22" s="1"/>
  <c r="BW170" i="22"/>
  <c r="BI170" i="22" s="1"/>
  <c r="BY170" i="22"/>
  <c r="BK170" i="22" s="1"/>
  <c r="BZ170" i="22"/>
  <c r="BL170" i="22" s="1"/>
  <c r="CA170" i="22"/>
  <c r="BM170" i="22" s="1"/>
  <c r="CC170" i="22"/>
  <c r="CD170" i="22"/>
  <c r="EI170" i="22"/>
  <c r="EJ170" i="22"/>
  <c r="EK170" i="22"/>
  <c r="EL170" i="22"/>
  <c r="EM170" i="22"/>
  <c r="EN170" i="22"/>
  <c r="EO170" i="22"/>
  <c r="EP170" i="22"/>
  <c r="EQ170" i="22"/>
  <c r="ER170" i="22"/>
  <c r="ES170" i="22"/>
  <c r="ET170" i="22"/>
  <c r="EU170" i="22"/>
  <c r="K171" i="22"/>
  <c r="L171" i="22"/>
  <c r="Y171" i="22"/>
  <c r="Z171" i="22"/>
  <c r="AA171" i="22"/>
  <c r="AB171" i="22"/>
  <c r="AC171" i="22"/>
  <c r="AD171" i="22"/>
  <c r="AE171" i="22"/>
  <c r="AF171" i="22"/>
  <c r="AG171" i="22"/>
  <c r="AH171" i="22"/>
  <c r="AI171" i="22"/>
  <c r="AJ171" i="22"/>
  <c r="AK171" i="22"/>
  <c r="BO171" i="22"/>
  <c r="B171" i="22" s="1"/>
  <c r="BP171" i="22"/>
  <c r="BQ171" i="22"/>
  <c r="C171" i="22" s="1"/>
  <c r="BS171" i="22"/>
  <c r="BE171" i="22" s="1"/>
  <c r="BT171" i="22"/>
  <c r="BF171" i="22" s="1"/>
  <c r="BU171" i="22"/>
  <c r="BG171" i="22" s="1"/>
  <c r="BW171" i="22"/>
  <c r="BI171" i="22" s="1"/>
  <c r="BX171" i="22"/>
  <c r="BJ171" i="22" s="1"/>
  <c r="BY171" i="22"/>
  <c r="BK171" i="22" s="1"/>
  <c r="CA171" i="22"/>
  <c r="BM171" i="22" s="1"/>
  <c r="CB171" i="22"/>
  <c r="CC171" i="22"/>
  <c r="EI171" i="22"/>
  <c r="EJ171" i="22"/>
  <c r="EK171" i="22"/>
  <c r="EL171" i="22"/>
  <c r="EM171" i="22"/>
  <c r="EN171" i="22"/>
  <c r="EO171" i="22"/>
  <c r="EP171" i="22"/>
  <c r="EQ171" i="22"/>
  <c r="ER171" i="22"/>
  <c r="ES171" i="22"/>
  <c r="ET171" i="22"/>
  <c r="EU171" i="22"/>
  <c r="K172" i="22"/>
  <c r="L172" i="22"/>
  <c r="AM172" i="22"/>
  <c r="Y172" i="22" s="1"/>
  <c r="AN172" i="22"/>
  <c r="Z172" i="22" s="1"/>
  <c r="AO172" i="22"/>
  <c r="AA172" i="22" s="1"/>
  <c r="AP172" i="22"/>
  <c r="AB172" i="22" s="1"/>
  <c r="AR172" i="22"/>
  <c r="AD172" i="22" s="1"/>
  <c r="AT172" i="22"/>
  <c r="AF172" i="22" s="1"/>
  <c r="AU172" i="22"/>
  <c r="AG172" i="22" s="1"/>
  <c r="AV172" i="22"/>
  <c r="AH172" i="22" s="1"/>
  <c r="AW172" i="22"/>
  <c r="AI172" i="22" s="1"/>
  <c r="AX172" i="22"/>
  <c r="AJ172" i="22" s="1"/>
  <c r="BP172" i="22"/>
  <c r="BQ172" i="22"/>
  <c r="C172" i="22" s="1"/>
  <c r="BR172" i="22"/>
  <c r="BT172" i="22"/>
  <c r="BF172" i="22" s="1"/>
  <c r="BU172" i="22"/>
  <c r="BG172" i="22" s="1"/>
  <c r="BV172" i="22"/>
  <c r="BH172" i="22" s="1"/>
  <c r="BX172" i="22"/>
  <c r="BJ172" i="22" s="1"/>
  <c r="BY172" i="22"/>
  <c r="BK172" i="22" s="1"/>
  <c r="BZ172" i="22"/>
  <c r="BL172" i="22" s="1"/>
  <c r="CB172" i="22"/>
  <c r="CC172" i="22"/>
  <c r="CD172" i="22"/>
  <c r="EI172" i="22"/>
  <c r="EJ172" i="22"/>
  <c r="EK172" i="22"/>
  <c r="EL172" i="22"/>
  <c r="EM172" i="22"/>
  <c r="EN172" i="22"/>
  <c r="EO172" i="22"/>
  <c r="EP172" i="22"/>
  <c r="EQ172" i="22"/>
  <c r="ER172" i="22"/>
  <c r="ES172" i="22"/>
  <c r="ET172" i="22"/>
  <c r="EU172" i="22"/>
  <c r="K173" i="22"/>
  <c r="L173" i="22"/>
  <c r="Y173" i="22"/>
  <c r="Z173" i="22"/>
  <c r="AA173" i="22"/>
  <c r="AB173" i="22"/>
  <c r="AC173" i="22"/>
  <c r="AD173" i="22"/>
  <c r="AE173" i="22"/>
  <c r="AF173" i="22"/>
  <c r="AG173" i="22"/>
  <c r="AH173" i="22"/>
  <c r="AI173" i="22"/>
  <c r="AJ173" i="22"/>
  <c r="AK173" i="22"/>
  <c r="BO173" i="22"/>
  <c r="B173" i="22" s="1"/>
  <c r="BP173" i="22"/>
  <c r="BQ173" i="22"/>
  <c r="C173" i="22" s="1"/>
  <c r="CB173" i="22"/>
  <c r="CD173" i="22"/>
  <c r="CZ173" i="22"/>
  <c r="DA173" i="22"/>
  <c r="DB173" i="22"/>
  <c r="DC173" i="22"/>
  <c r="DD173" i="22"/>
  <c r="DE173" i="22"/>
  <c r="DF173" i="22"/>
  <c r="DG173" i="22"/>
  <c r="DH173" i="22"/>
  <c r="DI173" i="22"/>
  <c r="DQ173" i="22"/>
  <c r="DR173" i="22"/>
  <c r="BS173" i="22" s="1"/>
  <c r="BE173" i="22" s="1"/>
  <c r="DS173" i="22"/>
  <c r="DT173" i="22"/>
  <c r="EL173" i="22" s="1"/>
  <c r="DU173" i="22"/>
  <c r="DV173" i="22"/>
  <c r="BW173" i="22" s="1"/>
  <c r="BI173" i="22" s="1"/>
  <c r="DW173" i="22"/>
  <c r="EO173" i="22" s="1"/>
  <c r="DX173" i="22"/>
  <c r="EP173" i="22" s="1"/>
  <c r="DY173" i="22"/>
  <c r="DZ173" i="22"/>
  <c r="CA173" i="22" s="1"/>
  <c r="BM173" i="22" s="1"/>
  <c r="EJ173" i="22"/>
  <c r="EK173" i="22"/>
  <c r="ER173" i="22"/>
  <c r="ES173" i="22"/>
  <c r="ET173" i="22"/>
  <c r="EU173" i="22"/>
  <c r="K174" i="22"/>
  <c r="L174" i="22"/>
  <c r="Y174" i="22"/>
  <c r="Z174" i="22"/>
  <c r="AA174" i="22"/>
  <c r="AB174" i="22"/>
  <c r="AC174" i="22"/>
  <c r="AD174" i="22"/>
  <c r="AE174" i="22"/>
  <c r="AF174" i="22"/>
  <c r="AG174" i="22"/>
  <c r="AH174" i="22"/>
  <c r="AI174" i="22"/>
  <c r="AJ174" i="22"/>
  <c r="AK174" i="22"/>
  <c r="BO174" i="22"/>
  <c r="B174" i="22" s="1"/>
  <c r="BP174" i="22"/>
  <c r="CB174" i="22"/>
  <c r="CD174" i="22"/>
  <c r="CZ174" i="22"/>
  <c r="DA174" i="22"/>
  <c r="DB174" i="22"/>
  <c r="DC174" i="22"/>
  <c r="DD174" i="22"/>
  <c r="DE174" i="22"/>
  <c r="DF174" i="22"/>
  <c r="DG174" i="22"/>
  <c r="DH174" i="22"/>
  <c r="DI174" i="22"/>
  <c r="DQ174" i="22"/>
  <c r="DR174" i="22"/>
  <c r="BS174" i="22" s="1"/>
  <c r="BE174" i="22" s="1"/>
  <c r="DS174" i="22"/>
  <c r="EK174" i="22" s="1"/>
  <c r="DT174" i="22"/>
  <c r="EL174" i="22" s="1"/>
  <c r="DU174" i="22"/>
  <c r="DV174" i="22"/>
  <c r="BW174" i="22" s="1"/>
  <c r="BI174" i="22" s="1"/>
  <c r="DW174" i="22"/>
  <c r="BX174" i="22" s="1"/>
  <c r="BJ174" i="22" s="1"/>
  <c r="DX174" i="22"/>
  <c r="EP174" i="22" s="1"/>
  <c r="DY174" i="22"/>
  <c r="DZ174" i="22"/>
  <c r="CA174" i="22" s="1"/>
  <c r="BM174" i="22" s="1"/>
  <c r="ES174" i="22"/>
  <c r="ET174" i="22"/>
  <c r="EU174" i="22"/>
  <c r="K175" i="22"/>
  <c r="L175" i="22"/>
  <c r="Y175" i="22"/>
  <c r="Z175" i="22"/>
  <c r="AA175" i="22"/>
  <c r="AB175" i="22"/>
  <c r="AC175" i="22"/>
  <c r="AD175" i="22"/>
  <c r="AE175" i="22"/>
  <c r="AF175" i="22"/>
  <c r="AG175" i="22"/>
  <c r="AH175" i="22"/>
  <c r="AI175" i="22"/>
  <c r="AJ175" i="22"/>
  <c r="AK175" i="22"/>
  <c r="BO175" i="22"/>
  <c r="B175" i="22" s="1"/>
  <c r="BQ175" i="22"/>
  <c r="C175" i="22" s="1"/>
  <c r="BR175" i="22"/>
  <c r="BD175" i="22" s="1"/>
  <c r="BS175" i="22"/>
  <c r="BE175" i="22" s="1"/>
  <c r="BU175" i="22"/>
  <c r="BG175" i="22" s="1"/>
  <c r="BV175" i="22"/>
  <c r="BH175" i="22" s="1"/>
  <c r="BW175" i="22"/>
  <c r="BI175" i="22" s="1"/>
  <c r="BY175" i="22"/>
  <c r="BK175" i="22" s="1"/>
  <c r="BZ175" i="22"/>
  <c r="BL175" i="22" s="1"/>
  <c r="CA175" i="22"/>
  <c r="BM175" i="22" s="1"/>
  <c r="CC175" i="22"/>
  <c r="CD175" i="22"/>
  <c r="EI175" i="22"/>
  <c r="EJ175" i="22"/>
  <c r="EK175" i="22"/>
  <c r="EL175" i="22"/>
  <c r="EM175" i="22"/>
  <c r="EN175" i="22"/>
  <c r="EO175" i="22"/>
  <c r="EP175" i="22"/>
  <c r="EQ175" i="22"/>
  <c r="ER175" i="22"/>
  <c r="ES175" i="22"/>
  <c r="ET175" i="22"/>
  <c r="EU175" i="22"/>
  <c r="K176" i="22"/>
  <c r="L176" i="22"/>
  <c r="Y176" i="22"/>
  <c r="Z176" i="22"/>
  <c r="AA176" i="22"/>
  <c r="AB176" i="22"/>
  <c r="AC176" i="22"/>
  <c r="AD176" i="22"/>
  <c r="AE176" i="22"/>
  <c r="AF176" i="22"/>
  <c r="AG176" i="22"/>
  <c r="AH176" i="22"/>
  <c r="AI176" i="22"/>
  <c r="AJ176" i="22"/>
  <c r="AK176" i="22"/>
  <c r="BO176" i="22"/>
  <c r="B176" i="22" s="1"/>
  <c r="BP176" i="22"/>
  <c r="BQ176" i="22"/>
  <c r="C176" i="22" s="1"/>
  <c r="BS176" i="22"/>
  <c r="BE176" i="22" s="1"/>
  <c r="BT176" i="22"/>
  <c r="BF176" i="22" s="1"/>
  <c r="BU176" i="22"/>
  <c r="BG176" i="22" s="1"/>
  <c r="BW176" i="22"/>
  <c r="BI176" i="22" s="1"/>
  <c r="BX176" i="22"/>
  <c r="BJ176" i="22" s="1"/>
  <c r="BY176" i="22"/>
  <c r="BK176" i="22" s="1"/>
  <c r="CA176" i="22"/>
  <c r="BM176" i="22" s="1"/>
  <c r="CB176" i="22"/>
  <c r="CC176" i="22"/>
  <c r="EI176" i="22"/>
  <c r="EJ176" i="22"/>
  <c r="EK176" i="22"/>
  <c r="EL176" i="22"/>
  <c r="EM176" i="22"/>
  <c r="EN176" i="22"/>
  <c r="EO176" i="22"/>
  <c r="EP176" i="22"/>
  <c r="EQ176" i="22"/>
  <c r="ER176" i="22"/>
  <c r="ES176" i="22"/>
  <c r="ET176" i="22"/>
  <c r="EU176" i="22"/>
  <c r="K177" i="22"/>
  <c r="L177" i="22"/>
  <c r="Y177" i="22"/>
  <c r="Z177" i="22"/>
  <c r="AA177" i="22"/>
  <c r="AB177" i="22"/>
  <c r="AC177" i="22"/>
  <c r="AD177" i="22"/>
  <c r="AE177" i="22"/>
  <c r="AF177" i="22"/>
  <c r="AG177" i="22"/>
  <c r="AH177" i="22"/>
  <c r="AI177" i="22"/>
  <c r="AJ177" i="22"/>
  <c r="AK177" i="22"/>
  <c r="BO177" i="22"/>
  <c r="B177" i="22" s="1"/>
  <c r="BP177" i="22"/>
  <c r="BQ177" i="22"/>
  <c r="C177" i="22" s="1"/>
  <c r="BS177" i="22"/>
  <c r="BE177" i="22" s="1"/>
  <c r="BT177" i="22"/>
  <c r="BF177" i="22" s="1"/>
  <c r="BU177" i="22"/>
  <c r="BG177" i="22" s="1"/>
  <c r="BW177" i="22"/>
  <c r="BI177" i="22" s="1"/>
  <c r="BX177" i="22"/>
  <c r="BJ177" i="22" s="1"/>
  <c r="BY177" i="22"/>
  <c r="BK177" i="22" s="1"/>
  <c r="CA177" i="22"/>
  <c r="BM177" i="22" s="1"/>
  <c r="CB177" i="22"/>
  <c r="CC177" i="22"/>
  <c r="EI177" i="22"/>
  <c r="EJ177" i="22"/>
  <c r="EK177" i="22"/>
  <c r="EL177" i="22"/>
  <c r="EM177" i="22"/>
  <c r="EN177" i="22"/>
  <c r="EO177" i="22"/>
  <c r="EP177" i="22"/>
  <c r="EQ177" i="22"/>
  <c r="ER177" i="22"/>
  <c r="ES177" i="22"/>
  <c r="ET177" i="22"/>
  <c r="EU177" i="22"/>
  <c r="K178" i="22"/>
  <c r="L178" i="22"/>
  <c r="Y178" i="22"/>
  <c r="Z178" i="22"/>
  <c r="AA178" i="22"/>
  <c r="AB178" i="22"/>
  <c r="AC178" i="22"/>
  <c r="AD178" i="22"/>
  <c r="AE178" i="22"/>
  <c r="AF178" i="22"/>
  <c r="AG178" i="22"/>
  <c r="AH178" i="22"/>
  <c r="AI178" i="22"/>
  <c r="AJ178" i="22"/>
  <c r="AK178" i="22"/>
  <c r="BO178" i="22"/>
  <c r="B178" i="22" s="1"/>
  <c r="BP178" i="22"/>
  <c r="BR178" i="22"/>
  <c r="BD178" i="22" s="1"/>
  <c r="BS178" i="22"/>
  <c r="BE178" i="22" s="1"/>
  <c r="BT178" i="22"/>
  <c r="BF178" i="22" s="1"/>
  <c r="BV178" i="22"/>
  <c r="BH178" i="22" s="1"/>
  <c r="BW178" i="22"/>
  <c r="BI178" i="22" s="1"/>
  <c r="BX178" i="22"/>
  <c r="BJ178" i="22" s="1"/>
  <c r="BZ178" i="22"/>
  <c r="BL178" i="22" s="1"/>
  <c r="CA178" i="22"/>
  <c r="BM178" i="22" s="1"/>
  <c r="CB178" i="22"/>
  <c r="CD178" i="22"/>
  <c r="EI178" i="22"/>
  <c r="EJ178" i="22"/>
  <c r="EK178" i="22"/>
  <c r="EL178" i="22"/>
  <c r="EM178" i="22"/>
  <c r="EN178" i="22"/>
  <c r="EO178" i="22"/>
  <c r="EP178" i="22"/>
  <c r="EQ178" i="22"/>
  <c r="ER178" i="22"/>
  <c r="ES178" i="22"/>
  <c r="ET178" i="22"/>
  <c r="EU178" i="22"/>
  <c r="K179" i="22"/>
  <c r="L179" i="22"/>
  <c r="Y179" i="22"/>
  <c r="Z179" i="22"/>
  <c r="AA179" i="22"/>
  <c r="AB179" i="22"/>
  <c r="AC179" i="22"/>
  <c r="AD179" i="22"/>
  <c r="AE179" i="22"/>
  <c r="AF179" i="22"/>
  <c r="AG179" i="22"/>
  <c r="AH179" i="22"/>
  <c r="AI179" i="22"/>
  <c r="AJ179" i="22"/>
  <c r="AK179" i="22"/>
  <c r="BO179" i="22"/>
  <c r="B179" i="22" s="1"/>
  <c r="BP179" i="22"/>
  <c r="BQ179" i="22"/>
  <c r="C179" i="22" s="1"/>
  <c r="BS179" i="22"/>
  <c r="BE179" i="22" s="1"/>
  <c r="BT179" i="22"/>
  <c r="BF179" i="22" s="1"/>
  <c r="BU179" i="22"/>
  <c r="BG179" i="22" s="1"/>
  <c r="BW179" i="22"/>
  <c r="BI179" i="22" s="1"/>
  <c r="BX179" i="22"/>
  <c r="BJ179" i="22" s="1"/>
  <c r="BY179" i="22"/>
  <c r="BK179" i="22" s="1"/>
  <c r="CA179" i="22"/>
  <c r="BM179" i="22" s="1"/>
  <c r="CB179" i="22"/>
  <c r="CC179" i="22"/>
  <c r="EI179" i="22"/>
  <c r="EJ179" i="22"/>
  <c r="EK179" i="22"/>
  <c r="EL179" i="22"/>
  <c r="EM179" i="22"/>
  <c r="EN179" i="22"/>
  <c r="EO179" i="22"/>
  <c r="EP179" i="22"/>
  <c r="EQ179" i="22"/>
  <c r="ER179" i="22"/>
  <c r="ES179" i="22"/>
  <c r="ET179" i="22"/>
  <c r="EU179" i="22"/>
  <c r="K180" i="22"/>
  <c r="L180" i="22"/>
  <c r="Y180" i="22"/>
  <c r="Z180" i="22"/>
  <c r="AA180" i="22"/>
  <c r="AB180" i="22"/>
  <c r="AC180" i="22"/>
  <c r="AD180" i="22"/>
  <c r="AE180" i="22"/>
  <c r="AF180" i="22"/>
  <c r="AG180" i="22"/>
  <c r="AH180" i="22"/>
  <c r="AI180" i="22"/>
  <c r="AJ180" i="22"/>
  <c r="AK180" i="22"/>
  <c r="BO180" i="22"/>
  <c r="B180" i="22" s="1"/>
  <c r="BP180" i="22"/>
  <c r="BR180" i="22"/>
  <c r="BS180" i="22"/>
  <c r="BE180" i="22" s="1"/>
  <c r="BT180" i="22"/>
  <c r="BF180" i="22" s="1"/>
  <c r="BV180" i="22"/>
  <c r="BH180" i="22" s="1"/>
  <c r="BW180" i="22"/>
  <c r="BI180" i="22" s="1"/>
  <c r="BX180" i="22"/>
  <c r="BJ180" i="22" s="1"/>
  <c r="BZ180" i="22"/>
  <c r="BL180" i="22" s="1"/>
  <c r="CA180" i="22"/>
  <c r="BM180" i="22" s="1"/>
  <c r="CB180" i="22"/>
  <c r="CD180" i="22"/>
  <c r="EI180" i="22"/>
  <c r="EJ180" i="22"/>
  <c r="EK180" i="22"/>
  <c r="EL180" i="22"/>
  <c r="EM180" i="22"/>
  <c r="EN180" i="22"/>
  <c r="EO180" i="22"/>
  <c r="EP180" i="22"/>
  <c r="EQ180" i="22"/>
  <c r="ER180" i="22"/>
  <c r="ES180" i="22"/>
  <c r="ET180" i="22"/>
  <c r="EU180" i="22"/>
  <c r="K181" i="22"/>
  <c r="L181" i="22"/>
  <c r="Y181" i="22"/>
  <c r="Z181" i="22"/>
  <c r="AA181" i="22"/>
  <c r="AB181" i="22"/>
  <c r="AC181" i="22"/>
  <c r="AD181" i="22"/>
  <c r="AE181" i="22"/>
  <c r="AF181" i="22"/>
  <c r="AG181" i="22"/>
  <c r="AH181" i="22"/>
  <c r="AI181" i="22"/>
  <c r="AJ181" i="22"/>
  <c r="AK181" i="22"/>
  <c r="BD181" i="22"/>
  <c r="BP181" i="22"/>
  <c r="BQ181" i="22"/>
  <c r="C181" i="22" s="1"/>
  <c r="BR181" i="22"/>
  <c r="BT181" i="22"/>
  <c r="BF181" i="22" s="1"/>
  <c r="BU181" i="22"/>
  <c r="BG181" i="22" s="1"/>
  <c r="BV181" i="22"/>
  <c r="BH181" i="22" s="1"/>
  <c r="BX181" i="22"/>
  <c r="BJ181" i="22" s="1"/>
  <c r="BY181" i="22"/>
  <c r="BK181" i="22" s="1"/>
  <c r="BZ181" i="22"/>
  <c r="BL181" i="22" s="1"/>
  <c r="CB181" i="22"/>
  <c r="CC181" i="22"/>
  <c r="CD181" i="22"/>
  <c r="EI181" i="22"/>
  <c r="EJ181" i="22"/>
  <c r="EK181" i="22"/>
  <c r="EL181" i="22"/>
  <c r="EM181" i="22"/>
  <c r="EN181" i="22"/>
  <c r="EO181" i="22"/>
  <c r="EP181" i="22"/>
  <c r="EQ181" i="22"/>
  <c r="ER181" i="22"/>
  <c r="ES181" i="22"/>
  <c r="ET181" i="22"/>
  <c r="EU181" i="22"/>
  <c r="K182" i="22"/>
  <c r="L182" i="22"/>
  <c r="Y182" i="22"/>
  <c r="Z182" i="22"/>
  <c r="AA182" i="22"/>
  <c r="AB182" i="22"/>
  <c r="AC182" i="22"/>
  <c r="AD182" i="22"/>
  <c r="AE182" i="22"/>
  <c r="AF182" i="22"/>
  <c r="AG182" i="22"/>
  <c r="AH182" i="22"/>
  <c r="AI182" i="22"/>
  <c r="AJ182" i="22"/>
  <c r="AK182" i="22"/>
  <c r="BO182" i="22"/>
  <c r="B182" i="22" s="1"/>
  <c r="BP182" i="22"/>
  <c r="BQ182" i="22"/>
  <c r="C182" i="22" s="1"/>
  <c r="BS182" i="22"/>
  <c r="BE182" i="22" s="1"/>
  <c r="BT182" i="22"/>
  <c r="BF182" i="22" s="1"/>
  <c r="BU182" i="22"/>
  <c r="BG182" i="22" s="1"/>
  <c r="BW182" i="22"/>
  <c r="BI182" i="22" s="1"/>
  <c r="BX182" i="22"/>
  <c r="BJ182" i="22" s="1"/>
  <c r="BY182" i="22"/>
  <c r="BK182" i="22" s="1"/>
  <c r="CA182" i="22"/>
  <c r="BM182" i="22" s="1"/>
  <c r="CB182" i="22"/>
  <c r="CC182" i="22"/>
  <c r="K183" i="22"/>
  <c r="L183" i="22"/>
  <c r="Y183" i="22"/>
  <c r="Z183" i="22"/>
  <c r="AA183" i="22"/>
  <c r="AB183" i="22"/>
  <c r="AC183" i="22"/>
  <c r="AD183" i="22"/>
  <c r="AE183" i="22"/>
  <c r="AF183" i="22"/>
  <c r="AG183" i="22"/>
  <c r="AH183" i="22"/>
  <c r="AI183" i="22"/>
  <c r="AJ183" i="22"/>
  <c r="AK183" i="22"/>
  <c r="BP183" i="22"/>
  <c r="BQ183" i="22"/>
  <c r="C183" i="22" s="1"/>
  <c r="CB183" i="22"/>
  <c r="CC183" i="22"/>
  <c r="CD183" i="22"/>
  <c r="CZ183" i="22"/>
  <c r="DA183" i="22"/>
  <c r="DB183" i="22"/>
  <c r="DC183" i="22"/>
  <c r="DD183" i="22"/>
  <c r="DE183" i="22"/>
  <c r="DF183" i="22"/>
  <c r="DG183" i="22"/>
  <c r="DH183" i="22"/>
  <c r="DI183" i="22"/>
  <c r="DQ183" i="22"/>
  <c r="BR183" i="22" s="1"/>
  <c r="DR183" i="22"/>
  <c r="BS183" i="22" s="1"/>
  <c r="BE183" i="22" s="1"/>
  <c r="DS183" i="22"/>
  <c r="DT183" i="22"/>
  <c r="BU183" i="22" s="1"/>
  <c r="BG183" i="22" s="1"/>
  <c r="DU183" i="22"/>
  <c r="BV183" i="22" s="1"/>
  <c r="BH183" i="22" s="1"/>
  <c r="DV183" i="22"/>
  <c r="BW183" i="22" s="1"/>
  <c r="BI183" i="22" s="1"/>
  <c r="DW183" i="22"/>
  <c r="EO183" i="22" s="1"/>
  <c r="DX183" i="22"/>
  <c r="EP183" i="22" s="1"/>
  <c r="DY183" i="22"/>
  <c r="BZ183" i="22" s="1"/>
  <c r="BL183" i="22" s="1"/>
  <c r="DZ183" i="22"/>
  <c r="CA183" i="22" s="1"/>
  <c r="BM183" i="22" s="1"/>
  <c r="EK183" i="22"/>
  <c r="EL183" i="22"/>
  <c r="ES183" i="22"/>
  <c r="ET183" i="22"/>
  <c r="EU183" i="22"/>
  <c r="K184" i="22"/>
  <c r="L184" i="22"/>
  <c r="Y184" i="22"/>
  <c r="Z184" i="22"/>
  <c r="AA184" i="22"/>
  <c r="AB184" i="22"/>
  <c r="AC184" i="22"/>
  <c r="AD184" i="22"/>
  <c r="AE184" i="22"/>
  <c r="AF184" i="22"/>
  <c r="AG184" i="22"/>
  <c r="AH184" i="22"/>
  <c r="AI184" i="22"/>
  <c r="AJ184" i="22"/>
  <c r="AK184" i="22"/>
  <c r="BO184" i="22"/>
  <c r="B184" i="22" s="1"/>
  <c r="BP184" i="22"/>
  <c r="BR184" i="22"/>
  <c r="BS184" i="22"/>
  <c r="BE184" i="22" s="1"/>
  <c r="BT184" i="22"/>
  <c r="BF184" i="22" s="1"/>
  <c r="BV184" i="22"/>
  <c r="BH184" i="22" s="1"/>
  <c r="BW184" i="22"/>
  <c r="BI184" i="22" s="1"/>
  <c r="BX184" i="22"/>
  <c r="BJ184" i="22" s="1"/>
  <c r="BZ184" i="22"/>
  <c r="BL184" i="22" s="1"/>
  <c r="CA184" i="22"/>
  <c r="BM184" i="22" s="1"/>
  <c r="CB184" i="22"/>
  <c r="CD184" i="22"/>
  <c r="EI184" i="22"/>
  <c r="EJ184" i="22"/>
  <c r="EK184" i="22"/>
  <c r="EL184" i="22"/>
  <c r="EM184" i="22"/>
  <c r="EN184" i="22"/>
  <c r="EO184" i="22"/>
  <c r="EP184" i="22"/>
  <c r="EQ184" i="22"/>
  <c r="ER184" i="22"/>
  <c r="ES184" i="22"/>
  <c r="ET184" i="22"/>
  <c r="EU184" i="22"/>
  <c r="K185" i="22"/>
  <c r="L185" i="22"/>
  <c r="Y185" i="22"/>
  <c r="Z185" i="22"/>
  <c r="AA185" i="22"/>
  <c r="AB185" i="22"/>
  <c r="AC185" i="22"/>
  <c r="AD185" i="22"/>
  <c r="AE185" i="22"/>
  <c r="AF185" i="22"/>
  <c r="AG185" i="22"/>
  <c r="AH185" i="22"/>
  <c r="AI185" i="22"/>
  <c r="AJ185" i="22"/>
  <c r="AK185" i="22"/>
  <c r="BO185" i="22"/>
  <c r="B185" i="22" s="1"/>
  <c r="BP185" i="22"/>
  <c r="BR185" i="22"/>
  <c r="BS185" i="22"/>
  <c r="BE185" i="22" s="1"/>
  <c r="BT185" i="22"/>
  <c r="BF185" i="22" s="1"/>
  <c r="BV185" i="22"/>
  <c r="BH185" i="22" s="1"/>
  <c r="BW185" i="22"/>
  <c r="BI185" i="22" s="1"/>
  <c r="BX185" i="22"/>
  <c r="BJ185" i="22" s="1"/>
  <c r="BZ185" i="22"/>
  <c r="BL185" i="22" s="1"/>
  <c r="CA185" i="22"/>
  <c r="BM185" i="22" s="1"/>
  <c r="CB185" i="22"/>
  <c r="CD185" i="22"/>
  <c r="EI185" i="22"/>
  <c r="EJ185" i="22"/>
  <c r="EK185" i="22"/>
  <c r="EL185" i="22"/>
  <c r="EM185" i="22"/>
  <c r="EN185" i="22"/>
  <c r="EO185" i="22"/>
  <c r="EP185" i="22"/>
  <c r="EQ185" i="22"/>
  <c r="ER185" i="22"/>
  <c r="ES185" i="22"/>
  <c r="ET185" i="22"/>
  <c r="EU185" i="22"/>
  <c r="K186" i="22"/>
  <c r="L186" i="22"/>
  <c r="Y186" i="22"/>
  <c r="Z186" i="22"/>
  <c r="AA186" i="22"/>
  <c r="AB186" i="22"/>
  <c r="AC186" i="22"/>
  <c r="AD186" i="22"/>
  <c r="AE186" i="22"/>
  <c r="AF186" i="22"/>
  <c r="AG186" i="22"/>
  <c r="AH186" i="22"/>
  <c r="AI186" i="22"/>
  <c r="AJ186" i="22"/>
  <c r="AK186" i="22"/>
  <c r="BO186" i="22"/>
  <c r="B186" i="22" s="1"/>
  <c r="BQ186" i="22"/>
  <c r="C186" i="22" s="1"/>
  <c r="BR186" i="22"/>
  <c r="BS186" i="22"/>
  <c r="BE186" i="22" s="1"/>
  <c r="BU186" i="22"/>
  <c r="BG186" i="22" s="1"/>
  <c r="BV186" i="22"/>
  <c r="BH186" i="22" s="1"/>
  <c r="BW186" i="22"/>
  <c r="BI186" i="22" s="1"/>
  <c r="BY186" i="22"/>
  <c r="BK186" i="22" s="1"/>
  <c r="BZ186" i="22"/>
  <c r="BL186" i="22" s="1"/>
  <c r="CA186" i="22"/>
  <c r="BM186" i="22" s="1"/>
  <c r="CC186" i="22"/>
  <c r="CD186" i="22"/>
  <c r="EI186" i="22"/>
  <c r="EJ186" i="22"/>
  <c r="EK186" i="22"/>
  <c r="EL186" i="22"/>
  <c r="EM186" i="22"/>
  <c r="EN186" i="22"/>
  <c r="EO186" i="22"/>
  <c r="EP186" i="22"/>
  <c r="EQ186" i="22"/>
  <c r="ER186" i="22"/>
  <c r="ES186" i="22"/>
  <c r="ET186" i="22"/>
  <c r="EU186" i="22"/>
  <c r="K187" i="22"/>
  <c r="L187" i="22"/>
  <c r="Y187" i="22"/>
  <c r="Z187" i="22"/>
  <c r="AA187" i="22"/>
  <c r="AB187" i="22"/>
  <c r="AC187" i="22"/>
  <c r="AD187" i="22"/>
  <c r="AE187" i="22"/>
  <c r="AF187" i="22"/>
  <c r="AG187" i="22"/>
  <c r="AH187" i="22"/>
  <c r="AI187" i="22"/>
  <c r="AJ187" i="22"/>
  <c r="AK187" i="22"/>
  <c r="BO187" i="22"/>
  <c r="B187" i="22" s="1"/>
  <c r="BQ187" i="22"/>
  <c r="C187" i="22" s="1"/>
  <c r="BR187" i="22"/>
  <c r="BD187" i="22" s="1"/>
  <c r="BS187" i="22"/>
  <c r="BE187" i="22" s="1"/>
  <c r="BU187" i="22"/>
  <c r="BG187" i="22" s="1"/>
  <c r="BV187" i="22"/>
  <c r="BH187" i="22" s="1"/>
  <c r="BW187" i="22"/>
  <c r="BI187" i="22" s="1"/>
  <c r="BY187" i="22"/>
  <c r="BK187" i="22" s="1"/>
  <c r="BZ187" i="22"/>
  <c r="BL187" i="22" s="1"/>
  <c r="CA187" i="22"/>
  <c r="BM187" i="22" s="1"/>
  <c r="CC187" i="22"/>
  <c r="CD187" i="22"/>
  <c r="EI187" i="22"/>
  <c r="EJ187" i="22"/>
  <c r="EK187" i="22"/>
  <c r="EL187" i="22"/>
  <c r="EM187" i="22"/>
  <c r="EN187" i="22"/>
  <c r="EO187" i="22"/>
  <c r="EP187" i="22"/>
  <c r="EQ187" i="22"/>
  <c r="ER187" i="22"/>
  <c r="ES187" i="22"/>
  <c r="ET187" i="22"/>
  <c r="EU187" i="22"/>
  <c r="K188" i="22"/>
  <c r="L188" i="22"/>
  <c r="Y188" i="22"/>
  <c r="Z188" i="22"/>
  <c r="AA188" i="22"/>
  <c r="AB188" i="22"/>
  <c r="AC188" i="22"/>
  <c r="AD188" i="22"/>
  <c r="AE188" i="22"/>
  <c r="AF188" i="22"/>
  <c r="AG188" i="22"/>
  <c r="AH188" i="22"/>
  <c r="AI188" i="22"/>
  <c r="AJ188" i="22"/>
  <c r="AK188" i="22"/>
  <c r="BP188" i="22"/>
  <c r="BQ188" i="22"/>
  <c r="C188" i="22" s="1"/>
  <c r="BR188" i="22"/>
  <c r="BT188" i="22"/>
  <c r="BF188" i="22" s="1"/>
  <c r="BU188" i="22"/>
  <c r="BG188" i="22" s="1"/>
  <c r="BV188" i="22"/>
  <c r="BH188" i="22" s="1"/>
  <c r="BX188" i="22"/>
  <c r="BJ188" i="22" s="1"/>
  <c r="BY188" i="22"/>
  <c r="BK188" i="22" s="1"/>
  <c r="BZ188" i="22"/>
  <c r="BL188" i="22" s="1"/>
  <c r="CB188" i="22"/>
  <c r="CC188" i="22"/>
  <c r="CD188" i="22"/>
  <c r="EI188" i="22"/>
  <c r="EJ188" i="22"/>
  <c r="EK188" i="22"/>
  <c r="EL188" i="22"/>
  <c r="EM188" i="22"/>
  <c r="EN188" i="22"/>
  <c r="EO188" i="22"/>
  <c r="EP188" i="22"/>
  <c r="EQ188" i="22"/>
  <c r="ER188" i="22"/>
  <c r="ES188" i="22"/>
  <c r="ET188" i="22"/>
  <c r="EU188" i="22"/>
  <c r="K189" i="22"/>
  <c r="L189" i="22"/>
  <c r="Y189" i="22"/>
  <c r="Z189" i="22"/>
  <c r="AA189" i="22"/>
  <c r="AB189" i="22"/>
  <c r="AC189" i="22"/>
  <c r="AD189" i="22"/>
  <c r="AE189" i="22"/>
  <c r="AF189" i="22"/>
  <c r="AG189" i="22"/>
  <c r="AH189" i="22"/>
  <c r="AI189" i="22"/>
  <c r="AJ189" i="22"/>
  <c r="AK189" i="22"/>
  <c r="BJ189" i="22"/>
  <c r="BP189" i="22"/>
  <c r="BQ189" i="22"/>
  <c r="C189" i="22" s="1"/>
  <c r="BR189" i="22"/>
  <c r="BD189" i="22" s="1"/>
  <c r="BT189" i="22"/>
  <c r="BF189" i="22" s="1"/>
  <c r="BU189" i="22"/>
  <c r="BG189" i="22" s="1"/>
  <c r="BV189" i="22"/>
  <c r="BH189" i="22" s="1"/>
  <c r="BX189" i="22"/>
  <c r="BY189" i="22"/>
  <c r="BK189" i="22" s="1"/>
  <c r="BZ189" i="22"/>
  <c r="BL189" i="22" s="1"/>
  <c r="CB189" i="22"/>
  <c r="CC189" i="22"/>
  <c r="CD189" i="22"/>
  <c r="EI189" i="22"/>
  <c r="EJ189" i="22"/>
  <c r="EK189" i="22"/>
  <c r="EL189" i="22"/>
  <c r="EM189" i="22"/>
  <c r="EN189" i="22"/>
  <c r="EO189" i="22"/>
  <c r="EP189" i="22"/>
  <c r="EQ189" i="22"/>
  <c r="ER189" i="22"/>
  <c r="ES189" i="22"/>
  <c r="ET189" i="22"/>
  <c r="EU189" i="22"/>
  <c r="K190" i="22"/>
  <c r="L190" i="22"/>
  <c r="Y190" i="22"/>
  <c r="Z190" i="22"/>
  <c r="AA190" i="22"/>
  <c r="AB190" i="22"/>
  <c r="AC190" i="22"/>
  <c r="AD190" i="22"/>
  <c r="AE190" i="22"/>
  <c r="AF190" i="22"/>
  <c r="AG190" i="22"/>
  <c r="AH190" i="22"/>
  <c r="AI190" i="22"/>
  <c r="AJ190" i="22"/>
  <c r="AK190" i="22"/>
  <c r="BP190" i="22"/>
  <c r="BQ190" i="22"/>
  <c r="C190" i="22" s="1"/>
  <c r="BR190" i="22"/>
  <c r="BT190" i="22"/>
  <c r="BF190" i="22" s="1"/>
  <c r="BU190" i="22"/>
  <c r="BG190" i="22" s="1"/>
  <c r="BV190" i="22"/>
  <c r="BH190" i="22" s="1"/>
  <c r="BX190" i="22"/>
  <c r="BJ190" i="22" s="1"/>
  <c r="BY190" i="22"/>
  <c r="BK190" i="22" s="1"/>
  <c r="BZ190" i="22"/>
  <c r="BL190" i="22" s="1"/>
  <c r="CB190" i="22"/>
  <c r="CC190" i="22"/>
  <c r="CD190" i="22"/>
  <c r="EI190" i="22"/>
  <c r="EJ190" i="22"/>
  <c r="EK190" i="22"/>
  <c r="EL190" i="22"/>
  <c r="EM190" i="22"/>
  <c r="EN190" i="22"/>
  <c r="EO190" i="22"/>
  <c r="EP190" i="22"/>
  <c r="EQ190" i="22"/>
  <c r="ER190" i="22"/>
  <c r="ES190" i="22"/>
  <c r="ET190" i="22"/>
  <c r="EU190" i="22"/>
  <c r="EZ190" i="22"/>
  <c r="K191" i="22"/>
  <c r="L191" i="22"/>
  <c r="Y191" i="22"/>
  <c r="Z191" i="22"/>
  <c r="AA191" i="22"/>
  <c r="AB191" i="22"/>
  <c r="AC191" i="22"/>
  <c r="AD191" i="22"/>
  <c r="AE191" i="22"/>
  <c r="AF191" i="22"/>
  <c r="AG191" i="22"/>
  <c r="AH191" i="22"/>
  <c r="AI191" i="22"/>
  <c r="AJ191" i="22"/>
  <c r="AK191" i="22"/>
  <c r="BO191" i="22"/>
  <c r="B191" i="22" s="1"/>
  <c r="BP191" i="22"/>
  <c r="BQ191" i="22"/>
  <c r="C191" i="22" s="1"/>
  <c r="BR191" i="22"/>
  <c r="BD191" i="22" s="1"/>
  <c r="BS191" i="22"/>
  <c r="BE191" i="22" s="1"/>
  <c r="BT191" i="22"/>
  <c r="BF191" i="22" s="1"/>
  <c r="BU191" i="22"/>
  <c r="BG191" i="22" s="1"/>
  <c r="BV191" i="22"/>
  <c r="BH191" i="22" s="1"/>
  <c r="BW191" i="22"/>
  <c r="BI191" i="22" s="1"/>
  <c r="BX191" i="22"/>
  <c r="BJ191" i="22" s="1"/>
  <c r="BY191" i="22"/>
  <c r="BK191" i="22" s="1"/>
  <c r="BZ191" i="22"/>
  <c r="BL191" i="22" s="1"/>
  <c r="CA191" i="22"/>
  <c r="BM191" i="22" s="1"/>
  <c r="CB191" i="22"/>
  <c r="CC191" i="22"/>
  <c r="CD191" i="22"/>
  <c r="EI191" i="22"/>
  <c r="EJ191" i="22"/>
  <c r="EK191" i="22"/>
  <c r="EL191" i="22"/>
  <c r="EM191" i="22"/>
  <c r="EN191" i="22"/>
  <c r="EO191" i="22"/>
  <c r="EP191" i="22"/>
  <c r="EQ191" i="22"/>
  <c r="ER191" i="22"/>
  <c r="ES191" i="22"/>
  <c r="ET191" i="22"/>
  <c r="EU191" i="22"/>
  <c r="K192" i="22"/>
  <c r="L192" i="22"/>
  <c r="Y192" i="22"/>
  <c r="Z192" i="22"/>
  <c r="AA192" i="22"/>
  <c r="AB192" i="22"/>
  <c r="AC192" i="22"/>
  <c r="AD192" i="22"/>
  <c r="AE192" i="22"/>
  <c r="AF192" i="22"/>
  <c r="AG192" i="22"/>
  <c r="AH192" i="22"/>
  <c r="AI192" i="22"/>
  <c r="AJ192" i="22"/>
  <c r="AK192" i="22"/>
  <c r="BO192" i="22"/>
  <c r="B192" i="22" s="1"/>
  <c r="BP192" i="22"/>
  <c r="BQ192" i="22"/>
  <c r="C192" i="22" s="1"/>
  <c r="BR192" i="22"/>
  <c r="BD192" i="22" s="1"/>
  <c r="BS192" i="22"/>
  <c r="BE192" i="22" s="1"/>
  <c r="BT192" i="22"/>
  <c r="BF192" i="22" s="1"/>
  <c r="BU192" i="22"/>
  <c r="BG192" i="22" s="1"/>
  <c r="BV192" i="22"/>
  <c r="BH192" i="22" s="1"/>
  <c r="BW192" i="22"/>
  <c r="BI192" i="22" s="1"/>
  <c r="BX192" i="22"/>
  <c r="BJ192" i="22" s="1"/>
  <c r="BY192" i="22"/>
  <c r="BK192" i="22" s="1"/>
  <c r="BZ192" i="22"/>
  <c r="BL192" i="22" s="1"/>
  <c r="CA192" i="22"/>
  <c r="BM192" i="22" s="1"/>
  <c r="CB192" i="22"/>
  <c r="CC192" i="22"/>
  <c r="CD192" i="22"/>
  <c r="EI192" i="22"/>
  <c r="EJ192" i="22"/>
  <c r="EK192" i="22"/>
  <c r="EL192" i="22"/>
  <c r="EM192" i="22"/>
  <c r="EN192" i="22"/>
  <c r="EO192" i="22"/>
  <c r="EP192" i="22"/>
  <c r="EQ192" i="22"/>
  <c r="ER192" i="22"/>
  <c r="ES192" i="22"/>
  <c r="ET192" i="22"/>
  <c r="EU192" i="22"/>
  <c r="K193" i="22"/>
  <c r="L193" i="22"/>
  <c r="Y193" i="22"/>
  <c r="Z193" i="22"/>
  <c r="AA193" i="22"/>
  <c r="AB193" i="22"/>
  <c r="AC193" i="22"/>
  <c r="AD193" i="22"/>
  <c r="AE193" i="22"/>
  <c r="AF193" i="22"/>
  <c r="AG193" i="22"/>
  <c r="AH193" i="22"/>
  <c r="AI193" i="22"/>
  <c r="AJ193" i="22"/>
  <c r="AK193" i="22"/>
  <c r="BO193" i="22"/>
  <c r="B193" i="22" s="1"/>
  <c r="BP193" i="22"/>
  <c r="BQ193" i="22"/>
  <c r="C193" i="22" s="1"/>
  <c r="BR193" i="22"/>
  <c r="BD193" i="22" s="1"/>
  <c r="BS193" i="22"/>
  <c r="BE193" i="22" s="1"/>
  <c r="BT193" i="22"/>
  <c r="BF193" i="22" s="1"/>
  <c r="BU193" i="22"/>
  <c r="BG193" i="22" s="1"/>
  <c r="BV193" i="22"/>
  <c r="BH193" i="22" s="1"/>
  <c r="BW193" i="22"/>
  <c r="BI193" i="22" s="1"/>
  <c r="BX193" i="22"/>
  <c r="BJ193" i="22" s="1"/>
  <c r="BY193" i="22"/>
  <c r="BK193" i="22" s="1"/>
  <c r="BZ193" i="22"/>
  <c r="BL193" i="22" s="1"/>
  <c r="CA193" i="22"/>
  <c r="BM193" i="22" s="1"/>
  <c r="CB193" i="22"/>
  <c r="CC193" i="22"/>
  <c r="CD193" i="22"/>
  <c r="EI193" i="22"/>
  <c r="EJ193" i="22"/>
  <c r="EK193" i="22"/>
  <c r="EL193" i="22"/>
  <c r="EM193" i="22"/>
  <c r="EN193" i="22"/>
  <c r="EO193" i="22"/>
  <c r="EP193" i="22"/>
  <c r="EQ193" i="22"/>
  <c r="ER193" i="22"/>
  <c r="ES193" i="22"/>
  <c r="ET193" i="22"/>
  <c r="EU193" i="22"/>
  <c r="K194" i="22"/>
  <c r="L194" i="22"/>
  <c r="Y194" i="22"/>
  <c r="Z194" i="22"/>
  <c r="AA194" i="22"/>
  <c r="AB194" i="22"/>
  <c r="AC194" i="22"/>
  <c r="AD194" i="22"/>
  <c r="AE194" i="22"/>
  <c r="AF194" i="22"/>
  <c r="AG194" i="22"/>
  <c r="AH194" i="22"/>
  <c r="AI194" i="22"/>
  <c r="AJ194" i="22"/>
  <c r="AK194" i="22"/>
  <c r="BO194" i="22"/>
  <c r="B194" i="22" s="1"/>
  <c r="BP194" i="22"/>
  <c r="BQ194" i="22"/>
  <c r="C194" i="22" s="1"/>
  <c r="BR194" i="22"/>
  <c r="BD194" i="22" s="1"/>
  <c r="BS194" i="22"/>
  <c r="BT194" i="22"/>
  <c r="BF194" i="22" s="1"/>
  <c r="BU194" i="22"/>
  <c r="BG194" i="22" s="1"/>
  <c r="BV194" i="22"/>
  <c r="BH194" i="22" s="1"/>
  <c r="BW194" i="22"/>
  <c r="BI194" i="22" s="1"/>
  <c r="BX194" i="22"/>
  <c r="BJ194" i="22" s="1"/>
  <c r="BY194" i="22"/>
  <c r="BK194" i="22" s="1"/>
  <c r="BZ194" i="22"/>
  <c r="BL194" i="22" s="1"/>
  <c r="CA194" i="22"/>
  <c r="BM194" i="22" s="1"/>
  <c r="CB194" i="22"/>
  <c r="CC194" i="22"/>
  <c r="CD194" i="22"/>
  <c r="EI194" i="22"/>
  <c r="EJ194" i="22"/>
  <c r="EK194" i="22"/>
  <c r="EL194" i="22"/>
  <c r="EM194" i="22"/>
  <c r="EN194" i="22"/>
  <c r="EO194" i="22"/>
  <c r="EP194" i="22"/>
  <c r="EQ194" i="22"/>
  <c r="ER194" i="22"/>
  <c r="ES194" i="22"/>
  <c r="ET194" i="22"/>
  <c r="EU194" i="22"/>
  <c r="AX9" i="22" l="1"/>
  <c r="AQ9" i="22"/>
  <c r="AS145" i="22"/>
  <c r="AE145" i="22" s="1"/>
  <c r="AY112" i="22"/>
  <c r="AK112" i="22" s="1"/>
  <c r="AQ112" i="22"/>
  <c r="AC112" i="22" s="1"/>
  <c r="AP62" i="22"/>
  <c r="AB62" i="22" s="1"/>
  <c r="AP9" i="22"/>
  <c r="BX173" i="22"/>
  <c r="BJ173" i="22" s="1"/>
  <c r="AS172" i="22"/>
  <c r="AE172" i="22" s="1"/>
  <c r="AX112" i="22"/>
  <c r="AJ112" i="22" s="1"/>
  <c r="AP112" i="22"/>
  <c r="AB112" i="22" s="1"/>
  <c r="AM9" i="22"/>
  <c r="AY145" i="22"/>
  <c r="AK145" i="22" s="1"/>
  <c r="AQ145" i="22"/>
  <c r="AC145" i="22" s="1"/>
  <c r="AS122" i="22"/>
  <c r="AE122" i="22" s="1"/>
  <c r="AX62" i="22"/>
  <c r="AJ62" i="22" s="1"/>
  <c r="ER174" i="22"/>
  <c r="EJ174" i="22"/>
  <c r="AY172" i="22"/>
  <c r="AK172" i="22" s="1"/>
  <c r="AQ172" i="22"/>
  <c r="AC172" i="22" s="1"/>
  <c r="AX145" i="22"/>
  <c r="AJ145" i="22" s="1"/>
  <c r="AP145" i="22"/>
  <c r="AB145" i="22" s="1"/>
  <c r="EZ25" i="22"/>
  <c r="AV9" i="22"/>
  <c r="BS17" i="22"/>
  <c r="EO174" i="22"/>
  <c r="BU173" i="22"/>
  <c r="BG173" i="22" s="1"/>
  <c r="EN174" i="22"/>
  <c r="BU128" i="22"/>
  <c r="BG128" i="22" s="1"/>
  <c r="BU127" i="22"/>
  <c r="BG127" i="22" s="1"/>
  <c r="CD126" i="22"/>
  <c r="BS126" i="22"/>
  <c r="BE126" i="22" s="1"/>
  <c r="CC125" i="22"/>
  <c r="BS125" i="22"/>
  <c r="BE125" i="22" s="1"/>
  <c r="BZ124" i="22"/>
  <c r="BL124" i="22" s="1"/>
  <c r="BO124" i="22"/>
  <c r="B124" i="22" s="1"/>
  <c r="BW123" i="22"/>
  <c r="BI123" i="22" s="1"/>
  <c r="BU122" i="22"/>
  <c r="BG122" i="22" s="1"/>
  <c r="AY122" i="22"/>
  <c r="AK122" i="22" s="1"/>
  <c r="AU122" i="22"/>
  <c r="AG122" i="22" s="1"/>
  <c r="AQ122" i="22"/>
  <c r="AC122" i="22" s="1"/>
  <c r="AM122" i="22"/>
  <c r="Y122" i="22" s="1"/>
  <c r="BZ121" i="22"/>
  <c r="BL121" i="22" s="1"/>
  <c r="BO121" i="22"/>
  <c r="B121" i="22" s="1"/>
  <c r="BV120" i="22"/>
  <c r="BH120" i="22" s="1"/>
  <c r="CA119" i="22"/>
  <c r="BM119" i="22" s="1"/>
  <c r="BP119" i="22"/>
  <c r="BX118" i="22"/>
  <c r="BJ118" i="22" s="1"/>
  <c r="BU117" i="22"/>
  <c r="BG117" i="22" s="1"/>
  <c r="CB116" i="22"/>
  <c r="BR116" i="22"/>
  <c r="BD116" i="22" s="1"/>
  <c r="BU115" i="22"/>
  <c r="BG115" i="22" s="1"/>
  <c r="BW114" i="22"/>
  <c r="BI114" i="22" s="1"/>
  <c r="CD113" i="22"/>
  <c r="BT113" i="22"/>
  <c r="BF113" i="22" s="1"/>
  <c r="CC112" i="22"/>
  <c r="BS112" i="22"/>
  <c r="BE112" i="22" s="1"/>
  <c r="CC111" i="22"/>
  <c r="BR111" i="22"/>
  <c r="BD111" i="22" s="1"/>
  <c r="BY110" i="22"/>
  <c r="BK110" i="22" s="1"/>
  <c r="CB109" i="22"/>
  <c r="BR109" i="22"/>
  <c r="BZ108" i="22"/>
  <c r="BL108" i="22" s="1"/>
  <c r="BO108" i="22"/>
  <c r="B108" i="22" s="1"/>
  <c r="CA107" i="22"/>
  <c r="BM107" i="22" s="1"/>
  <c r="BQ107" i="22"/>
  <c r="C107" i="22" s="1"/>
  <c r="BT106" i="22"/>
  <c r="BF106" i="22" s="1"/>
  <c r="BS105" i="22"/>
  <c r="BE105" i="22" s="1"/>
  <c r="BZ104" i="22"/>
  <c r="BL104" i="22" s="1"/>
  <c r="BT103" i="22"/>
  <c r="BF103" i="22" s="1"/>
  <c r="BW102" i="22"/>
  <c r="BI102" i="22" s="1"/>
  <c r="BY101" i="22"/>
  <c r="BK101" i="22" s="1"/>
  <c r="BT100" i="22"/>
  <c r="BF100" i="22" s="1"/>
  <c r="BW99" i="22"/>
  <c r="BI99" i="22" s="1"/>
  <c r="BZ98" i="22"/>
  <c r="BL98" i="22" s="1"/>
  <c r="BV97" i="22"/>
  <c r="BH97" i="22" s="1"/>
  <c r="BU96" i="22"/>
  <c r="BG96" i="22" s="1"/>
  <c r="CA95" i="22"/>
  <c r="BM95" i="22" s="1"/>
  <c r="BP94" i="22"/>
  <c r="BS93" i="22"/>
  <c r="BE93" i="22" s="1"/>
  <c r="BV92" i="22"/>
  <c r="BH92" i="22" s="1"/>
  <c r="BR91" i="22"/>
  <c r="BD91" i="22" s="1"/>
  <c r="CC89" i="22"/>
  <c r="BS75" i="22"/>
  <c r="BE75" i="22" s="1"/>
  <c r="BR73" i="22"/>
  <c r="BT67" i="22"/>
  <c r="BF67" i="22" s="1"/>
  <c r="CB65" i="22"/>
  <c r="AY62" i="22"/>
  <c r="AK62" i="22" s="1"/>
  <c r="AU62" i="22"/>
  <c r="AG62" i="22" s="1"/>
  <c r="AQ62" i="22"/>
  <c r="AC62" i="22" s="1"/>
  <c r="AM62" i="22"/>
  <c r="Y62" i="22" s="1"/>
  <c r="BX60" i="22"/>
  <c r="BJ60" i="22" s="1"/>
  <c r="BV53" i="22"/>
  <c r="BH53" i="22" s="1"/>
  <c r="CA45" i="22"/>
  <c r="BM45" i="22" s="1"/>
  <c r="BV40" i="22"/>
  <c r="BH40" i="22" s="1"/>
  <c r="AU9" i="22"/>
  <c r="BT174" i="22"/>
  <c r="BF174" i="22" s="1"/>
  <c r="EN173" i="22"/>
  <c r="BV123" i="22"/>
  <c r="BH123" i="22" s="1"/>
  <c r="BT122" i="22"/>
  <c r="BF122" i="22" s="1"/>
  <c r="BV121" i="22"/>
  <c r="BH121" i="22" s="1"/>
  <c r="BU120" i="22"/>
  <c r="BG120" i="22" s="1"/>
  <c r="BW119" i="22"/>
  <c r="BI119" i="22" s="1"/>
  <c r="BT118" i="22"/>
  <c r="BF118" i="22" s="1"/>
  <c r="CB117" i="22"/>
  <c r="BQ117" i="22"/>
  <c r="C117" i="22" s="1"/>
  <c r="BX116" i="22"/>
  <c r="BJ116" i="22" s="1"/>
  <c r="CD115" i="22"/>
  <c r="BS115" i="22"/>
  <c r="BE115" i="22" s="1"/>
  <c r="BV114" i="22"/>
  <c r="BH114" i="22" s="1"/>
  <c r="CC113" i="22"/>
  <c r="BR113" i="22"/>
  <c r="BD113" i="22" s="1"/>
  <c r="CB112" i="22"/>
  <c r="BQ112" i="22"/>
  <c r="C112" i="22" s="1"/>
  <c r="CA111" i="22"/>
  <c r="BM111" i="22" s="1"/>
  <c r="BQ111" i="22"/>
  <c r="C111" i="22" s="1"/>
  <c r="BW110" i="22"/>
  <c r="BI110" i="22" s="1"/>
  <c r="CA109" i="22"/>
  <c r="BM109" i="22" s="1"/>
  <c r="BP109" i="22"/>
  <c r="BX108" i="22"/>
  <c r="BJ108" i="22" s="1"/>
  <c r="BZ107" i="22"/>
  <c r="BL107" i="22" s="1"/>
  <c r="BO107" i="22"/>
  <c r="B107" i="22" s="1"/>
  <c r="CB106" i="22"/>
  <c r="BO106" i="22"/>
  <c r="B106" i="22" s="1"/>
  <c r="BR105" i="22"/>
  <c r="BD105" i="22" s="1"/>
  <c r="BU104" i="22"/>
  <c r="BG104" i="22" s="1"/>
  <c r="BS103" i="22"/>
  <c r="BE103" i="22" s="1"/>
  <c r="BQ102" i="22"/>
  <c r="C102" i="22" s="1"/>
  <c r="BT101" i="22"/>
  <c r="BF101" i="22" s="1"/>
  <c r="CC100" i="22"/>
  <c r="BR99" i="22"/>
  <c r="BX98" i="22"/>
  <c r="BJ98" i="22" s="1"/>
  <c r="BS96" i="22"/>
  <c r="BE96" i="22" s="1"/>
  <c r="BT95" i="22"/>
  <c r="BF95" i="22" s="1"/>
  <c r="CC94" i="22"/>
  <c r="BR93" i="22"/>
  <c r="BD93" i="22" s="1"/>
  <c r="BO92" i="22"/>
  <c r="B92" i="22" s="1"/>
  <c r="BR89" i="22"/>
  <c r="BV87" i="22"/>
  <c r="BH87" i="22" s="1"/>
  <c r="CB78" i="22"/>
  <c r="CD71" i="22"/>
  <c r="BU70" i="22"/>
  <c r="BG70" i="22" s="1"/>
  <c r="BR63" i="22"/>
  <c r="BD63" i="22" s="1"/>
  <c r="AY9" i="22"/>
  <c r="AT9" i="22"/>
  <c r="AN9" i="22"/>
  <c r="BD185" i="22"/>
  <c r="BF168" i="22"/>
  <c r="BD186" i="22"/>
  <c r="BD188" i="22"/>
  <c r="BD166" i="22"/>
  <c r="BP9" i="22"/>
  <c r="BT9" i="22"/>
  <c r="BF9" i="22" s="1"/>
  <c r="BX9" i="22"/>
  <c r="BJ9" i="22" s="1"/>
  <c r="CB9" i="22"/>
  <c r="BO10" i="22"/>
  <c r="B10" i="22" s="1"/>
  <c r="BS10" i="22"/>
  <c r="BE10" i="22" s="1"/>
  <c r="BW10" i="22"/>
  <c r="BI10" i="22" s="1"/>
  <c r="CA10" i="22"/>
  <c r="BM10" i="22" s="1"/>
  <c r="BR11" i="22"/>
  <c r="BV11" i="22"/>
  <c r="BH11" i="22" s="1"/>
  <c r="BZ11" i="22"/>
  <c r="BL11" i="22" s="1"/>
  <c r="CD11" i="22"/>
  <c r="BR12" i="22"/>
  <c r="BD12" i="22" s="1"/>
  <c r="BV12" i="22"/>
  <c r="BH12" i="22" s="1"/>
  <c r="BZ12" i="22"/>
  <c r="BL12" i="22" s="1"/>
  <c r="CD12" i="22"/>
  <c r="BP13" i="22"/>
  <c r="BT13" i="22"/>
  <c r="BF13" i="22" s="1"/>
  <c r="BX13" i="22"/>
  <c r="BJ13" i="22" s="1"/>
  <c r="CB13" i="22"/>
  <c r="BR14" i="22"/>
  <c r="BD14" i="22" s="1"/>
  <c r="BV14" i="22"/>
  <c r="BH14" i="22" s="1"/>
  <c r="BZ14" i="22"/>
  <c r="BL14" i="22" s="1"/>
  <c r="CD14" i="22"/>
  <c r="BR15" i="22"/>
  <c r="BD15" i="22" s="1"/>
  <c r="BV15" i="22"/>
  <c r="BH15" i="22" s="1"/>
  <c r="BZ15" i="22"/>
  <c r="BL15" i="22" s="1"/>
  <c r="CD15" i="22"/>
  <c r="BP16" i="22"/>
  <c r="BT16" i="22"/>
  <c r="BF16" i="22" s="1"/>
  <c r="BX16" i="22"/>
  <c r="BJ16" i="22" s="1"/>
  <c r="CB16" i="22"/>
  <c r="BQ17" i="22"/>
  <c r="C17" i="22" s="1"/>
  <c r="BU17" i="22"/>
  <c r="BG17" i="22" s="1"/>
  <c r="BY17" i="22"/>
  <c r="BK17" i="22" s="1"/>
  <c r="CC17" i="22"/>
  <c r="BO18" i="22"/>
  <c r="B18" i="22" s="1"/>
  <c r="BS18" i="22"/>
  <c r="BE18" i="22" s="1"/>
  <c r="BW18" i="22"/>
  <c r="BI18" i="22" s="1"/>
  <c r="CA18" i="22"/>
  <c r="BM18" i="22" s="1"/>
  <c r="BR19" i="22"/>
  <c r="BD19" i="22" s="1"/>
  <c r="BV19" i="22"/>
  <c r="BH19" i="22" s="1"/>
  <c r="BZ19" i="22"/>
  <c r="BL19" i="22" s="1"/>
  <c r="CD19" i="22"/>
  <c r="BO20" i="22"/>
  <c r="B20" i="22" s="1"/>
  <c r="BS20" i="22"/>
  <c r="BE20" i="22" s="1"/>
  <c r="BW20" i="22"/>
  <c r="BI20" i="22" s="1"/>
  <c r="CA20" i="22"/>
  <c r="BM20" i="22" s="1"/>
  <c r="BP21" i="22"/>
  <c r="BT21" i="22"/>
  <c r="BF21" i="22" s="1"/>
  <c r="BX21" i="22"/>
  <c r="BJ21" i="22" s="1"/>
  <c r="CB21" i="22"/>
  <c r="BO22" i="22"/>
  <c r="B22" i="22" s="1"/>
  <c r="BT22" i="22"/>
  <c r="BF22" i="22" s="1"/>
  <c r="CB22" i="22"/>
  <c r="BR23" i="22"/>
  <c r="BV23" i="22"/>
  <c r="BH23" i="22" s="1"/>
  <c r="BZ23" i="22"/>
  <c r="BL23" i="22" s="1"/>
  <c r="CD23" i="22"/>
  <c r="BQ24" i="22"/>
  <c r="C24" i="22" s="1"/>
  <c r="BY24" i="22"/>
  <c r="BK24" i="22" s="1"/>
  <c r="BO25" i="22"/>
  <c r="B25" i="22" s="1"/>
  <c r="BS25" i="22"/>
  <c r="BE25" i="22" s="1"/>
  <c r="CA25" i="22"/>
  <c r="BM25" i="22" s="1"/>
  <c r="BQ9" i="22"/>
  <c r="C9" i="22" s="1"/>
  <c r="BU9" i="22"/>
  <c r="BG9" i="22" s="1"/>
  <c r="BY9" i="22"/>
  <c r="BK9" i="22" s="1"/>
  <c r="CC9" i="22"/>
  <c r="BP10" i="22"/>
  <c r="BT10" i="22"/>
  <c r="BF10" i="22" s="1"/>
  <c r="BX10" i="22"/>
  <c r="BJ10" i="22" s="1"/>
  <c r="CB10" i="22"/>
  <c r="BO11" i="22"/>
  <c r="B11" i="22" s="1"/>
  <c r="BS11" i="22"/>
  <c r="BE11" i="22" s="1"/>
  <c r="BW11" i="22"/>
  <c r="BI11" i="22" s="1"/>
  <c r="CA11" i="22"/>
  <c r="BM11" i="22" s="1"/>
  <c r="BO12" i="22"/>
  <c r="B12" i="22" s="1"/>
  <c r="BS12" i="22"/>
  <c r="BE12" i="22" s="1"/>
  <c r="BW12" i="22"/>
  <c r="BI12" i="22" s="1"/>
  <c r="CA12" i="22"/>
  <c r="BM12" i="22" s="1"/>
  <c r="BQ13" i="22"/>
  <c r="C13" i="22" s="1"/>
  <c r="BU13" i="22"/>
  <c r="BG13" i="22" s="1"/>
  <c r="BY13" i="22"/>
  <c r="BK13" i="22" s="1"/>
  <c r="CC13" i="22"/>
  <c r="BO14" i="22"/>
  <c r="B14" i="22" s="1"/>
  <c r="BS14" i="22"/>
  <c r="BE14" i="22" s="1"/>
  <c r="BW14" i="22"/>
  <c r="BI14" i="22" s="1"/>
  <c r="CA14" i="22"/>
  <c r="BM14" i="22" s="1"/>
  <c r="BO15" i="22"/>
  <c r="B15" i="22" s="1"/>
  <c r="BS15" i="22"/>
  <c r="BE15" i="22" s="1"/>
  <c r="BW15" i="22"/>
  <c r="BI15" i="22" s="1"/>
  <c r="CA15" i="22"/>
  <c r="BM15" i="22" s="1"/>
  <c r="BQ16" i="22"/>
  <c r="C16" i="22" s="1"/>
  <c r="BU16" i="22"/>
  <c r="BG16" i="22" s="1"/>
  <c r="BY16" i="22"/>
  <c r="BK16" i="22" s="1"/>
  <c r="CC16" i="22"/>
  <c r="BR17" i="22"/>
  <c r="BV17" i="22"/>
  <c r="BH17" i="22" s="1"/>
  <c r="BZ17" i="22"/>
  <c r="BL17" i="22" s="1"/>
  <c r="CD17" i="22"/>
  <c r="BP18" i="22"/>
  <c r="BT18" i="22"/>
  <c r="BF18" i="22" s="1"/>
  <c r="BX18" i="22"/>
  <c r="BJ18" i="22" s="1"/>
  <c r="CB18" i="22"/>
  <c r="BO19" i="22"/>
  <c r="B19" i="22" s="1"/>
  <c r="BS19" i="22"/>
  <c r="BE19" i="22" s="1"/>
  <c r="BW19" i="22"/>
  <c r="BI19" i="22" s="1"/>
  <c r="CA19" i="22"/>
  <c r="BM19" i="22" s="1"/>
  <c r="BP20" i="22"/>
  <c r="BT20" i="22"/>
  <c r="BF20" i="22" s="1"/>
  <c r="BX20" i="22"/>
  <c r="BJ20" i="22" s="1"/>
  <c r="CB20" i="22"/>
  <c r="BQ21" i="22"/>
  <c r="C21" i="22" s="1"/>
  <c r="BU21" i="22"/>
  <c r="BG21" i="22" s="1"/>
  <c r="BY21" i="22"/>
  <c r="BK21" i="22" s="1"/>
  <c r="CC21" i="22"/>
  <c r="BP22" i="22"/>
  <c r="BV22" i="22"/>
  <c r="BH22" i="22" s="1"/>
  <c r="CD22" i="22"/>
  <c r="BO23" i="22"/>
  <c r="B23" i="22" s="1"/>
  <c r="BS23" i="22"/>
  <c r="BE23" i="22" s="1"/>
  <c r="BW23" i="22"/>
  <c r="BI23" i="22" s="1"/>
  <c r="CA23" i="22"/>
  <c r="BM23" i="22" s="1"/>
  <c r="BS24" i="22"/>
  <c r="BE24" i="22" s="1"/>
  <c r="CA24" i="22"/>
  <c r="BM24" i="22" s="1"/>
  <c r="BP25" i="22"/>
  <c r="BV25" i="22"/>
  <c r="BH25" i="22" s="1"/>
  <c r="CB25" i="22"/>
  <c r="BO9" i="22"/>
  <c r="B9" i="22" s="1"/>
  <c r="BW9" i="22"/>
  <c r="BI9" i="22" s="1"/>
  <c r="BQ10" i="22"/>
  <c r="C10" i="22" s="1"/>
  <c r="BY10" i="22"/>
  <c r="BK10" i="22" s="1"/>
  <c r="BP11" i="22"/>
  <c r="BX11" i="22"/>
  <c r="BJ11" i="22" s="1"/>
  <c r="BU12" i="22"/>
  <c r="BG12" i="22" s="1"/>
  <c r="CC12" i="22"/>
  <c r="BV13" i="22"/>
  <c r="BH13" i="22" s="1"/>
  <c r="CD13" i="22"/>
  <c r="BQ14" i="22"/>
  <c r="C14" i="22" s="1"/>
  <c r="BY14" i="22"/>
  <c r="BK14" i="22" s="1"/>
  <c r="BP15" i="22"/>
  <c r="BX15" i="22"/>
  <c r="BJ15" i="22" s="1"/>
  <c r="BO16" i="22"/>
  <c r="B16" i="22" s="1"/>
  <c r="BW16" i="22"/>
  <c r="BI16" i="22" s="1"/>
  <c r="BP17" i="22"/>
  <c r="BX17" i="22"/>
  <c r="BJ17" i="22" s="1"/>
  <c r="BR18" i="22"/>
  <c r="BZ18" i="22"/>
  <c r="BL18" i="22" s="1"/>
  <c r="BU19" i="22"/>
  <c r="BG19" i="22" s="1"/>
  <c r="CC19" i="22"/>
  <c r="BU20" i="22"/>
  <c r="BG20" i="22" s="1"/>
  <c r="CC20" i="22"/>
  <c r="BR21" i="22"/>
  <c r="BZ21" i="22"/>
  <c r="BL21" i="22" s="1"/>
  <c r="BQ22" i="22"/>
  <c r="C22" i="22" s="1"/>
  <c r="BP23" i="22"/>
  <c r="BX23" i="22"/>
  <c r="BJ23" i="22" s="1"/>
  <c r="BW24" i="22"/>
  <c r="BI24" i="22" s="1"/>
  <c r="BR25" i="22"/>
  <c r="BD25" i="22" s="1"/>
  <c r="CD25" i="22"/>
  <c r="BR26" i="22"/>
  <c r="BD26" i="22" s="1"/>
  <c r="BV26" i="22"/>
  <c r="BH26" i="22" s="1"/>
  <c r="BZ26" i="22"/>
  <c r="BL26" i="22" s="1"/>
  <c r="CD26" i="22"/>
  <c r="BP27" i="22"/>
  <c r="BT27" i="22"/>
  <c r="BF27" i="22" s="1"/>
  <c r="BX27" i="22"/>
  <c r="BJ27" i="22" s="1"/>
  <c r="CB27" i="22"/>
  <c r="BR9" i="22"/>
  <c r="BZ9" i="22"/>
  <c r="BL9" i="22" s="1"/>
  <c r="BR10" i="22"/>
  <c r="BD10" i="22" s="1"/>
  <c r="BZ10" i="22"/>
  <c r="BL10" i="22" s="1"/>
  <c r="BQ11" i="22"/>
  <c r="C11" i="22" s="1"/>
  <c r="BY11" i="22"/>
  <c r="BK11" i="22" s="1"/>
  <c r="BP12" i="22"/>
  <c r="BX12" i="22"/>
  <c r="BJ12" i="22" s="1"/>
  <c r="BO13" i="22"/>
  <c r="B13" i="22" s="1"/>
  <c r="BW13" i="22"/>
  <c r="BI13" i="22" s="1"/>
  <c r="BT14" i="22"/>
  <c r="BF14" i="22" s="1"/>
  <c r="CB14" i="22"/>
  <c r="BQ15" i="22"/>
  <c r="C15" i="22" s="1"/>
  <c r="BY15" i="22"/>
  <c r="BK15" i="22" s="1"/>
  <c r="BR16" i="22"/>
  <c r="BD16" i="22" s="1"/>
  <c r="BZ16" i="22"/>
  <c r="BL16" i="22" s="1"/>
  <c r="BE17" i="22"/>
  <c r="CA17" i="22"/>
  <c r="BM17" i="22" s="1"/>
  <c r="BU18" i="22"/>
  <c r="BG18" i="22" s="1"/>
  <c r="CC18" i="22"/>
  <c r="BP19" i="22"/>
  <c r="BX19" i="22"/>
  <c r="BJ19" i="22" s="1"/>
  <c r="BV20" i="22"/>
  <c r="BH20" i="22" s="1"/>
  <c r="CD20" i="22"/>
  <c r="BS21" i="22"/>
  <c r="BE21" i="22" s="1"/>
  <c r="CA21" i="22"/>
  <c r="BM21" i="22" s="1"/>
  <c r="BR22" i="22"/>
  <c r="BQ23" i="22"/>
  <c r="C23" i="22" s="1"/>
  <c r="BY23" i="22"/>
  <c r="BK23" i="22" s="1"/>
  <c r="BO24" i="22"/>
  <c r="B24" i="22" s="1"/>
  <c r="CC24" i="22"/>
  <c r="BX25" i="22"/>
  <c r="BJ25" i="22" s="1"/>
  <c r="BO26" i="22"/>
  <c r="B26" i="22" s="1"/>
  <c r="BS26" i="22"/>
  <c r="BE26" i="22" s="1"/>
  <c r="BW26" i="22"/>
  <c r="BI26" i="22" s="1"/>
  <c r="CA26" i="22"/>
  <c r="BM26" i="22" s="1"/>
  <c r="BQ27" i="22"/>
  <c r="C27" i="22" s="1"/>
  <c r="BU27" i="22"/>
  <c r="BG27" i="22" s="1"/>
  <c r="BY27" i="22"/>
  <c r="BK27" i="22" s="1"/>
  <c r="CC27" i="22"/>
  <c r="BR28" i="22"/>
  <c r="BD28" i="22" s="1"/>
  <c r="BV28" i="22"/>
  <c r="BH28" i="22" s="1"/>
  <c r="BZ28" i="22"/>
  <c r="BL28" i="22" s="1"/>
  <c r="CD28" i="22"/>
  <c r="BP29" i="22"/>
  <c r="BT29" i="22"/>
  <c r="BF29" i="22" s="1"/>
  <c r="BX29" i="22"/>
  <c r="BJ29" i="22" s="1"/>
  <c r="CB29" i="22"/>
  <c r="BQ30" i="22"/>
  <c r="C30" i="22" s="1"/>
  <c r="BU30" i="22"/>
  <c r="BG30" i="22" s="1"/>
  <c r="BY30" i="22"/>
  <c r="BK30" i="22" s="1"/>
  <c r="CC30" i="22"/>
  <c r="BO31" i="22"/>
  <c r="B31" i="22" s="1"/>
  <c r="BS31" i="22"/>
  <c r="BE31" i="22" s="1"/>
  <c r="BW31" i="22"/>
  <c r="BI31" i="22" s="1"/>
  <c r="CA31" i="22"/>
  <c r="BM31" i="22" s="1"/>
  <c r="BO32" i="22"/>
  <c r="B32" i="22" s="1"/>
  <c r="BS32" i="22"/>
  <c r="BE32" i="22" s="1"/>
  <c r="BW32" i="22"/>
  <c r="BI32" i="22" s="1"/>
  <c r="CA32" i="22"/>
  <c r="BM32" i="22" s="1"/>
  <c r="BS9" i="22"/>
  <c r="BE9" i="22" s="1"/>
  <c r="BU10" i="22"/>
  <c r="BG10" i="22" s="1"/>
  <c r="BT11" i="22"/>
  <c r="BF11" i="22" s="1"/>
  <c r="BQ12" i="22"/>
  <c r="C12" i="22" s="1"/>
  <c r="BS13" i="22"/>
  <c r="BE13" i="22" s="1"/>
  <c r="BP14" i="22"/>
  <c r="CC15" i="22"/>
  <c r="BV16" i="22"/>
  <c r="BH16" i="22" s="1"/>
  <c r="CB17" i="22"/>
  <c r="BY18" i="22"/>
  <c r="BK18" i="22" s="1"/>
  <c r="BT19" i="22"/>
  <c r="BF19" i="22" s="1"/>
  <c r="BY20" i="22"/>
  <c r="BK20" i="22" s="1"/>
  <c r="BO21" i="22"/>
  <c r="B21" i="22" s="1"/>
  <c r="CC23" i="22"/>
  <c r="BZ25" i="22"/>
  <c r="BL25" i="22" s="1"/>
  <c r="BQ26" i="22"/>
  <c r="C26" i="22" s="1"/>
  <c r="BY26" i="22"/>
  <c r="BK26" i="22" s="1"/>
  <c r="BR27" i="22"/>
  <c r="BD27" i="22" s="1"/>
  <c r="BZ27" i="22"/>
  <c r="BL27" i="22" s="1"/>
  <c r="BP28" i="22"/>
  <c r="BU28" i="22"/>
  <c r="BG28" i="22" s="1"/>
  <c r="CA28" i="22"/>
  <c r="BM28" i="22" s="1"/>
  <c r="BO29" i="22"/>
  <c r="B29" i="22" s="1"/>
  <c r="BU29" i="22"/>
  <c r="BG29" i="22" s="1"/>
  <c r="BZ29" i="22"/>
  <c r="BL29" i="22" s="1"/>
  <c r="BR30" i="22"/>
  <c r="BD30" i="22" s="1"/>
  <c r="BW30" i="22"/>
  <c r="BI30" i="22" s="1"/>
  <c r="CB30" i="22"/>
  <c r="BQ31" i="22"/>
  <c r="C31" i="22" s="1"/>
  <c r="BV31" i="22"/>
  <c r="BH31" i="22" s="1"/>
  <c r="CB31" i="22"/>
  <c r="BR32" i="22"/>
  <c r="BX32" i="22"/>
  <c r="BJ32" i="22" s="1"/>
  <c r="CC32" i="22"/>
  <c r="BP33" i="22"/>
  <c r="BT33" i="22"/>
  <c r="BF33" i="22" s="1"/>
  <c r="BX33" i="22"/>
  <c r="BJ33" i="22" s="1"/>
  <c r="CB33" i="22"/>
  <c r="BR34" i="22"/>
  <c r="BD34" i="22" s="1"/>
  <c r="BV34" i="22"/>
  <c r="BH34" i="22" s="1"/>
  <c r="BZ34" i="22"/>
  <c r="BL34" i="22" s="1"/>
  <c r="CD34" i="22"/>
  <c r="BP35" i="22"/>
  <c r="BT35" i="22"/>
  <c r="BF35" i="22" s="1"/>
  <c r="BX35" i="22"/>
  <c r="BJ35" i="22" s="1"/>
  <c r="CB35" i="22"/>
  <c r="BQ36" i="22"/>
  <c r="C36" i="22" s="1"/>
  <c r="BU36" i="22"/>
  <c r="BG36" i="22" s="1"/>
  <c r="BY36" i="22"/>
  <c r="BK36" i="22" s="1"/>
  <c r="CC36" i="22"/>
  <c r="BR37" i="22"/>
  <c r="BD37" i="22" s="1"/>
  <c r="BV37" i="22"/>
  <c r="BH37" i="22" s="1"/>
  <c r="BZ37" i="22"/>
  <c r="BL37" i="22" s="1"/>
  <c r="CD37" i="22"/>
  <c r="BO38" i="22"/>
  <c r="B38" i="22" s="1"/>
  <c r="BS38" i="22"/>
  <c r="BE38" i="22" s="1"/>
  <c r="BW38" i="22"/>
  <c r="BI38" i="22" s="1"/>
  <c r="CA38" i="22"/>
  <c r="BM38" i="22" s="1"/>
  <c r="BP39" i="22"/>
  <c r="BT39" i="22"/>
  <c r="BF39" i="22" s="1"/>
  <c r="BX39" i="22"/>
  <c r="BJ39" i="22" s="1"/>
  <c r="CB39" i="22"/>
  <c r="BP40" i="22"/>
  <c r="BT40" i="22"/>
  <c r="BF40" i="22" s="1"/>
  <c r="BX40" i="22"/>
  <c r="BJ40" i="22" s="1"/>
  <c r="CB40" i="22"/>
  <c r="BQ41" i="22"/>
  <c r="C41" i="22" s="1"/>
  <c r="BU41" i="22"/>
  <c r="BG41" i="22" s="1"/>
  <c r="BY41" i="22"/>
  <c r="BK41" i="22" s="1"/>
  <c r="CC41" i="22"/>
  <c r="BP42" i="22"/>
  <c r="BT42" i="22"/>
  <c r="BF42" i="22" s="1"/>
  <c r="BX42" i="22"/>
  <c r="BJ42" i="22" s="1"/>
  <c r="CB42" i="22"/>
  <c r="BO43" i="22"/>
  <c r="BS43" i="22"/>
  <c r="BW43" i="22"/>
  <c r="BI43" i="22" s="1"/>
  <c r="CA43" i="22"/>
  <c r="BM43" i="22" s="1"/>
  <c r="BR44" i="22"/>
  <c r="BD44" i="22" s="1"/>
  <c r="BV44" i="22"/>
  <c r="BH44" i="22" s="1"/>
  <c r="BZ44" i="22"/>
  <c r="BL44" i="22" s="1"/>
  <c r="CD44" i="22"/>
  <c r="BP45" i="22"/>
  <c r="BT45" i="22"/>
  <c r="BF45" i="22" s="1"/>
  <c r="BX45" i="22"/>
  <c r="BJ45" i="22" s="1"/>
  <c r="CB45" i="22"/>
  <c r="BR46" i="22"/>
  <c r="BD46" i="22" s="1"/>
  <c r="BV46" i="22"/>
  <c r="BH46" i="22" s="1"/>
  <c r="BZ46" i="22"/>
  <c r="BL46" i="22" s="1"/>
  <c r="CD46" i="22"/>
  <c r="BO47" i="22"/>
  <c r="B47" i="22" s="1"/>
  <c r="BS47" i="22"/>
  <c r="BE47" i="22" s="1"/>
  <c r="BW47" i="22"/>
  <c r="BI47" i="22" s="1"/>
  <c r="CA47" i="22"/>
  <c r="BM47" i="22" s="1"/>
  <c r="BP48" i="22"/>
  <c r="BT48" i="22"/>
  <c r="BF48" i="22" s="1"/>
  <c r="BX48" i="22"/>
  <c r="BJ48" i="22" s="1"/>
  <c r="CB48" i="22"/>
  <c r="BP49" i="22"/>
  <c r="BT49" i="22"/>
  <c r="BF49" i="22" s="1"/>
  <c r="BX49" i="22"/>
  <c r="BJ49" i="22" s="1"/>
  <c r="CB49" i="22"/>
  <c r="BQ50" i="22"/>
  <c r="C50" i="22" s="1"/>
  <c r="BU50" i="22"/>
  <c r="BG50" i="22" s="1"/>
  <c r="BY50" i="22"/>
  <c r="BK50" i="22" s="1"/>
  <c r="CC50" i="22"/>
  <c r="BR51" i="22"/>
  <c r="BD51" i="22" s="1"/>
  <c r="BV51" i="22"/>
  <c r="BH51" i="22" s="1"/>
  <c r="BZ51" i="22"/>
  <c r="BL51" i="22" s="1"/>
  <c r="CD51" i="22"/>
  <c r="BQ52" i="22"/>
  <c r="C52" i="22" s="1"/>
  <c r="BU52" i="22"/>
  <c r="BG52" i="22" s="1"/>
  <c r="BY52" i="22"/>
  <c r="BK52" i="22" s="1"/>
  <c r="CC52" i="22"/>
  <c r="BR53" i="22"/>
  <c r="BD53" i="22" s="1"/>
  <c r="BV9" i="22"/>
  <c r="BH9" i="22" s="1"/>
  <c r="BV10" i="22"/>
  <c r="BH10" i="22" s="1"/>
  <c r="BU11" i="22"/>
  <c r="BG11" i="22" s="1"/>
  <c r="BT12" i="22"/>
  <c r="BF12" i="22" s="1"/>
  <c r="BZ13" i="22"/>
  <c r="BL13" i="22" s="1"/>
  <c r="BU14" i="22"/>
  <c r="BG14" i="22" s="1"/>
  <c r="BT15" i="22"/>
  <c r="BF15" i="22" s="1"/>
  <c r="CA16" i="22"/>
  <c r="BM16" i="22" s="1"/>
  <c r="BO17" i="22"/>
  <c r="B17" i="22" s="1"/>
  <c r="CD18" i="22"/>
  <c r="BY19" i="22"/>
  <c r="BK19" i="22" s="1"/>
  <c r="BZ20" i="22"/>
  <c r="BL20" i="22" s="1"/>
  <c r="BV21" i="22"/>
  <c r="BH21" i="22" s="1"/>
  <c r="BX22" i="22"/>
  <c r="BJ22" i="22" s="1"/>
  <c r="BT23" i="22"/>
  <c r="BF23" i="22" s="1"/>
  <c r="CC25" i="22"/>
  <c r="BT26" i="22"/>
  <c r="BF26" i="22" s="1"/>
  <c r="CB26" i="22"/>
  <c r="BS27" i="22"/>
  <c r="BE27" i="22" s="1"/>
  <c r="CA27" i="22"/>
  <c r="BM27" i="22" s="1"/>
  <c r="BQ28" i="22"/>
  <c r="C28" i="22" s="1"/>
  <c r="BW28" i="22"/>
  <c r="BI28" i="22" s="1"/>
  <c r="CB28" i="22"/>
  <c r="BQ29" i="22"/>
  <c r="C29" i="22" s="1"/>
  <c r="BV29" i="22"/>
  <c r="BH29" i="22" s="1"/>
  <c r="CA29" i="22"/>
  <c r="BM29" i="22" s="1"/>
  <c r="BS30" i="22"/>
  <c r="BE30" i="22" s="1"/>
  <c r="BX30" i="22"/>
  <c r="BJ30" i="22" s="1"/>
  <c r="CD30" i="22"/>
  <c r="BR31" i="22"/>
  <c r="BX31" i="22"/>
  <c r="BJ31" i="22" s="1"/>
  <c r="CC31" i="22"/>
  <c r="BT32" i="22"/>
  <c r="BF32" i="22" s="1"/>
  <c r="BY32" i="22"/>
  <c r="BK32" i="22" s="1"/>
  <c r="CD32" i="22"/>
  <c r="BQ33" i="22"/>
  <c r="C33" i="22" s="1"/>
  <c r="BU33" i="22"/>
  <c r="BG33" i="22" s="1"/>
  <c r="BY33" i="22"/>
  <c r="BK33" i="22" s="1"/>
  <c r="CC33" i="22"/>
  <c r="BO34" i="22"/>
  <c r="B34" i="22" s="1"/>
  <c r="BS34" i="22"/>
  <c r="BE34" i="22" s="1"/>
  <c r="BW34" i="22"/>
  <c r="BI34" i="22" s="1"/>
  <c r="CA34" i="22"/>
  <c r="BM34" i="22" s="1"/>
  <c r="BQ35" i="22"/>
  <c r="C35" i="22" s="1"/>
  <c r="BU35" i="22"/>
  <c r="BG35" i="22" s="1"/>
  <c r="BY35" i="22"/>
  <c r="BK35" i="22" s="1"/>
  <c r="CC35" i="22"/>
  <c r="BR36" i="22"/>
  <c r="BD36" i="22" s="1"/>
  <c r="BV36" i="22"/>
  <c r="BH36" i="22" s="1"/>
  <c r="BZ36" i="22"/>
  <c r="BL36" i="22" s="1"/>
  <c r="CD36" i="22"/>
  <c r="BO37" i="22"/>
  <c r="B37" i="22" s="1"/>
  <c r="BS37" i="22"/>
  <c r="BE37" i="22" s="1"/>
  <c r="BW37" i="22"/>
  <c r="BI37" i="22" s="1"/>
  <c r="CA37" i="22"/>
  <c r="BM37" i="22" s="1"/>
  <c r="BP38" i="22"/>
  <c r="BT38" i="22"/>
  <c r="BF38" i="22" s="1"/>
  <c r="BX38" i="22"/>
  <c r="BJ38" i="22" s="1"/>
  <c r="CB38" i="22"/>
  <c r="BQ39" i="22"/>
  <c r="C39" i="22" s="1"/>
  <c r="BU39" i="22"/>
  <c r="BG39" i="22" s="1"/>
  <c r="BY39" i="22"/>
  <c r="BK39" i="22" s="1"/>
  <c r="CC39" i="22"/>
  <c r="BQ40" i="22"/>
  <c r="C40" i="22" s="1"/>
  <c r="BU40" i="22"/>
  <c r="BG40" i="22" s="1"/>
  <c r="BY40" i="22"/>
  <c r="BK40" i="22" s="1"/>
  <c r="CC40" i="22"/>
  <c r="BR41" i="22"/>
  <c r="BD41" i="22" s="1"/>
  <c r="BV41" i="22"/>
  <c r="BH41" i="22" s="1"/>
  <c r="BZ41" i="22"/>
  <c r="BL41" i="22" s="1"/>
  <c r="CD41" i="22"/>
  <c r="BQ42" i="22"/>
  <c r="C42" i="22" s="1"/>
  <c r="BU42" i="22"/>
  <c r="BG42" i="22" s="1"/>
  <c r="BY42" i="22"/>
  <c r="BK42" i="22" s="1"/>
  <c r="CC42" i="22"/>
  <c r="BP43" i="22"/>
  <c r="BT43" i="22"/>
  <c r="BF43" i="22" s="1"/>
  <c r="BX43" i="22"/>
  <c r="BJ43" i="22" s="1"/>
  <c r="CB43" i="22"/>
  <c r="BO44" i="22"/>
  <c r="B44" i="22" s="1"/>
  <c r="BS44" i="22"/>
  <c r="BE44" i="22" s="1"/>
  <c r="BW44" i="22"/>
  <c r="BI44" i="22" s="1"/>
  <c r="CA44" i="22"/>
  <c r="BM44" i="22" s="1"/>
  <c r="BQ45" i="22"/>
  <c r="C45" i="22" s="1"/>
  <c r="BU45" i="22"/>
  <c r="BG45" i="22" s="1"/>
  <c r="BY45" i="22"/>
  <c r="BK45" i="22" s="1"/>
  <c r="CC45" i="22"/>
  <c r="BO46" i="22"/>
  <c r="B46" i="22" s="1"/>
  <c r="BS46" i="22"/>
  <c r="BW46" i="22"/>
  <c r="BI46" i="22" s="1"/>
  <c r="CA46" i="22"/>
  <c r="BM46" i="22" s="1"/>
  <c r="BP47" i="22"/>
  <c r="BT47" i="22"/>
  <c r="BF47" i="22" s="1"/>
  <c r="BX47" i="22"/>
  <c r="BJ47" i="22" s="1"/>
  <c r="CB47" i="22"/>
  <c r="BQ48" i="22"/>
  <c r="C48" i="22" s="1"/>
  <c r="BU48" i="22"/>
  <c r="BG48" i="22" s="1"/>
  <c r="BY48" i="22"/>
  <c r="BK48" i="22" s="1"/>
  <c r="CC48" i="22"/>
  <c r="BQ49" i="22"/>
  <c r="C49" i="22" s="1"/>
  <c r="BU49" i="22"/>
  <c r="BG49" i="22" s="1"/>
  <c r="BY49" i="22"/>
  <c r="BK49" i="22" s="1"/>
  <c r="CC49" i="22"/>
  <c r="BR50" i="22"/>
  <c r="BD50" i="22" s="1"/>
  <c r="BV50" i="22"/>
  <c r="BH50" i="22" s="1"/>
  <c r="BZ50" i="22"/>
  <c r="BL50" i="22" s="1"/>
  <c r="CD50" i="22"/>
  <c r="BO51" i="22"/>
  <c r="B51" i="22" s="1"/>
  <c r="BS51" i="22"/>
  <c r="BE51" i="22" s="1"/>
  <c r="BW51" i="22"/>
  <c r="BI51" i="22" s="1"/>
  <c r="CA51" i="22"/>
  <c r="BM51" i="22" s="1"/>
  <c r="BR52" i="22"/>
  <c r="BV52" i="22"/>
  <c r="BH52" i="22" s="1"/>
  <c r="BZ52" i="22"/>
  <c r="BL52" i="22" s="1"/>
  <c r="CD52" i="22"/>
  <c r="BO53" i="22"/>
  <c r="B53" i="22" s="1"/>
  <c r="BS53" i="22"/>
  <c r="BE53" i="22" s="1"/>
  <c r="BW53" i="22"/>
  <c r="BI53" i="22" s="1"/>
  <c r="CA53" i="22"/>
  <c r="BM53" i="22" s="1"/>
  <c r="BP54" i="22"/>
  <c r="BT54" i="22"/>
  <c r="BF54" i="22" s="1"/>
  <c r="BX54" i="22"/>
  <c r="BJ54" i="22" s="1"/>
  <c r="CB54" i="22"/>
  <c r="CD9" i="22"/>
  <c r="CC11" i="22"/>
  <c r="BR13" i="22"/>
  <c r="CC14" i="22"/>
  <c r="BS16" i="22"/>
  <c r="BE16" i="22" s="1"/>
  <c r="BW17" i="22"/>
  <c r="BI17" i="22" s="1"/>
  <c r="BQ19" i="22"/>
  <c r="C19" i="22" s="1"/>
  <c r="BR20" i="22"/>
  <c r="BD20" i="22" s="1"/>
  <c r="CD21" i="22"/>
  <c r="BU23" i="22"/>
  <c r="BG23" i="22" s="1"/>
  <c r="BU24" i="22"/>
  <c r="BG24" i="22" s="1"/>
  <c r="BQ25" i="22"/>
  <c r="C25" i="22" s="1"/>
  <c r="CC26" i="22"/>
  <c r="BV27" i="22"/>
  <c r="BH27" i="22" s="1"/>
  <c r="BX28" i="22"/>
  <c r="BJ28" i="22" s="1"/>
  <c r="BW29" i="22"/>
  <c r="BI29" i="22" s="1"/>
  <c r="BV30" i="22"/>
  <c r="BH30" i="22" s="1"/>
  <c r="BU31" i="22"/>
  <c r="BG31" i="22" s="1"/>
  <c r="BP32" i="22"/>
  <c r="BZ32" i="22"/>
  <c r="BL32" i="22" s="1"/>
  <c r="BV33" i="22"/>
  <c r="BH33" i="22" s="1"/>
  <c r="CD33" i="22"/>
  <c r="BQ34" i="22"/>
  <c r="C34" i="22" s="1"/>
  <c r="BY34" i="22"/>
  <c r="BK34" i="22" s="1"/>
  <c r="BR35" i="22"/>
  <c r="BD35" i="22" s="1"/>
  <c r="BZ35" i="22"/>
  <c r="BL35" i="22" s="1"/>
  <c r="BS36" i="22"/>
  <c r="BE36" i="22" s="1"/>
  <c r="CA36" i="22"/>
  <c r="BM36" i="22" s="1"/>
  <c r="BU37" i="22"/>
  <c r="BG37" i="22" s="1"/>
  <c r="CC37" i="22"/>
  <c r="BU38" i="22"/>
  <c r="BG38" i="22" s="1"/>
  <c r="CC38" i="22"/>
  <c r="BR39" i="22"/>
  <c r="BZ39" i="22"/>
  <c r="BL39" i="22" s="1"/>
  <c r="BO40" i="22"/>
  <c r="B40" i="22" s="1"/>
  <c r="BW40" i="22"/>
  <c r="BI40" i="22" s="1"/>
  <c r="BP41" i="22"/>
  <c r="BX41" i="22"/>
  <c r="BJ41" i="22" s="1"/>
  <c r="BS42" i="22"/>
  <c r="BE42" i="22" s="1"/>
  <c r="CC10" i="22"/>
  <c r="BY12" i="22"/>
  <c r="BK12" i="22" s="1"/>
  <c r="CA13" i="22"/>
  <c r="BM13" i="22" s="1"/>
  <c r="BU15" i="22"/>
  <c r="BG15" i="22" s="1"/>
  <c r="CD16" i="22"/>
  <c r="BQ18" i="22"/>
  <c r="C18" i="22" s="1"/>
  <c r="CB19" i="22"/>
  <c r="CB23" i="22"/>
  <c r="BP26" i="22"/>
  <c r="BW27" i="22"/>
  <c r="BI27" i="22" s="1"/>
  <c r="BO28" i="22"/>
  <c r="B28" i="22" s="1"/>
  <c r="BY28" i="22"/>
  <c r="BK28" i="22" s="1"/>
  <c r="BY29" i="22"/>
  <c r="BK29" i="22" s="1"/>
  <c r="BO30" i="22"/>
  <c r="B30" i="22" s="1"/>
  <c r="BZ30" i="22"/>
  <c r="BL30" i="22" s="1"/>
  <c r="BY31" i="22"/>
  <c r="BK31" i="22" s="1"/>
  <c r="BQ32" i="22"/>
  <c r="C32" i="22" s="1"/>
  <c r="CB32" i="22"/>
  <c r="BO33" i="22"/>
  <c r="B33" i="22" s="1"/>
  <c r="BW33" i="22"/>
  <c r="BI33" i="22" s="1"/>
  <c r="BT34" i="22"/>
  <c r="BF34" i="22" s="1"/>
  <c r="CB34" i="22"/>
  <c r="BS35" i="22"/>
  <c r="BE35" i="22" s="1"/>
  <c r="CA35" i="22"/>
  <c r="BM35" i="22" s="1"/>
  <c r="BT36" i="22"/>
  <c r="BF36" i="22" s="1"/>
  <c r="CB36" i="22"/>
  <c r="BP37" i="22"/>
  <c r="BX37" i="22"/>
  <c r="BJ37" i="22" s="1"/>
  <c r="BV38" i="22"/>
  <c r="BH38" i="22" s="1"/>
  <c r="CD38" i="22"/>
  <c r="BS39" i="22"/>
  <c r="BE39" i="22" s="1"/>
  <c r="CA39" i="22"/>
  <c r="BM39" i="22" s="1"/>
  <c r="BR40" i="22"/>
  <c r="BZ40" i="22"/>
  <c r="BL40" i="22" s="1"/>
  <c r="BS41" i="22"/>
  <c r="BE41" i="22" s="1"/>
  <c r="CA41" i="22"/>
  <c r="BM41" i="22" s="1"/>
  <c r="BV42" i="22"/>
  <c r="BH42" i="22" s="1"/>
  <c r="CD42" i="22"/>
  <c r="BQ43" i="22"/>
  <c r="C43" i="22" s="1"/>
  <c r="BY43" i="22"/>
  <c r="BK43" i="22" s="1"/>
  <c r="BU44" i="22"/>
  <c r="BG44" i="22" s="1"/>
  <c r="CC44" i="22"/>
  <c r="BV45" i="22"/>
  <c r="BH45" i="22" s="1"/>
  <c r="CD45" i="22"/>
  <c r="BP46" i="22"/>
  <c r="BX46" i="22"/>
  <c r="BJ46" i="22" s="1"/>
  <c r="BV47" i="22"/>
  <c r="BH47" i="22" s="1"/>
  <c r="CD47" i="22"/>
  <c r="BS48" i="22"/>
  <c r="BE48" i="22" s="1"/>
  <c r="CA48" i="22"/>
  <c r="BM48" i="22" s="1"/>
  <c r="BR49" i="22"/>
  <c r="BZ49" i="22"/>
  <c r="BL49" i="22" s="1"/>
  <c r="BS50" i="22"/>
  <c r="BE50" i="22" s="1"/>
  <c r="CA50" i="22"/>
  <c r="BM50" i="22" s="1"/>
  <c r="BU51" i="22"/>
  <c r="BG51" i="22" s="1"/>
  <c r="CC51" i="22"/>
  <c r="BS52" i="22"/>
  <c r="BE52" i="22" s="1"/>
  <c r="CA52" i="22"/>
  <c r="BM52" i="22" s="1"/>
  <c r="BU53" i="22"/>
  <c r="BG53" i="22" s="1"/>
  <c r="BZ53" i="22"/>
  <c r="BL53" i="22" s="1"/>
  <c r="BR54" i="22"/>
  <c r="BW54" i="22"/>
  <c r="BI54" i="22" s="1"/>
  <c r="CC54" i="22"/>
  <c r="BP55" i="22"/>
  <c r="BV55" i="22"/>
  <c r="BH55" i="22" s="1"/>
  <c r="BP56" i="22"/>
  <c r="BV56" i="22"/>
  <c r="BH56" i="22" s="1"/>
  <c r="CA56" i="22"/>
  <c r="BM56" i="22" s="1"/>
  <c r="BP57" i="22"/>
  <c r="BW57" i="22"/>
  <c r="BI57" i="22" s="1"/>
  <c r="BP58" i="22"/>
  <c r="BT58" i="22"/>
  <c r="BF58" i="22" s="1"/>
  <c r="BX58" i="22"/>
  <c r="BJ58" i="22" s="1"/>
  <c r="CB58" i="22"/>
  <c r="BR59" i="22"/>
  <c r="BD59" i="22" s="1"/>
  <c r="BV59" i="22"/>
  <c r="BH59" i="22" s="1"/>
  <c r="BZ59" i="22"/>
  <c r="BL59" i="22" s="1"/>
  <c r="CD59" i="22"/>
  <c r="BQ60" i="22"/>
  <c r="C60" i="22" s="1"/>
  <c r="BU60" i="22"/>
  <c r="BG60" i="22" s="1"/>
  <c r="BY60" i="22"/>
  <c r="BK60" i="22" s="1"/>
  <c r="CC60" i="22"/>
  <c r="BQ61" i="22"/>
  <c r="C61" i="22" s="1"/>
  <c r="BU61" i="22"/>
  <c r="BG61" i="22" s="1"/>
  <c r="BY61" i="22"/>
  <c r="BK61" i="22" s="1"/>
  <c r="CC61" i="22"/>
  <c r="BO62" i="22"/>
  <c r="B62" i="22" s="1"/>
  <c r="BS62" i="22"/>
  <c r="BE62" i="22" s="1"/>
  <c r="BW62" i="22"/>
  <c r="BI62" i="22" s="1"/>
  <c r="CA62" i="22"/>
  <c r="BM62" i="22" s="1"/>
  <c r="BQ63" i="22"/>
  <c r="C63" i="22" s="1"/>
  <c r="BU63" i="22"/>
  <c r="BG63" i="22" s="1"/>
  <c r="BY63" i="22"/>
  <c r="BK63" i="22" s="1"/>
  <c r="CC63" i="22"/>
  <c r="BO64" i="22"/>
  <c r="B64" i="22" s="1"/>
  <c r="BS64" i="22"/>
  <c r="BE64" i="22" s="1"/>
  <c r="BW64" i="22"/>
  <c r="BI64" i="22" s="1"/>
  <c r="CA64" i="22"/>
  <c r="BM64" i="22" s="1"/>
  <c r="BR65" i="22"/>
  <c r="BD65" i="22" s="1"/>
  <c r="BV65" i="22"/>
  <c r="BH65" i="22" s="1"/>
  <c r="BZ65" i="22"/>
  <c r="BL65" i="22" s="1"/>
  <c r="CD65" i="22"/>
  <c r="BQ66" i="22"/>
  <c r="C66" i="22" s="1"/>
  <c r="BU66" i="22"/>
  <c r="BG66" i="22" s="1"/>
  <c r="BY66" i="22"/>
  <c r="BK66" i="22" s="1"/>
  <c r="CC66" i="22"/>
  <c r="BO67" i="22"/>
  <c r="B67" i="22" s="1"/>
  <c r="BS67" i="22"/>
  <c r="BE67" i="22" s="1"/>
  <c r="BW67" i="22"/>
  <c r="BI67" i="22" s="1"/>
  <c r="CA67" i="22"/>
  <c r="BM67" i="22" s="1"/>
  <c r="BQ68" i="22"/>
  <c r="C68" i="22" s="1"/>
  <c r="BU68" i="22"/>
  <c r="BG68" i="22" s="1"/>
  <c r="BY68" i="22"/>
  <c r="BK68" i="22" s="1"/>
  <c r="CC68" i="22"/>
  <c r="BR69" i="22"/>
  <c r="BD69" i="22" s="1"/>
  <c r="BV69" i="22"/>
  <c r="BH69" i="22" s="1"/>
  <c r="BZ69" i="22"/>
  <c r="BL69" i="22" s="1"/>
  <c r="CD69" i="22"/>
  <c r="BP70" i="22"/>
  <c r="BT70" i="22"/>
  <c r="BF70" i="22" s="1"/>
  <c r="BX70" i="22"/>
  <c r="BJ70" i="22" s="1"/>
  <c r="CB70" i="22"/>
  <c r="BP71" i="22"/>
  <c r="BT71" i="22"/>
  <c r="BF71" i="22" s="1"/>
  <c r="BX71" i="22"/>
  <c r="BJ71" i="22" s="1"/>
  <c r="CB71" i="22"/>
  <c r="BR72" i="22"/>
  <c r="BD72" i="22" s="1"/>
  <c r="BV72" i="22"/>
  <c r="BH72" i="22" s="1"/>
  <c r="BZ72" i="22"/>
  <c r="BL72" i="22" s="1"/>
  <c r="CD72" i="22"/>
  <c r="BO73" i="22"/>
  <c r="BS73" i="22"/>
  <c r="BE73" i="22" s="1"/>
  <c r="BW73" i="22"/>
  <c r="BI73" i="22" s="1"/>
  <c r="CA73" i="22"/>
  <c r="BM73" i="22" s="1"/>
  <c r="BO74" i="22"/>
  <c r="B74" i="22" s="1"/>
  <c r="BS74" i="22"/>
  <c r="BE74" i="22" s="1"/>
  <c r="BW74" i="22"/>
  <c r="BI74" i="22" s="1"/>
  <c r="CA74" i="22"/>
  <c r="BM74" i="22" s="1"/>
  <c r="BR75" i="22"/>
  <c r="BD75" i="22" s="1"/>
  <c r="BV75" i="22"/>
  <c r="BH75" i="22" s="1"/>
  <c r="BZ75" i="22"/>
  <c r="BL75" i="22" s="1"/>
  <c r="CD75" i="22"/>
  <c r="BR76" i="22"/>
  <c r="BV76" i="22"/>
  <c r="BH76" i="22" s="1"/>
  <c r="BZ76" i="22"/>
  <c r="BL76" i="22" s="1"/>
  <c r="CD76" i="22"/>
  <c r="BO77" i="22"/>
  <c r="B77" i="22" s="1"/>
  <c r="BS77" i="22"/>
  <c r="BE77" i="22" s="1"/>
  <c r="BW77" i="22"/>
  <c r="BI77" i="22" s="1"/>
  <c r="CA77" i="22"/>
  <c r="BM77" i="22" s="1"/>
  <c r="BO78" i="22"/>
  <c r="B78" i="22" s="1"/>
  <c r="BS78" i="22"/>
  <c r="BE78" i="22" s="1"/>
  <c r="BW78" i="22"/>
  <c r="BI78" i="22" s="1"/>
  <c r="CA78" i="22"/>
  <c r="BM78" i="22" s="1"/>
  <c r="BP79" i="22"/>
  <c r="BT79" i="22"/>
  <c r="BF79" i="22" s="1"/>
  <c r="BX79" i="22"/>
  <c r="BJ79" i="22" s="1"/>
  <c r="CB79" i="22"/>
  <c r="BQ80" i="22"/>
  <c r="C80" i="22" s="1"/>
  <c r="BU80" i="22"/>
  <c r="BG80" i="22" s="1"/>
  <c r="BY80" i="22"/>
  <c r="BK80" i="22" s="1"/>
  <c r="CC80" i="22"/>
  <c r="BQ81" i="22"/>
  <c r="C81" i="22" s="1"/>
  <c r="BU81" i="22"/>
  <c r="BG81" i="22" s="1"/>
  <c r="BY81" i="22"/>
  <c r="BK81" i="22" s="1"/>
  <c r="CC81" i="22"/>
  <c r="BP82" i="22"/>
  <c r="BT82" i="22"/>
  <c r="BF82" i="22" s="1"/>
  <c r="BX82" i="22"/>
  <c r="BJ82" i="22" s="1"/>
  <c r="CB82" i="22"/>
  <c r="BR83" i="22"/>
  <c r="BD83" i="22" s="1"/>
  <c r="BV83" i="22"/>
  <c r="BH83" i="22" s="1"/>
  <c r="BZ83" i="22"/>
  <c r="BL83" i="22" s="1"/>
  <c r="CD83" i="22"/>
  <c r="BO84" i="22"/>
  <c r="B84" i="22" s="1"/>
  <c r="BS84" i="22"/>
  <c r="BE84" i="22" s="1"/>
  <c r="BW84" i="22"/>
  <c r="BI84" i="22" s="1"/>
  <c r="CA84" i="22"/>
  <c r="BM84" i="22" s="1"/>
  <c r="BQ85" i="22"/>
  <c r="C85" i="22" s="1"/>
  <c r="BU85" i="22"/>
  <c r="BG85" i="22" s="1"/>
  <c r="BY85" i="22"/>
  <c r="BK85" i="22" s="1"/>
  <c r="CC85" i="22"/>
  <c r="BQ86" i="22"/>
  <c r="C86" i="22" s="1"/>
  <c r="BU86" i="22"/>
  <c r="BG86" i="22" s="1"/>
  <c r="BY86" i="22"/>
  <c r="BK86" i="22" s="1"/>
  <c r="CC86" i="22"/>
  <c r="BQ87" i="22"/>
  <c r="C87" i="22" s="1"/>
  <c r="BU87" i="22"/>
  <c r="BG87" i="22" s="1"/>
  <c r="BY87" i="22"/>
  <c r="BK87" i="22" s="1"/>
  <c r="CC87" i="22"/>
  <c r="BR88" i="22"/>
  <c r="BD88" i="22" s="1"/>
  <c r="BV88" i="22"/>
  <c r="BH88" i="22" s="1"/>
  <c r="BZ88" i="22"/>
  <c r="BL88" i="22" s="1"/>
  <c r="CD88" i="22"/>
  <c r="BO89" i="22"/>
  <c r="B89" i="22" s="1"/>
  <c r="BS89" i="22"/>
  <c r="BE89" i="22" s="1"/>
  <c r="BW89" i="22"/>
  <c r="BI89" i="22" s="1"/>
  <c r="CA89" i="22"/>
  <c r="BM89" i="22" s="1"/>
  <c r="BP90" i="22"/>
  <c r="BT90" i="22"/>
  <c r="BF90" i="22" s="1"/>
  <c r="BX90" i="22"/>
  <c r="BJ90" i="22" s="1"/>
  <c r="CB90" i="22"/>
  <c r="BO91" i="22"/>
  <c r="B91" i="22" s="1"/>
  <c r="BS91" i="22"/>
  <c r="BE91" i="22" s="1"/>
  <c r="BW91" i="22"/>
  <c r="BI91" i="22" s="1"/>
  <c r="CA91" i="22"/>
  <c r="BM91" i="22" s="1"/>
  <c r="BP92" i="22"/>
  <c r="BT92" i="22"/>
  <c r="BF92" i="22" s="1"/>
  <c r="BX92" i="22"/>
  <c r="BJ92" i="22" s="1"/>
  <c r="CB92" i="22"/>
  <c r="BQ93" i="22"/>
  <c r="C93" i="22" s="1"/>
  <c r="BU93" i="22"/>
  <c r="BG93" i="22" s="1"/>
  <c r="BY93" i="22"/>
  <c r="BK93" i="22" s="1"/>
  <c r="CC93" i="22"/>
  <c r="BO94" i="22"/>
  <c r="B94" i="22" s="1"/>
  <c r="BS94" i="22"/>
  <c r="BE94" i="22" s="1"/>
  <c r="BW94" i="22"/>
  <c r="BI94" i="22" s="1"/>
  <c r="CA94" i="22"/>
  <c r="BM94" i="22" s="1"/>
  <c r="BQ95" i="22"/>
  <c r="C95" i="22" s="1"/>
  <c r="BU95" i="22"/>
  <c r="BG95" i="22" s="1"/>
  <c r="BY95" i="22"/>
  <c r="BK95" i="22" s="1"/>
  <c r="CC95" i="22"/>
  <c r="BP96" i="22"/>
  <c r="BT96" i="22"/>
  <c r="BF96" i="22" s="1"/>
  <c r="BX96" i="22"/>
  <c r="BJ96" i="22" s="1"/>
  <c r="CB96" i="22"/>
  <c r="BQ97" i="22"/>
  <c r="C97" i="22" s="1"/>
  <c r="BU97" i="22"/>
  <c r="BG97" i="22" s="1"/>
  <c r="BY97" i="22"/>
  <c r="BK97" i="22" s="1"/>
  <c r="CC97" i="22"/>
  <c r="BQ98" i="22"/>
  <c r="C98" i="22" s="1"/>
  <c r="BU98" i="22"/>
  <c r="BG98" i="22" s="1"/>
  <c r="BY98" i="22"/>
  <c r="BK98" i="22" s="1"/>
  <c r="CC98" i="22"/>
  <c r="BP99" i="22"/>
  <c r="BT99" i="22"/>
  <c r="BF99" i="22" s="1"/>
  <c r="BX99" i="22"/>
  <c r="BJ99" i="22" s="1"/>
  <c r="CB99" i="22"/>
  <c r="BO100" i="22"/>
  <c r="B100" i="22" s="1"/>
  <c r="BS100" i="22"/>
  <c r="BE100" i="22" s="1"/>
  <c r="BW100" i="22"/>
  <c r="BI100" i="22" s="1"/>
  <c r="CA100" i="22"/>
  <c r="BM100" i="22" s="1"/>
  <c r="BO101" i="22"/>
  <c r="B101" i="22" s="1"/>
  <c r="BS101" i="22"/>
  <c r="BE101" i="22" s="1"/>
  <c r="BW101" i="22"/>
  <c r="BI101" i="22" s="1"/>
  <c r="CA101" i="22"/>
  <c r="BM101" i="22" s="1"/>
  <c r="BR102" i="22"/>
  <c r="BV102" i="22"/>
  <c r="BH102" i="22" s="1"/>
  <c r="BZ102" i="22"/>
  <c r="BL102" i="22" s="1"/>
  <c r="CD102" i="22"/>
  <c r="BR103" i="22"/>
  <c r="BD103" i="22" s="1"/>
  <c r="BV103" i="22"/>
  <c r="BH103" i="22" s="1"/>
  <c r="BZ103" i="22"/>
  <c r="BL103" i="22" s="1"/>
  <c r="CD103" i="22"/>
  <c r="BP104" i="22"/>
  <c r="BT104" i="22"/>
  <c r="BF104" i="22" s="1"/>
  <c r="BX104" i="22"/>
  <c r="BJ104" i="22" s="1"/>
  <c r="CB104" i="22"/>
  <c r="BQ105" i="22"/>
  <c r="C105" i="22" s="1"/>
  <c r="BU105" i="22"/>
  <c r="BG105" i="22" s="1"/>
  <c r="BY105" i="22"/>
  <c r="BK105" i="22" s="1"/>
  <c r="CC105" i="22"/>
  <c r="BQ106" i="22"/>
  <c r="C106" i="22" s="1"/>
  <c r="BU106" i="22"/>
  <c r="BG106" i="22" s="1"/>
  <c r="BX14" i="22"/>
  <c r="BJ14" i="22" s="1"/>
  <c r="CB15" i="22"/>
  <c r="BS28" i="22"/>
  <c r="BE28" i="22" s="1"/>
  <c r="BR29" i="22"/>
  <c r="BD29" i="22" s="1"/>
  <c r="CD31" i="22"/>
  <c r="CA33" i="22"/>
  <c r="BM33" i="22" s="1"/>
  <c r="BX34" i="22"/>
  <c r="BJ34" i="22" s="1"/>
  <c r="BV35" i="22"/>
  <c r="BH35" i="22" s="1"/>
  <c r="BO36" i="22"/>
  <c r="B36" i="22" s="1"/>
  <c r="BY37" i="22"/>
  <c r="BK37" i="22" s="1"/>
  <c r="BZ38" i="22"/>
  <c r="BL38" i="22" s="1"/>
  <c r="BV39" i="22"/>
  <c r="BH39" i="22" s="1"/>
  <c r="CA40" i="22"/>
  <c r="BM40" i="22" s="1"/>
  <c r="BO41" i="22"/>
  <c r="B41" i="22" s="1"/>
  <c r="BZ42" i="22"/>
  <c r="BL42" i="22" s="1"/>
  <c r="BZ43" i="22"/>
  <c r="BL43" i="22" s="1"/>
  <c r="BQ44" i="22"/>
  <c r="C44" i="22" s="1"/>
  <c r="CB44" i="22"/>
  <c r="BO45" i="22"/>
  <c r="B45" i="22" s="1"/>
  <c r="BZ45" i="22"/>
  <c r="BL45" i="22" s="1"/>
  <c r="BY46" i="22"/>
  <c r="BK46" i="22" s="1"/>
  <c r="BR47" i="22"/>
  <c r="BD47" i="22" s="1"/>
  <c r="CC47" i="22"/>
  <c r="BW48" i="22"/>
  <c r="BI48" i="22" s="1"/>
  <c r="BV49" i="22"/>
  <c r="BH49" i="22" s="1"/>
  <c r="BT50" i="22"/>
  <c r="BF50" i="22" s="1"/>
  <c r="BT51" i="22"/>
  <c r="BF51" i="22" s="1"/>
  <c r="BO52" i="22"/>
  <c r="B52" i="22" s="1"/>
  <c r="BX52" i="22"/>
  <c r="BJ52" i="22" s="1"/>
  <c r="BP53" i="22"/>
  <c r="BX53" i="22"/>
  <c r="BJ53" i="22" s="1"/>
  <c r="CD53" i="22"/>
  <c r="BS54" i="22"/>
  <c r="BE54" i="22" s="1"/>
  <c r="BZ54" i="22"/>
  <c r="BL54" i="22" s="1"/>
  <c r="BR55" i="22"/>
  <c r="CA55" i="22"/>
  <c r="BM55" i="22" s="1"/>
  <c r="BQ56" i="22"/>
  <c r="C56" i="22" s="1"/>
  <c r="BY56" i="22"/>
  <c r="BK56" i="22" s="1"/>
  <c r="BQ57" i="22"/>
  <c r="C57" i="22" s="1"/>
  <c r="CA57" i="22"/>
  <c r="BM57" i="22" s="1"/>
  <c r="BQ58" i="22"/>
  <c r="C58" i="22" s="1"/>
  <c r="BV58" i="22"/>
  <c r="BH58" i="22" s="1"/>
  <c r="CA58" i="22"/>
  <c r="BM58" i="22" s="1"/>
  <c r="BO59" i="22"/>
  <c r="B59" i="22" s="1"/>
  <c r="BT59" i="22"/>
  <c r="BF59" i="22" s="1"/>
  <c r="BY59" i="22"/>
  <c r="BK59" i="22" s="1"/>
  <c r="BO60" i="22"/>
  <c r="B60" i="22" s="1"/>
  <c r="BT60" i="22"/>
  <c r="BF60" i="22" s="1"/>
  <c r="BZ60" i="22"/>
  <c r="BL60" i="22" s="1"/>
  <c r="BP61" i="22"/>
  <c r="BV61" i="22"/>
  <c r="BH61" i="22" s="1"/>
  <c r="CA61" i="22"/>
  <c r="BM61" i="22" s="1"/>
  <c r="BP62" i="22"/>
  <c r="BU62" i="22"/>
  <c r="BG62" i="22" s="1"/>
  <c r="BZ62" i="22"/>
  <c r="BL62" i="22" s="1"/>
  <c r="BS63" i="22"/>
  <c r="BE63" i="22" s="1"/>
  <c r="BX63" i="22"/>
  <c r="BJ63" i="22" s="1"/>
  <c r="CD63" i="22"/>
  <c r="BQ64" i="22"/>
  <c r="C64" i="22" s="1"/>
  <c r="BV64" i="22"/>
  <c r="BH64" i="22" s="1"/>
  <c r="CB64" i="22"/>
  <c r="BP65" i="22"/>
  <c r="BU65" i="22"/>
  <c r="BG65" i="22" s="1"/>
  <c r="CA65" i="22"/>
  <c r="BM65" i="22" s="1"/>
  <c r="BP66" i="22"/>
  <c r="BV66" i="22"/>
  <c r="BH66" i="22" s="1"/>
  <c r="CA66" i="22"/>
  <c r="BM66" i="22" s="1"/>
  <c r="BP67" i="22"/>
  <c r="BU67" i="22"/>
  <c r="BG67" i="22" s="1"/>
  <c r="BZ67" i="22"/>
  <c r="BL67" i="22" s="1"/>
  <c r="BS68" i="22"/>
  <c r="BE68" i="22" s="1"/>
  <c r="BX68" i="22"/>
  <c r="BJ68" i="22" s="1"/>
  <c r="CD68" i="22"/>
  <c r="BP69" i="22"/>
  <c r="BU69" i="22"/>
  <c r="BG69" i="22" s="1"/>
  <c r="CA69" i="22"/>
  <c r="BM69" i="22" s="1"/>
  <c r="BS70" i="22"/>
  <c r="BE70" i="22" s="1"/>
  <c r="BY70" i="22"/>
  <c r="BK70" i="22" s="1"/>
  <c r="CD70" i="22"/>
  <c r="BO71" i="22"/>
  <c r="B71" i="22" s="1"/>
  <c r="BU71" i="22"/>
  <c r="BG71" i="22" s="1"/>
  <c r="BZ71" i="22"/>
  <c r="BL71" i="22" s="1"/>
  <c r="BO72" i="22"/>
  <c r="B72" i="22" s="1"/>
  <c r="BT72" i="22"/>
  <c r="BF72" i="22" s="1"/>
  <c r="BY72" i="22"/>
  <c r="BK72" i="22" s="1"/>
  <c r="BQ73" i="22"/>
  <c r="C73" i="22" s="1"/>
  <c r="BV73" i="22"/>
  <c r="BH73" i="22" s="1"/>
  <c r="CB73" i="22"/>
  <c r="BR74" i="22"/>
  <c r="BX74" i="22"/>
  <c r="BJ74" i="22" s="1"/>
  <c r="CC74" i="22"/>
  <c r="BQ75" i="22"/>
  <c r="C75" i="22" s="1"/>
  <c r="BW75" i="22"/>
  <c r="BI75" i="22" s="1"/>
  <c r="CB75" i="22"/>
  <c r="BS76" i="22"/>
  <c r="BE76" i="22" s="1"/>
  <c r="BX76" i="22"/>
  <c r="BJ76" i="22" s="1"/>
  <c r="CC76" i="22"/>
  <c r="BP77" i="22"/>
  <c r="BU77" i="22"/>
  <c r="BG77" i="22" s="1"/>
  <c r="BZ77" i="22"/>
  <c r="BL77" i="22" s="1"/>
  <c r="BP78" i="22"/>
  <c r="BU78" i="22"/>
  <c r="BG78" i="22" s="1"/>
  <c r="BZ78" i="22"/>
  <c r="BL78" i="22" s="1"/>
  <c r="BR79" i="22"/>
  <c r="BD79" i="22" s="1"/>
  <c r="BW79" i="22"/>
  <c r="BI79" i="22" s="1"/>
  <c r="CC79" i="22"/>
  <c r="BO80" i="22"/>
  <c r="B80" i="22" s="1"/>
  <c r="BT80" i="22"/>
  <c r="BF80" i="22" s="1"/>
  <c r="BZ80" i="22"/>
  <c r="BL80" i="22" s="1"/>
  <c r="BP81" i="22"/>
  <c r="BV81" i="22"/>
  <c r="BH81" i="22" s="1"/>
  <c r="CA81" i="22"/>
  <c r="BM81" i="22" s="1"/>
  <c r="BQ82" i="22"/>
  <c r="C82" i="22" s="1"/>
  <c r="BV82" i="22"/>
  <c r="BH82" i="22" s="1"/>
  <c r="CA82" i="22"/>
  <c r="BM82" i="22" s="1"/>
  <c r="BO83" i="22"/>
  <c r="B83" i="22" s="1"/>
  <c r="BT83" i="22"/>
  <c r="BF83" i="22" s="1"/>
  <c r="BY83" i="22"/>
  <c r="BK83" i="22" s="1"/>
  <c r="BR84" i="22"/>
  <c r="BD84" i="22" s="1"/>
  <c r="BX84" i="22"/>
  <c r="BJ84" i="22" s="1"/>
  <c r="CC84" i="22"/>
  <c r="BP85" i="22"/>
  <c r="BV85" i="22"/>
  <c r="BH85" i="22" s="1"/>
  <c r="CA85" i="22"/>
  <c r="BM85" i="22" s="1"/>
  <c r="BS86" i="22"/>
  <c r="BE86" i="22" s="1"/>
  <c r="BX86" i="22"/>
  <c r="BJ86" i="22" s="1"/>
  <c r="CD86" i="22"/>
  <c r="BO87" i="22"/>
  <c r="B87" i="22" s="1"/>
  <c r="BT87" i="22"/>
  <c r="BF87" i="22" s="1"/>
  <c r="CB11" i="22"/>
  <c r="CB12" i="22"/>
  <c r="BW21" i="22"/>
  <c r="BI21" i="22" s="1"/>
  <c r="BU26" i="22"/>
  <c r="BG26" i="22" s="1"/>
  <c r="BO27" i="22"/>
  <c r="B27" i="22" s="1"/>
  <c r="BT28" i="22"/>
  <c r="BF28" i="22" s="1"/>
  <c r="BS29" i="22"/>
  <c r="BE29" i="22" s="1"/>
  <c r="BP30" i="22"/>
  <c r="BP31" i="22"/>
  <c r="BU32" i="22"/>
  <c r="BG32" i="22" s="1"/>
  <c r="BR33" i="22"/>
  <c r="BD33" i="22" s="1"/>
  <c r="BV18" i="22"/>
  <c r="BH18" i="22" s="1"/>
  <c r="CD29" i="22"/>
  <c r="BS33" i="22"/>
  <c r="BE33" i="22" s="1"/>
  <c r="CC34" i="22"/>
  <c r="CD35" i="22"/>
  <c r="BX36" i="22"/>
  <c r="BJ36" i="22" s="1"/>
  <c r="BT37" i="22"/>
  <c r="BF37" i="22" s="1"/>
  <c r="BR38" i="22"/>
  <c r="BD38" i="22" s="1"/>
  <c r="BO39" i="22"/>
  <c r="B39" i="22" s="1"/>
  <c r="CB41" i="22"/>
  <c r="CA42" i="22"/>
  <c r="BM42" i="22" s="1"/>
  <c r="BU43" i="22"/>
  <c r="BG43" i="22" s="1"/>
  <c r="BP44" i="22"/>
  <c r="BS45" i="22"/>
  <c r="CB46" i="22"/>
  <c r="BY47" i="22"/>
  <c r="BK47" i="22" s="1"/>
  <c r="BZ48" i="22"/>
  <c r="BL48" i="22" s="1"/>
  <c r="BO49" i="22"/>
  <c r="B49" i="22" s="1"/>
  <c r="CD49" i="22"/>
  <c r="BP50" i="22"/>
  <c r="BX51" i="22"/>
  <c r="BJ51" i="22" s="1"/>
  <c r="BT52" i="22"/>
  <c r="BF52" i="22" s="1"/>
  <c r="BY53" i="22"/>
  <c r="BK53" i="22" s="1"/>
  <c r="BQ54" i="22"/>
  <c r="C54" i="22" s="1"/>
  <c r="CA54" i="22"/>
  <c r="BM54" i="22" s="1"/>
  <c r="BO55" i="22"/>
  <c r="B55" i="22" s="1"/>
  <c r="BZ55" i="22"/>
  <c r="BL55" i="22" s="1"/>
  <c r="BT56" i="22"/>
  <c r="BF56" i="22" s="1"/>
  <c r="CB56" i="22"/>
  <c r="BZ57" i="22"/>
  <c r="BL57" i="22" s="1"/>
  <c r="BR58" i="22"/>
  <c r="BD58" i="22" s="1"/>
  <c r="BY58" i="22"/>
  <c r="BK58" i="22" s="1"/>
  <c r="BU59" i="22"/>
  <c r="BG59" i="22" s="1"/>
  <c r="CB59" i="22"/>
  <c r="BS60" i="22"/>
  <c r="BE60" i="22" s="1"/>
  <c r="CA60" i="22"/>
  <c r="BM60" i="22" s="1"/>
  <c r="BS61" i="22"/>
  <c r="BE61" i="22" s="1"/>
  <c r="BZ61" i="22"/>
  <c r="BL61" i="22" s="1"/>
  <c r="BQ62" i="22"/>
  <c r="C62" i="22" s="1"/>
  <c r="BX62" i="22"/>
  <c r="BJ62" i="22" s="1"/>
  <c r="CD62" i="22"/>
  <c r="BT63" i="22"/>
  <c r="BF63" i="22" s="1"/>
  <c r="CA63" i="22"/>
  <c r="BM63" i="22" s="1"/>
  <c r="BT64" i="22"/>
  <c r="BF64" i="22" s="1"/>
  <c r="BZ64" i="22"/>
  <c r="BL64" i="22" s="1"/>
  <c r="BQ65" i="22"/>
  <c r="C65" i="22" s="1"/>
  <c r="BX65" i="22"/>
  <c r="BJ65" i="22" s="1"/>
  <c r="BR66" i="22"/>
  <c r="BD66" i="22" s="1"/>
  <c r="BX66" i="22"/>
  <c r="BJ66" i="22" s="1"/>
  <c r="BV67" i="22"/>
  <c r="BH67" i="22" s="1"/>
  <c r="CC67" i="22"/>
  <c r="BR68" i="22"/>
  <c r="BD68" i="22" s="1"/>
  <c r="BZ68" i="22"/>
  <c r="BL68" i="22" s="1"/>
  <c r="BT69" i="22"/>
  <c r="BF69" i="22" s="1"/>
  <c r="CB69" i="22"/>
  <c r="BQ70" i="22"/>
  <c r="C70" i="22" s="1"/>
  <c r="BW70" i="22"/>
  <c r="BI70" i="22" s="1"/>
  <c r="BR71" i="22"/>
  <c r="BY71" i="22"/>
  <c r="BK71" i="22" s="1"/>
  <c r="BQ72" i="22"/>
  <c r="C72" i="22" s="1"/>
  <c r="BX72" i="22"/>
  <c r="BJ72" i="22" s="1"/>
  <c r="BT73" i="22"/>
  <c r="BF73" i="22" s="1"/>
  <c r="BZ73" i="22"/>
  <c r="BL73" i="22" s="1"/>
  <c r="BU74" i="22"/>
  <c r="BG74" i="22" s="1"/>
  <c r="CB74" i="22"/>
  <c r="BT75" i="22"/>
  <c r="BF75" i="22" s="1"/>
  <c r="CA75" i="22"/>
  <c r="BM75" i="22" s="1"/>
  <c r="BO76" i="22"/>
  <c r="B76" i="22" s="1"/>
  <c r="BU76" i="22"/>
  <c r="BG76" i="22" s="1"/>
  <c r="CB76" i="22"/>
  <c r="BQ77" i="22"/>
  <c r="C77" i="22" s="1"/>
  <c r="BX77" i="22"/>
  <c r="BJ77" i="22" s="1"/>
  <c r="CD77" i="22"/>
  <c r="BV78" i="22"/>
  <c r="BH78" i="22" s="1"/>
  <c r="CC78" i="22"/>
  <c r="BQ79" i="22"/>
  <c r="C79" i="22" s="1"/>
  <c r="BY79" i="22"/>
  <c r="BK79" i="22" s="1"/>
  <c r="BS80" i="22"/>
  <c r="BE80" i="22" s="1"/>
  <c r="CA80" i="22"/>
  <c r="BM80" i="22" s="1"/>
  <c r="BT81" i="22"/>
  <c r="BF81" i="22" s="1"/>
  <c r="CB81" i="22"/>
  <c r="BU82" i="22"/>
  <c r="BG82" i="22" s="1"/>
  <c r="CC82" i="22"/>
  <c r="BQ83" i="22"/>
  <c r="C83" i="22" s="1"/>
  <c r="BX83" i="22"/>
  <c r="BJ83" i="22" s="1"/>
  <c r="BU84" i="22"/>
  <c r="BG84" i="22" s="1"/>
  <c r="CB84" i="22"/>
  <c r="BS85" i="22"/>
  <c r="BE85" i="22" s="1"/>
  <c r="BZ85" i="22"/>
  <c r="BL85" i="22" s="1"/>
  <c r="BP86" i="22"/>
  <c r="BW86" i="22"/>
  <c r="BI86" i="22" s="1"/>
  <c r="BR87" i="22"/>
  <c r="BD87" i="22" s="1"/>
  <c r="BX87" i="22"/>
  <c r="BJ87" i="22" s="1"/>
  <c r="CD87" i="22"/>
  <c r="BP88" i="22"/>
  <c r="BU88" i="22"/>
  <c r="BG88" i="22" s="1"/>
  <c r="CA88" i="22"/>
  <c r="BM88" i="22" s="1"/>
  <c r="BT89" i="22"/>
  <c r="BF89" i="22" s="1"/>
  <c r="BY89" i="22"/>
  <c r="BK89" i="22" s="1"/>
  <c r="CD89" i="22"/>
  <c r="BO90" i="22"/>
  <c r="B90" i="22" s="1"/>
  <c r="BU90" i="22"/>
  <c r="BG90" i="22" s="1"/>
  <c r="CD10" i="22"/>
  <c r="BZ22" i="22"/>
  <c r="BL22" i="22" s="1"/>
  <c r="BX26" i="22"/>
  <c r="BJ26" i="22" s="1"/>
  <c r="CC28" i="22"/>
  <c r="BT31" i="22"/>
  <c r="BF31" i="22" s="1"/>
  <c r="BZ33" i="22"/>
  <c r="BL33" i="22" s="1"/>
  <c r="CB37" i="22"/>
  <c r="BY38" i="22"/>
  <c r="BK38" i="22" s="1"/>
  <c r="BW39" i="22"/>
  <c r="BI39" i="22" s="1"/>
  <c r="BS40" i="22"/>
  <c r="BE40" i="22" s="1"/>
  <c r="BO42" i="22"/>
  <c r="B42" i="22" s="1"/>
  <c r="BV43" i="22"/>
  <c r="BH43" i="22" s="1"/>
  <c r="BT44" i="22"/>
  <c r="BF44" i="22" s="1"/>
  <c r="BW45" i="22"/>
  <c r="BI45" i="22" s="1"/>
  <c r="BQ46" i="22"/>
  <c r="C46" i="22" s="1"/>
  <c r="CC46" i="22"/>
  <c r="BZ47" i="22"/>
  <c r="BL47" i="22" s="1"/>
  <c r="BO48" i="22"/>
  <c r="B48" i="22" s="1"/>
  <c r="CD48" i="22"/>
  <c r="BS49" i="22"/>
  <c r="BE49" i="22" s="1"/>
  <c r="BW50" i="22"/>
  <c r="BI50" i="22" s="1"/>
  <c r="BY51" i="22"/>
  <c r="BK51" i="22" s="1"/>
  <c r="BW52" i="22"/>
  <c r="BI52" i="22" s="1"/>
  <c r="BQ53" i="22"/>
  <c r="C53" i="22" s="1"/>
  <c r="CB53" i="22"/>
  <c r="BU54" i="22"/>
  <c r="BG54" i="22" s="1"/>
  <c r="CD54" i="22"/>
  <c r="BQ55" i="22"/>
  <c r="C55" i="22" s="1"/>
  <c r="BU56" i="22"/>
  <c r="BG56" i="22" s="1"/>
  <c r="BO57" i="22"/>
  <c r="B57" i="22" s="1"/>
  <c r="BS58" i="22"/>
  <c r="BE58" i="22" s="1"/>
  <c r="BZ58" i="22"/>
  <c r="BL58" i="22" s="1"/>
  <c r="BP59" i="22"/>
  <c r="BW59" i="22"/>
  <c r="BI59" i="22" s="1"/>
  <c r="CC59" i="22"/>
  <c r="BV60" i="22"/>
  <c r="BH60" i="22" s="1"/>
  <c r="CB60" i="22"/>
  <c r="BT61" i="22"/>
  <c r="BF61" i="22" s="1"/>
  <c r="CB61" i="22"/>
  <c r="BR62" i="22"/>
  <c r="BD62" i="22" s="1"/>
  <c r="BY62" i="22"/>
  <c r="BK62" i="22" s="1"/>
  <c r="BO63" i="22"/>
  <c r="B63" i="22" s="1"/>
  <c r="BV63" i="22"/>
  <c r="BH63" i="22" s="1"/>
  <c r="CB63" i="22"/>
  <c r="BU64" i="22"/>
  <c r="BG64" i="22" s="1"/>
  <c r="CC64" i="22"/>
  <c r="BS65" i="22"/>
  <c r="BE65" i="22" s="1"/>
  <c r="BY65" i="22"/>
  <c r="BK65" i="22" s="1"/>
  <c r="BS66" i="22"/>
  <c r="BE66" i="22" s="1"/>
  <c r="BZ66" i="22"/>
  <c r="BL66" i="22" s="1"/>
  <c r="BQ67" i="22"/>
  <c r="C67" i="22" s="1"/>
  <c r="BX67" i="22"/>
  <c r="BJ67" i="22" s="1"/>
  <c r="CD67" i="22"/>
  <c r="BT68" i="22"/>
  <c r="BF68" i="22" s="1"/>
  <c r="CA68" i="22"/>
  <c r="BM68" i="22" s="1"/>
  <c r="BO69" i="22"/>
  <c r="B69" i="22" s="1"/>
  <c r="BW69" i="22"/>
  <c r="BI69" i="22" s="1"/>
  <c r="CC69" i="22"/>
  <c r="BR70" i="22"/>
  <c r="BD70" i="22" s="1"/>
  <c r="BZ70" i="22"/>
  <c r="BL70" i="22" s="1"/>
  <c r="BS71" i="22"/>
  <c r="BE71" i="22" s="1"/>
  <c r="CA71" i="22"/>
  <c r="BM71" i="22" s="1"/>
  <c r="BS72" i="22"/>
  <c r="BE72" i="22" s="1"/>
  <c r="CA72" i="22"/>
  <c r="BM72" i="22" s="1"/>
  <c r="BU73" i="22"/>
  <c r="BG73" i="22" s="1"/>
  <c r="CC73" i="22"/>
  <c r="BP74" i="22"/>
  <c r="BV74" i="22"/>
  <c r="BH74" i="22" s="1"/>
  <c r="CD74" i="22"/>
  <c r="BO75" i="22"/>
  <c r="B75" i="22" s="1"/>
  <c r="BU75" i="22"/>
  <c r="BG75" i="22" s="1"/>
  <c r="CC75" i="22"/>
  <c r="BP76" i="22"/>
  <c r="BW76" i="22"/>
  <c r="BI76" i="22" s="1"/>
  <c r="BR77" i="22"/>
  <c r="BD77" i="22" s="1"/>
  <c r="BY77" i="22"/>
  <c r="BK77" i="22" s="1"/>
  <c r="BQ78" i="22"/>
  <c r="C78" i="22" s="1"/>
  <c r="BX78" i="22"/>
  <c r="BJ78" i="22" s="1"/>
  <c r="CD78" i="22"/>
  <c r="BS79" i="22"/>
  <c r="BE79" i="22" s="1"/>
  <c r="BZ79" i="22"/>
  <c r="BL79" i="22" s="1"/>
  <c r="BV80" i="22"/>
  <c r="BH80" i="22" s="1"/>
  <c r="CB80" i="22"/>
  <c r="BO81" i="22"/>
  <c r="B81" i="22" s="1"/>
  <c r="BW81" i="22"/>
  <c r="BI81" i="22" s="1"/>
  <c r="CD81" i="22"/>
  <c r="BO82" i="22"/>
  <c r="B82" i="22" s="1"/>
  <c r="BW82" i="22"/>
  <c r="BI82" i="22" s="1"/>
  <c r="CD82" i="22"/>
  <c r="BS83" i="22"/>
  <c r="BE83" i="22" s="1"/>
  <c r="CA83" i="22"/>
  <c r="BM83" i="22" s="1"/>
  <c r="BP84" i="22"/>
  <c r="BV84" i="22"/>
  <c r="BH84" i="22" s="1"/>
  <c r="CD84" i="22"/>
  <c r="BT85" i="22"/>
  <c r="BF85" i="22" s="1"/>
  <c r="CB85" i="22"/>
  <c r="BR86" i="22"/>
  <c r="BD86" i="22" s="1"/>
  <c r="BZ86" i="22"/>
  <c r="BL86" i="22" s="1"/>
  <c r="BS87" i="22"/>
  <c r="BE87" i="22" s="1"/>
  <c r="BZ87" i="22"/>
  <c r="BL87" i="22" s="1"/>
  <c r="BQ88" i="22"/>
  <c r="C88" i="22" s="1"/>
  <c r="BW88" i="22"/>
  <c r="BI88" i="22" s="1"/>
  <c r="CB88" i="22"/>
  <c r="BP89" i="22"/>
  <c r="BU89" i="22"/>
  <c r="BG89" i="22" s="1"/>
  <c r="BZ89" i="22"/>
  <c r="BL89" i="22" s="1"/>
  <c r="BQ90" i="22"/>
  <c r="C90" i="22" s="1"/>
  <c r="BV90" i="22"/>
  <c r="BH90" i="22" s="1"/>
  <c r="CA90" i="22"/>
  <c r="BM90" i="22" s="1"/>
  <c r="BQ91" i="22"/>
  <c r="C91" i="22" s="1"/>
  <c r="BV91" i="22"/>
  <c r="BH91" i="22" s="1"/>
  <c r="CB91" i="22"/>
  <c r="BS92" i="22"/>
  <c r="BE92" i="22" s="1"/>
  <c r="BY92" i="22"/>
  <c r="BK92" i="22" s="1"/>
  <c r="CD92" i="22"/>
  <c r="BP93" i="22"/>
  <c r="BV93" i="22"/>
  <c r="BH93" i="22" s="1"/>
  <c r="CA93" i="22"/>
  <c r="BM93" i="22" s="1"/>
  <c r="BT94" i="22"/>
  <c r="BF94" i="22" s="1"/>
  <c r="BY94" i="22"/>
  <c r="BK94" i="22" s="1"/>
  <c r="CD94" i="22"/>
  <c r="BR95" i="22"/>
  <c r="BW95" i="22"/>
  <c r="BI95" i="22" s="1"/>
  <c r="CB95" i="22"/>
  <c r="BR96" i="22"/>
  <c r="BW96" i="22"/>
  <c r="BI96" i="22" s="1"/>
  <c r="CC96" i="22"/>
  <c r="BO97" i="22"/>
  <c r="B97" i="22" s="1"/>
  <c r="BT97" i="22"/>
  <c r="BF97" i="22" s="1"/>
  <c r="BZ97" i="22"/>
  <c r="BL97" i="22" s="1"/>
  <c r="BP98" i="22"/>
  <c r="BV98" i="22"/>
  <c r="BH98" i="22" s="1"/>
  <c r="CA98" i="22"/>
  <c r="BM98" i="22" s="1"/>
  <c r="BQ99" i="22"/>
  <c r="C99" i="22" s="1"/>
  <c r="BV99" i="22"/>
  <c r="BH99" i="22" s="1"/>
  <c r="CA99" i="22"/>
  <c r="BM99" i="22" s="1"/>
  <c r="BP100" i="22"/>
  <c r="BU100" i="22"/>
  <c r="BG100" i="22" s="1"/>
  <c r="BZ100" i="22"/>
  <c r="BL100" i="22" s="1"/>
  <c r="BP101" i="22"/>
  <c r="BU101" i="22"/>
  <c r="BG101" i="22" s="1"/>
  <c r="BZ101" i="22"/>
  <c r="BL101" i="22" s="1"/>
  <c r="BO102" i="22"/>
  <c r="B102" i="22" s="1"/>
  <c r="BT102" i="22"/>
  <c r="BF102" i="22" s="1"/>
  <c r="BY102" i="22"/>
  <c r="BK102" i="22" s="1"/>
  <c r="BP103" i="22"/>
  <c r="BU103" i="22"/>
  <c r="BG103" i="22" s="1"/>
  <c r="CA103" i="22"/>
  <c r="BM103" i="22" s="1"/>
  <c r="BQ104" i="22"/>
  <c r="C104" i="22" s="1"/>
  <c r="BV104" i="22"/>
  <c r="BH104" i="22" s="1"/>
  <c r="CA104" i="22"/>
  <c r="BM104" i="22" s="1"/>
  <c r="BO105" i="22"/>
  <c r="B105" i="22" s="1"/>
  <c r="BT105" i="22"/>
  <c r="BF105" i="22" s="1"/>
  <c r="BZ105" i="22"/>
  <c r="BL105" i="22" s="1"/>
  <c r="BR106" i="22"/>
  <c r="BW106" i="22"/>
  <c r="BI106" i="22" s="1"/>
  <c r="CA106" i="22"/>
  <c r="BM106" i="22" s="1"/>
  <c r="BP107" i="22"/>
  <c r="BT107" i="22"/>
  <c r="BF107" i="22" s="1"/>
  <c r="BX107" i="22"/>
  <c r="BJ107" i="22" s="1"/>
  <c r="CB107" i="22"/>
  <c r="BQ108" i="22"/>
  <c r="C108" i="22" s="1"/>
  <c r="BU108" i="22"/>
  <c r="BG108" i="22" s="1"/>
  <c r="BY108" i="22"/>
  <c r="BK108" i="22" s="1"/>
  <c r="CC108" i="22"/>
  <c r="BQ109" i="22"/>
  <c r="C109" i="22" s="1"/>
  <c r="BU109" i="22"/>
  <c r="BG109" i="22" s="1"/>
  <c r="BY109" i="22"/>
  <c r="BK109" i="22" s="1"/>
  <c r="CC109" i="22"/>
  <c r="BP110" i="22"/>
  <c r="BT110" i="22"/>
  <c r="BF110" i="22" s="1"/>
  <c r="BX110" i="22"/>
  <c r="BJ110" i="22" s="1"/>
  <c r="CB110" i="22"/>
  <c r="BP111" i="22"/>
  <c r="BT111" i="22"/>
  <c r="BF111" i="22" s="1"/>
  <c r="BX111" i="22"/>
  <c r="BJ111" i="22" s="1"/>
  <c r="CB111" i="22"/>
  <c r="BR112" i="22"/>
  <c r="BV112" i="22"/>
  <c r="BH112" i="22" s="1"/>
  <c r="BZ112" i="22"/>
  <c r="BL112" i="22" s="1"/>
  <c r="CD112" i="22"/>
  <c r="BO113" i="22"/>
  <c r="B113" i="22" s="1"/>
  <c r="BS113" i="22"/>
  <c r="BE113" i="22" s="1"/>
  <c r="BW113" i="22"/>
  <c r="BI113" i="22" s="1"/>
  <c r="CA113" i="22"/>
  <c r="BM113" i="22" s="1"/>
  <c r="BP114" i="22"/>
  <c r="BT114" i="22"/>
  <c r="BF114" i="22" s="1"/>
  <c r="BX114" i="22"/>
  <c r="BJ114" i="22" s="1"/>
  <c r="CB114" i="22"/>
  <c r="BP115" i="22"/>
  <c r="BT115" i="22"/>
  <c r="BF115" i="22" s="1"/>
  <c r="BX115" i="22"/>
  <c r="BJ115" i="22" s="1"/>
  <c r="CB115" i="22"/>
  <c r="BQ116" i="22"/>
  <c r="C116" i="22" s="1"/>
  <c r="BU116" i="22"/>
  <c r="BG116" i="22" s="1"/>
  <c r="BY116" i="22"/>
  <c r="BK116" i="22" s="1"/>
  <c r="CC116" i="22"/>
  <c r="BR117" i="22"/>
  <c r="BD117" i="22" s="1"/>
  <c r="BV117" i="22"/>
  <c r="BH117" i="22" s="1"/>
  <c r="BZ117" i="22"/>
  <c r="BL117" i="22" s="1"/>
  <c r="CD117" i="22"/>
  <c r="BR118" i="22"/>
  <c r="BV118" i="22"/>
  <c r="BH118" i="22" s="1"/>
  <c r="BZ118" i="22"/>
  <c r="BL118" i="22" s="1"/>
  <c r="CD118" i="22"/>
  <c r="BR119" i="22"/>
  <c r="BV119" i="22"/>
  <c r="BH119" i="22" s="1"/>
  <c r="BZ119" i="22"/>
  <c r="BL119" i="22" s="1"/>
  <c r="CD119" i="22"/>
  <c r="BO120" i="22"/>
  <c r="B120" i="22" s="1"/>
  <c r="BS120" i="22"/>
  <c r="BE120" i="22" s="1"/>
  <c r="BW120" i="22"/>
  <c r="BI120" i="22" s="1"/>
  <c r="CA120" i="22"/>
  <c r="BM120" i="22" s="1"/>
  <c r="BQ121" i="22"/>
  <c r="C121" i="22" s="1"/>
  <c r="BU121" i="22"/>
  <c r="BG121" i="22" s="1"/>
  <c r="BY121" i="22"/>
  <c r="BK121" i="22" s="1"/>
  <c r="CC121" i="22"/>
  <c r="BR122" i="22"/>
  <c r="BD122" i="22" s="1"/>
  <c r="BV122" i="22"/>
  <c r="BH122" i="22" s="1"/>
  <c r="BZ122" i="22"/>
  <c r="BL122" i="22" s="1"/>
  <c r="CD122" i="22"/>
  <c r="BP123" i="22"/>
  <c r="BT123" i="22"/>
  <c r="BF123" i="22" s="1"/>
  <c r="BX123" i="22"/>
  <c r="BJ123" i="22" s="1"/>
  <c r="CB123" i="22"/>
  <c r="BP124" i="22"/>
  <c r="BT124" i="22"/>
  <c r="BF124" i="22" s="1"/>
  <c r="BX124" i="22"/>
  <c r="BJ124" i="22" s="1"/>
  <c r="CB124" i="22"/>
  <c r="BR125" i="22"/>
  <c r="BV125" i="22"/>
  <c r="BH125" i="22" s="1"/>
  <c r="BZ125" i="22"/>
  <c r="BL125" i="22" s="1"/>
  <c r="CD125" i="22"/>
  <c r="BP126" i="22"/>
  <c r="BT126" i="22"/>
  <c r="BF126" i="22" s="1"/>
  <c r="BX126" i="22"/>
  <c r="BJ126" i="22" s="1"/>
  <c r="CB126" i="22"/>
  <c r="BO127" i="22"/>
  <c r="B127" i="22" s="1"/>
  <c r="BS127" i="22"/>
  <c r="BE127" i="22" s="1"/>
  <c r="BW127" i="22"/>
  <c r="BI127" i="22" s="1"/>
  <c r="CA127" i="22"/>
  <c r="BM127" i="22" s="1"/>
  <c r="BR128" i="22"/>
  <c r="BV128" i="22"/>
  <c r="BH128" i="22" s="1"/>
  <c r="BZ128" i="22"/>
  <c r="BL128" i="22" s="1"/>
  <c r="CD128" i="22"/>
  <c r="BP129" i="22"/>
  <c r="BT129" i="22"/>
  <c r="BF129" i="22" s="1"/>
  <c r="BX129" i="22"/>
  <c r="BJ129" i="22" s="1"/>
  <c r="CB129" i="22"/>
  <c r="BR130" i="22"/>
  <c r="BV130" i="22"/>
  <c r="BH130" i="22" s="1"/>
  <c r="BZ130" i="22"/>
  <c r="BL130" i="22" s="1"/>
  <c r="CD130" i="22"/>
  <c r="BQ131" i="22"/>
  <c r="C131" i="22" s="1"/>
  <c r="BU131" i="22"/>
  <c r="BG131" i="22" s="1"/>
  <c r="BY131" i="22"/>
  <c r="BK131" i="22" s="1"/>
  <c r="CC131" i="22"/>
  <c r="BR132" i="22"/>
  <c r="BD132" i="22" s="1"/>
  <c r="BV132" i="22"/>
  <c r="BH132" i="22" s="1"/>
  <c r="BZ132" i="22"/>
  <c r="BL132" i="22" s="1"/>
  <c r="CD132" i="22"/>
  <c r="BQ133" i="22"/>
  <c r="C133" i="22" s="1"/>
  <c r="BU133" i="22"/>
  <c r="BG133" i="22" s="1"/>
  <c r="BY133" i="22"/>
  <c r="BK133" i="22" s="1"/>
  <c r="CC133" i="22"/>
  <c r="BR134" i="22"/>
  <c r="BV134" i="22"/>
  <c r="BH134" i="22" s="1"/>
  <c r="BZ134" i="22"/>
  <c r="BL134" i="22" s="1"/>
  <c r="CD134" i="22"/>
  <c r="BO135" i="22"/>
  <c r="B135" i="22" s="1"/>
  <c r="BS135" i="22"/>
  <c r="BE135" i="22" s="1"/>
  <c r="BW135" i="22"/>
  <c r="BI135" i="22" s="1"/>
  <c r="CA135" i="22"/>
  <c r="BM135" i="22" s="1"/>
  <c r="BO136" i="22"/>
  <c r="B136" i="22" s="1"/>
  <c r="BS136" i="22"/>
  <c r="BE136" i="22" s="1"/>
  <c r="BW136" i="22"/>
  <c r="BI136" i="22" s="1"/>
  <c r="CA136" i="22"/>
  <c r="BM136" i="22" s="1"/>
  <c r="BO137" i="22"/>
  <c r="B137" i="22" s="1"/>
  <c r="BS137" i="22"/>
  <c r="BE137" i="22" s="1"/>
  <c r="BW137" i="22"/>
  <c r="BI137" i="22" s="1"/>
  <c r="CA137" i="22"/>
  <c r="BM137" i="22" s="1"/>
  <c r="BR138" i="22"/>
  <c r="BD138" i="22" s="1"/>
  <c r="BV138" i="22"/>
  <c r="BH138" i="22" s="1"/>
  <c r="BZ138" i="22"/>
  <c r="BL138" i="22" s="1"/>
  <c r="CD138" i="22"/>
  <c r="BR139" i="22"/>
  <c r="BD139" i="22" s="1"/>
  <c r="BV139" i="22"/>
  <c r="BH139" i="22" s="1"/>
  <c r="BZ139" i="22"/>
  <c r="BL139" i="22" s="1"/>
  <c r="CD139" i="22"/>
  <c r="BR140" i="22"/>
  <c r="BD140" i="22" s="1"/>
  <c r="BV140" i="22"/>
  <c r="BH140" i="22" s="1"/>
  <c r="BZ140" i="22"/>
  <c r="BL140" i="22" s="1"/>
  <c r="CD140" i="22"/>
  <c r="BP141" i="22"/>
  <c r="BT141" i="22"/>
  <c r="BF141" i="22" s="1"/>
  <c r="BX141" i="22"/>
  <c r="BJ141" i="22" s="1"/>
  <c r="CB141" i="22"/>
  <c r="BO142" i="22"/>
  <c r="B142" i="22" s="1"/>
  <c r="BS142" i="22"/>
  <c r="BE142" i="22" s="1"/>
  <c r="BW142" i="22"/>
  <c r="BI142" i="22" s="1"/>
  <c r="CA142" i="22"/>
  <c r="BM142" i="22" s="1"/>
  <c r="BO143" i="22"/>
  <c r="B143" i="22" s="1"/>
  <c r="BS143" i="22"/>
  <c r="BE143" i="22" s="1"/>
  <c r="BW143" i="22"/>
  <c r="BI143" i="22" s="1"/>
  <c r="CA143" i="22"/>
  <c r="BM143" i="22" s="1"/>
  <c r="BP144" i="22"/>
  <c r="BT144" i="22"/>
  <c r="BF144" i="22" s="1"/>
  <c r="BX144" i="22"/>
  <c r="BJ144" i="22" s="1"/>
  <c r="CB144" i="22"/>
  <c r="BR145" i="22"/>
  <c r="BV145" i="22"/>
  <c r="BH145" i="22" s="1"/>
  <c r="BZ145" i="22"/>
  <c r="BL145" i="22" s="1"/>
  <c r="CD145" i="22"/>
  <c r="BR146" i="22"/>
  <c r="BD146" i="22" s="1"/>
  <c r="BV146" i="22"/>
  <c r="BH146" i="22" s="1"/>
  <c r="BZ146" i="22"/>
  <c r="BL146" i="22" s="1"/>
  <c r="CD146" i="22"/>
  <c r="BR147" i="22"/>
  <c r="BD147" i="22" s="1"/>
  <c r="BV147" i="22"/>
  <c r="BH147" i="22" s="1"/>
  <c r="BZ147" i="22"/>
  <c r="BL147" i="22" s="1"/>
  <c r="CD147" i="22"/>
  <c r="BO148" i="22"/>
  <c r="B148" i="22" s="1"/>
  <c r="BS148" i="22"/>
  <c r="BE148" i="22" s="1"/>
  <c r="BW148" i="22"/>
  <c r="BI148" i="22" s="1"/>
  <c r="CA148" i="22"/>
  <c r="BM148" i="22" s="1"/>
  <c r="BO149" i="22"/>
  <c r="B149" i="22" s="1"/>
  <c r="BS149" i="22"/>
  <c r="BE149" i="22" s="1"/>
  <c r="BW149" i="22"/>
  <c r="BI149" i="22" s="1"/>
  <c r="CA149" i="22"/>
  <c r="BM149" i="22" s="1"/>
  <c r="BP150" i="22"/>
  <c r="BT150" i="22"/>
  <c r="BF150" i="22" s="1"/>
  <c r="BX150" i="22"/>
  <c r="BJ150" i="22" s="1"/>
  <c r="CB150" i="22"/>
  <c r="BQ151" i="22"/>
  <c r="C151" i="22" s="1"/>
  <c r="BU151" i="22"/>
  <c r="BG151" i="22" s="1"/>
  <c r="BY151" i="22"/>
  <c r="BK151" i="22" s="1"/>
  <c r="CC151" i="22"/>
  <c r="BQ152" i="22"/>
  <c r="C152" i="22" s="1"/>
  <c r="BU152" i="22"/>
  <c r="BG152" i="22" s="1"/>
  <c r="BY152" i="22"/>
  <c r="BK152" i="22" s="1"/>
  <c r="CC152" i="22"/>
  <c r="BP153" i="22"/>
  <c r="BT153" i="22"/>
  <c r="BF153" i="22" s="1"/>
  <c r="BX153" i="22"/>
  <c r="BJ153" i="22" s="1"/>
  <c r="CB153" i="22"/>
  <c r="BR154" i="22"/>
  <c r="BD154" i="22" s="1"/>
  <c r="BV154" i="22"/>
  <c r="BH154" i="22" s="1"/>
  <c r="BZ154" i="22"/>
  <c r="BL154" i="22" s="1"/>
  <c r="CD154" i="22"/>
  <c r="BP155" i="22"/>
  <c r="BT155" i="22"/>
  <c r="BF155" i="22" s="1"/>
  <c r="BX155" i="22"/>
  <c r="BJ155" i="22" s="1"/>
  <c r="CB155" i="22"/>
  <c r="BO156" i="22"/>
  <c r="B156" i="22" s="1"/>
  <c r="BS156" i="22"/>
  <c r="BE156" i="22" s="1"/>
  <c r="BW156" i="22"/>
  <c r="BI156" i="22" s="1"/>
  <c r="CA156" i="22"/>
  <c r="BM156" i="22" s="1"/>
  <c r="BQ157" i="22"/>
  <c r="C157" i="22" s="1"/>
  <c r="BU157" i="22"/>
  <c r="BG157" i="22" s="1"/>
  <c r="BY157" i="22"/>
  <c r="BK157" i="22" s="1"/>
  <c r="CC157" i="22"/>
  <c r="BQ158" i="22"/>
  <c r="C158" i="22" s="1"/>
  <c r="BU158" i="22"/>
  <c r="BG158" i="22" s="1"/>
  <c r="BY158" i="22"/>
  <c r="BK158" i="22" s="1"/>
  <c r="CC158" i="22"/>
  <c r="BP159" i="22"/>
  <c r="BT159" i="22"/>
  <c r="BF159" i="22" s="1"/>
  <c r="BX159" i="22"/>
  <c r="BJ159" i="22" s="1"/>
  <c r="CB159" i="22"/>
  <c r="BO160" i="22"/>
  <c r="BS160" i="22"/>
  <c r="BE160" i="22" s="1"/>
  <c r="BW160" i="22"/>
  <c r="BI160" i="22" s="1"/>
  <c r="CA160" i="22"/>
  <c r="BM160" i="22" s="1"/>
  <c r="BO161" i="22"/>
  <c r="BS161" i="22"/>
  <c r="BE161" i="22" s="1"/>
  <c r="BW161" i="22"/>
  <c r="BI161" i="22" s="1"/>
  <c r="CA161" i="22"/>
  <c r="BM161" i="22" s="1"/>
  <c r="BR162" i="22"/>
  <c r="BV162" i="22"/>
  <c r="BH162" i="22" s="1"/>
  <c r="BZ162" i="22"/>
  <c r="BL162" i="22" s="1"/>
  <c r="CD162" i="22"/>
  <c r="BP163" i="22"/>
  <c r="BT163" i="22"/>
  <c r="BX163" i="22"/>
  <c r="BJ163" i="22" s="1"/>
  <c r="CB163" i="22"/>
  <c r="BR164" i="22"/>
  <c r="BD164" i="22" s="1"/>
  <c r="BV164" i="22"/>
  <c r="BH164" i="22" s="1"/>
  <c r="BZ164" i="22"/>
  <c r="BL164" i="22" s="1"/>
  <c r="CD164" i="22"/>
  <c r="BQ165" i="22"/>
  <c r="C165" i="22" s="1"/>
  <c r="BU165" i="22"/>
  <c r="BG165" i="22" s="1"/>
  <c r="BY165" i="22"/>
  <c r="BK165" i="22" s="1"/>
  <c r="CC165" i="22"/>
  <c r="BP166" i="22"/>
  <c r="BT166" i="22"/>
  <c r="BF166" i="22" s="1"/>
  <c r="BX166" i="22"/>
  <c r="BJ166" i="22" s="1"/>
  <c r="CB166" i="22"/>
  <c r="BO167" i="22"/>
  <c r="B167" i="22" s="1"/>
  <c r="BS167" i="22"/>
  <c r="BE167" i="22" s="1"/>
  <c r="BW167" i="22"/>
  <c r="BI167" i="22" s="1"/>
  <c r="CA167" i="22"/>
  <c r="BM167" i="22" s="1"/>
  <c r="BQ168" i="22"/>
  <c r="C168" i="22" s="1"/>
  <c r="BU168" i="22"/>
  <c r="BG168" i="22" s="1"/>
  <c r="BY168" i="22"/>
  <c r="BK168" i="22" s="1"/>
  <c r="CC168" i="22"/>
  <c r="BO169" i="22"/>
  <c r="B169" i="22" s="1"/>
  <c r="BS169" i="22"/>
  <c r="BW169" i="22"/>
  <c r="BI169" i="22" s="1"/>
  <c r="CA169" i="22"/>
  <c r="BM169" i="22" s="1"/>
  <c r="BP170" i="22"/>
  <c r="BT170" i="22"/>
  <c r="BF170" i="22" s="1"/>
  <c r="BX170" i="22"/>
  <c r="BJ170" i="22" s="1"/>
  <c r="CB170" i="22"/>
  <c r="BR171" i="22"/>
  <c r="BV171" i="22"/>
  <c r="BH171" i="22" s="1"/>
  <c r="BZ171" i="22"/>
  <c r="BL171" i="22" s="1"/>
  <c r="CD171" i="22"/>
  <c r="BO172" i="22"/>
  <c r="B172" i="22" s="1"/>
  <c r="BS172" i="22"/>
  <c r="BE172" i="22" s="1"/>
  <c r="BW172" i="22"/>
  <c r="BI172" i="22" s="1"/>
  <c r="CA172" i="22"/>
  <c r="BM172" i="22" s="1"/>
  <c r="BT173" i="22"/>
  <c r="BF173" i="22" s="1"/>
  <c r="CC173" i="22"/>
  <c r="BQ174" i="22"/>
  <c r="C174" i="22" s="1"/>
  <c r="CC174" i="22"/>
  <c r="BP175" i="22"/>
  <c r="BT175" i="22"/>
  <c r="BF175" i="22" s="1"/>
  <c r="BX175" i="22"/>
  <c r="BJ175" i="22" s="1"/>
  <c r="CB175" i="22"/>
  <c r="BR176" i="22"/>
  <c r="BD176" i="22" s="1"/>
  <c r="BV176" i="22"/>
  <c r="BH176" i="22" s="1"/>
  <c r="BZ176" i="22"/>
  <c r="BL176" i="22" s="1"/>
  <c r="CD176" i="22"/>
  <c r="BR177" i="22"/>
  <c r="BD177" i="22" s="1"/>
  <c r="BV177" i="22"/>
  <c r="BH177" i="22" s="1"/>
  <c r="BZ177" i="22"/>
  <c r="BL177" i="22" s="1"/>
  <c r="CD177" i="22"/>
  <c r="BQ178" i="22"/>
  <c r="C178" i="22" s="1"/>
  <c r="BU178" i="22"/>
  <c r="BG178" i="22" s="1"/>
  <c r="BY178" i="22"/>
  <c r="BK178" i="22" s="1"/>
  <c r="CC178" i="22"/>
  <c r="BR179" i="22"/>
  <c r="BV179" i="22"/>
  <c r="BH179" i="22" s="1"/>
  <c r="BZ179" i="22"/>
  <c r="BL179" i="22" s="1"/>
  <c r="CD179" i="22"/>
  <c r="BQ180" i="22"/>
  <c r="C180" i="22" s="1"/>
  <c r="BU180" i="22"/>
  <c r="BG180" i="22" s="1"/>
  <c r="BY180" i="22"/>
  <c r="BK180" i="22" s="1"/>
  <c r="CC180" i="22"/>
  <c r="BO181" i="22"/>
  <c r="B181" i="22" s="1"/>
  <c r="BS181" i="22"/>
  <c r="BE181" i="22" s="1"/>
  <c r="BW181" i="22"/>
  <c r="BI181" i="22" s="1"/>
  <c r="CA181" i="22"/>
  <c r="BM181" i="22" s="1"/>
  <c r="BR182" i="22"/>
  <c r="BV182" i="22"/>
  <c r="BH182" i="22" s="1"/>
  <c r="BZ182" i="22"/>
  <c r="BL182" i="22" s="1"/>
  <c r="CD182" i="22"/>
  <c r="BO183" i="22"/>
  <c r="B183" i="22" s="1"/>
  <c r="BY183" i="22"/>
  <c r="BK183" i="22" s="1"/>
  <c r="BQ184" i="22"/>
  <c r="C184" i="22" s="1"/>
  <c r="BU184" i="22"/>
  <c r="BG184" i="22" s="1"/>
  <c r="BY184" i="22"/>
  <c r="BK184" i="22" s="1"/>
  <c r="CC184" i="22"/>
  <c r="BQ185" i="22"/>
  <c r="C185" i="22" s="1"/>
  <c r="BU185" i="22"/>
  <c r="BG185" i="22" s="1"/>
  <c r="BY185" i="22"/>
  <c r="BK185" i="22" s="1"/>
  <c r="CC185" i="22"/>
  <c r="BP186" i="22"/>
  <c r="BT186" i="22"/>
  <c r="BF186" i="22" s="1"/>
  <c r="BX186" i="22"/>
  <c r="BJ186" i="22" s="1"/>
  <c r="CB186" i="22"/>
  <c r="BP187" i="22"/>
  <c r="BT187" i="22"/>
  <c r="BF187" i="22" s="1"/>
  <c r="BX187" i="22"/>
  <c r="BJ187" i="22" s="1"/>
  <c r="CB187" i="22"/>
  <c r="BO188" i="22"/>
  <c r="B188" i="22" s="1"/>
  <c r="BS188" i="22"/>
  <c r="BE188" i="22" s="1"/>
  <c r="BW188" i="22"/>
  <c r="BI188" i="22" s="1"/>
  <c r="CA188" i="22"/>
  <c r="BM188" i="22" s="1"/>
  <c r="BO189" i="22"/>
  <c r="B189" i="22" s="1"/>
  <c r="BS189" i="22"/>
  <c r="BE189" i="22" s="1"/>
  <c r="BW189" i="22"/>
  <c r="BI189" i="22" s="1"/>
  <c r="CA189" i="22"/>
  <c r="BM189" i="22" s="1"/>
  <c r="BO190" i="22"/>
  <c r="B190" i="22" s="1"/>
  <c r="BS190" i="22"/>
  <c r="BE190" i="22" s="1"/>
  <c r="BW190" i="22"/>
  <c r="BI190" i="22" s="1"/>
  <c r="CA190" i="22"/>
  <c r="BM190" i="22" s="1"/>
  <c r="BQ20" i="22"/>
  <c r="C20" i="22" s="1"/>
  <c r="BP24" i="22"/>
  <c r="BT30" i="22"/>
  <c r="BF30" i="22" s="1"/>
  <c r="BU34" i="22"/>
  <c r="BG34" i="22" s="1"/>
  <c r="BP36" i="22"/>
  <c r="BQ37" i="22"/>
  <c r="C37" i="22" s="1"/>
  <c r="CD40" i="22"/>
  <c r="BR42" i="22"/>
  <c r="BD42" i="22" s="1"/>
  <c r="CC43" i="22"/>
  <c r="BQ47" i="22"/>
  <c r="C47" i="22" s="1"/>
  <c r="BV48" i="22"/>
  <c r="BH48" i="22" s="1"/>
  <c r="CA49" i="22"/>
  <c r="BM49" i="22" s="1"/>
  <c r="BX50" i="22"/>
  <c r="BJ50" i="22" s="1"/>
  <c r="BQ51" i="22"/>
  <c r="C51" i="22" s="1"/>
  <c r="BY54" i="22"/>
  <c r="BK54" i="22" s="1"/>
  <c r="BX55" i="22"/>
  <c r="BJ55" i="22" s="1"/>
  <c r="BS57" i="22"/>
  <c r="BE57" i="22" s="1"/>
  <c r="BW58" i="22"/>
  <c r="BI58" i="22" s="1"/>
  <c r="BX59" i="22"/>
  <c r="BJ59" i="22" s="1"/>
  <c r="BP60" i="22"/>
  <c r="CD60" i="22"/>
  <c r="BW61" i="22"/>
  <c r="BI61" i="22" s="1"/>
  <c r="BV62" i="22"/>
  <c r="BH62" i="22" s="1"/>
  <c r="BW63" i="22"/>
  <c r="BI63" i="22" s="1"/>
  <c r="BP64" i="22"/>
  <c r="CD64" i="22"/>
  <c r="BT65" i="22"/>
  <c r="BF65" i="22" s="1"/>
  <c r="BW66" i="22"/>
  <c r="BI66" i="22" s="1"/>
  <c r="BY67" i="22"/>
  <c r="BK67" i="22" s="1"/>
  <c r="BP68" i="22"/>
  <c r="BY69" i="22"/>
  <c r="BK69" i="22" s="1"/>
  <c r="BV70" i="22"/>
  <c r="BH70" i="22" s="1"/>
  <c r="BV71" i="22"/>
  <c r="BH71" i="22" s="1"/>
  <c r="CB72" i="22"/>
  <c r="BX73" i="22"/>
  <c r="BJ73" i="22" s="1"/>
  <c r="BT74" i="22"/>
  <c r="BF74" i="22" s="1"/>
  <c r="BY75" i="22"/>
  <c r="BK75" i="22" s="1"/>
  <c r="BT76" i="22"/>
  <c r="BF76" i="22" s="1"/>
  <c r="CC77" i="22"/>
  <c r="BR78" i="22"/>
  <c r="BD78" i="22" s="1"/>
  <c r="BU79" i="22"/>
  <c r="BG79" i="22" s="1"/>
  <c r="BR80" i="22"/>
  <c r="BD80" i="22" s="1"/>
  <c r="BR81" i="22"/>
  <c r="BY82" i="22"/>
  <c r="BK82" i="22" s="1"/>
  <c r="CB83" i="22"/>
  <c r="BY84" i="22"/>
  <c r="BK84" i="22" s="1"/>
  <c r="BO85" i="22"/>
  <c r="B85" i="22" s="1"/>
  <c r="CD85" i="22"/>
  <c r="BT86" i="22"/>
  <c r="BF86" i="22" s="1"/>
  <c r="BW87" i="22"/>
  <c r="BI87" i="22" s="1"/>
  <c r="BX88" i="22"/>
  <c r="BJ88" i="22" s="1"/>
  <c r="BV89" i="22"/>
  <c r="BH89" i="22" s="1"/>
  <c r="BS90" i="22"/>
  <c r="BE90" i="22" s="1"/>
  <c r="CC90" i="22"/>
  <c r="BU91" i="22"/>
  <c r="BG91" i="22" s="1"/>
  <c r="CC91" i="22"/>
  <c r="BQ92" i="22"/>
  <c r="C92" i="22" s="1"/>
  <c r="BW92" i="22"/>
  <c r="BI92" i="22" s="1"/>
  <c r="BT93" i="22"/>
  <c r="BF93" i="22" s="1"/>
  <c r="CB93" i="22"/>
  <c r="BQ94" i="22"/>
  <c r="C94" i="22" s="1"/>
  <c r="BX94" i="22"/>
  <c r="BJ94" i="22" s="1"/>
  <c r="BO95" i="22"/>
  <c r="B95" i="22" s="1"/>
  <c r="BV95" i="22"/>
  <c r="BH95" i="22" s="1"/>
  <c r="CD95" i="22"/>
  <c r="BO96" i="22"/>
  <c r="B96" i="22" s="1"/>
  <c r="BV96" i="22"/>
  <c r="BH96" i="22" s="1"/>
  <c r="CD96" i="22"/>
  <c r="BR97" i="22"/>
  <c r="BX97" i="22"/>
  <c r="BJ97" i="22" s="1"/>
  <c r="BT98" i="22"/>
  <c r="BF98" i="22" s="1"/>
  <c r="CB98" i="22"/>
  <c r="BS99" i="22"/>
  <c r="BE99" i="22" s="1"/>
  <c r="BZ99" i="22"/>
  <c r="BL99" i="22" s="1"/>
  <c r="BQ100" i="22"/>
  <c r="C100" i="22" s="1"/>
  <c r="BX100" i="22"/>
  <c r="BJ100" i="22" s="1"/>
  <c r="CD100" i="22"/>
  <c r="BV101" i="22"/>
  <c r="BH101" i="22" s="1"/>
  <c r="CC101" i="22"/>
  <c r="BS102" i="22"/>
  <c r="BE102" i="22" s="1"/>
  <c r="CA102" i="22"/>
  <c r="BM102" i="22" s="1"/>
  <c r="BO103" i="22"/>
  <c r="B103" i="22" s="1"/>
  <c r="BW103" i="22"/>
  <c r="BI103" i="22" s="1"/>
  <c r="CC103" i="22"/>
  <c r="BO104" i="22"/>
  <c r="B104" i="22" s="1"/>
  <c r="BW104" i="22"/>
  <c r="BI104" i="22" s="1"/>
  <c r="CD104" i="22"/>
  <c r="BV105" i="22"/>
  <c r="BH105" i="22" s="1"/>
  <c r="CB105" i="22"/>
  <c r="BP106" i="22"/>
  <c r="BX106" i="22"/>
  <c r="BJ106" i="22" s="1"/>
  <c r="CC106" i="22"/>
  <c r="BR107" i="22"/>
  <c r="BD107" i="22" s="1"/>
  <c r="BW107" i="22"/>
  <c r="BI107" i="22" s="1"/>
  <c r="CC107" i="22"/>
  <c r="BP108" i="22"/>
  <c r="BV108" i="22"/>
  <c r="BH108" i="22" s="1"/>
  <c r="CA108" i="22"/>
  <c r="BM108" i="22" s="1"/>
  <c r="BS109" i="22"/>
  <c r="BE109" i="22" s="1"/>
  <c r="BX109" i="22"/>
  <c r="BJ109" i="22" s="1"/>
  <c r="CD109" i="22"/>
  <c r="BO110" i="22"/>
  <c r="B110" i="22" s="1"/>
  <c r="BU110" i="22"/>
  <c r="BG110" i="22" s="1"/>
  <c r="BZ110" i="22"/>
  <c r="BL110" i="22" s="1"/>
  <c r="BS111" i="22"/>
  <c r="BE111" i="22" s="1"/>
  <c r="BY111" i="22"/>
  <c r="BK111" i="22" s="1"/>
  <c r="CD111" i="22"/>
  <c r="BO112" i="22"/>
  <c r="B112" i="22" s="1"/>
  <c r="BT112" i="22"/>
  <c r="BF112" i="22" s="1"/>
  <c r="BY112" i="22"/>
  <c r="BK112" i="22" s="1"/>
  <c r="BP113" i="22"/>
  <c r="BU113" i="22"/>
  <c r="BG113" i="22" s="1"/>
  <c r="BZ113" i="22"/>
  <c r="BL113" i="22" s="1"/>
  <c r="BS114" i="22"/>
  <c r="BE114" i="22" s="1"/>
  <c r="BY114" i="22"/>
  <c r="BK114" i="22" s="1"/>
  <c r="CD114" i="22"/>
  <c r="BQ115" i="22"/>
  <c r="C115" i="22" s="1"/>
  <c r="BV115" i="22"/>
  <c r="BH115" i="22" s="1"/>
  <c r="CA115" i="22"/>
  <c r="BM115" i="22" s="1"/>
  <c r="BO116" i="22"/>
  <c r="B116" i="22" s="1"/>
  <c r="BT116" i="22"/>
  <c r="BF116" i="22" s="1"/>
  <c r="BZ116" i="22"/>
  <c r="BL116" i="22" s="1"/>
  <c r="BS117" i="22"/>
  <c r="BE117" i="22" s="1"/>
  <c r="BX117" i="22"/>
  <c r="BJ117" i="22" s="1"/>
  <c r="CC117" i="22"/>
  <c r="BP118" i="22"/>
  <c r="BU118" i="22"/>
  <c r="BG118" i="22" s="1"/>
  <c r="CA118" i="22"/>
  <c r="BM118" i="22" s="1"/>
  <c r="BS119" i="22"/>
  <c r="BE119" i="22" s="1"/>
  <c r="BX119" i="22"/>
  <c r="BJ119" i="22" s="1"/>
  <c r="CC119" i="22"/>
  <c r="BR120" i="22"/>
  <c r="BX120" i="22"/>
  <c r="BJ120" i="22" s="1"/>
  <c r="CC120" i="22"/>
  <c r="BR121" i="22"/>
  <c r="BD121" i="22" s="1"/>
  <c r="BW121" i="22"/>
  <c r="BI121" i="22" s="1"/>
  <c r="CB121" i="22"/>
  <c r="BQ122" i="22"/>
  <c r="C122" i="22" s="1"/>
  <c r="BW122" i="22"/>
  <c r="BI122" i="22" s="1"/>
  <c r="CB122" i="22"/>
  <c r="BS123" i="22"/>
  <c r="BE123" i="22" s="1"/>
  <c r="BY123" i="22"/>
  <c r="BK123" i="22" s="1"/>
  <c r="CD123" i="22"/>
  <c r="BQ124" i="22"/>
  <c r="C124" i="22" s="1"/>
  <c r="BV124" i="22"/>
  <c r="BH124" i="22" s="1"/>
  <c r="CA124" i="22"/>
  <c r="BM124" i="22" s="1"/>
  <c r="BP125" i="22"/>
  <c r="BU125" i="22"/>
  <c r="BG125" i="22" s="1"/>
  <c r="CA125" i="22"/>
  <c r="BM125" i="22" s="1"/>
  <c r="BQ126" i="22"/>
  <c r="C126" i="22" s="1"/>
  <c r="BV126" i="22"/>
  <c r="BH126" i="22" s="1"/>
  <c r="CA126" i="22"/>
  <c r="BM126" i="22" s="1"/>
  <c r="BQ127" i="22"/>
  <c r="C127" i="22" s="1"/>
  <c r="BV127" i="22"/>
  <c r="BH127" i="22" s="1"/>
  <c r="CB127" i="22"/>
  <c r="BQ128" i="22"/>
  <c r="C128" i="22" s="1"/>
  <c r="BW128" i="22"/>
  <c r="BI128" i="22" s="1"/>
  <c r="CB128" i="22"/>
  <c r="BQ129" i="22"/>
  <c r="C129" i="22" s="1"/>
  <c r="BV129" i="22"/>
  <c r="BH129" i="22" s="1"/>
  <c r="CA129" i="22"/>
  <c r="BM129" i="22" s="1"/>
  <c r="BP130" i="22"/>
  <c r="BU130" i="22"/>
  <c r="BG130" i="22" s="1"/>
  <c r="CA130" i="22"/>
  <c r="BM130" i="22" s="1"/>
  <c r="BS131" i="22"/>
  <c r="BE131" i="22" s="1"/>
  <c r="BX131" i="22"/>
  <c r="BJ131" i="22" s="1"/>
  <c r="CD131" i="22"/>
  <c r="BS132" i="22"/>
  <c r="BE132" i="22" s="1"/>
  <c r="BX132" i="22"/>
  <c r="BJ132" i="22" s="1"/>
  <c r="CC132" i="22"/>
  <c r="BO133" i="22"/>
  <c r="B133" i="22" s="1"/>
  <c r="BT133" i="22"/>
  <c r="BF133" i="22" s="1"/>
  <c r="BZ133" i="22"/>
  <c r="BL133" i="22" s="1"/>
  <c r="BS134" i="22"/>
  <c r="BE134" i="22" s="1"/>
  <c r="BX134" i="22"/>
  <c r="BJ134" i="22" s="1"/>
  <c r="CC134" i="22"/>
  <c r="BR135" i="22"/>
  <c r="BD135" i="22" s="1"/>
  <c r="BX135" i="22"/>
  <c r="BJ135" i="22" s="1"/>
  <c r="CC135" i="22"/>
  <c r="BT136" i="22"/>
  <c r="BF136" i="22" s="1"/>
  <c r="BY136" i="22"/>
  <c r="BK136" i="22" s="1"/>
  <c r="CD136" i="22"/>
  <c r="BP137" i="22"/>
  <c r="BU137" i="22"/>
  <c r="BG137" i="22" s="1"/>
  <c r="BZ137" i="22"/>
  <c r="BL137" i="22" s="1"/>
  <c r="BP138" i="22"/>
  <c r="BU138" i="22"/>
  <c r="BG138" i="22" s="1"/>
  <c r="CA138" i="22"/>
  <c r="BM138" i="22" s="1"/>
  <c r="BS139" i="22"/>
  <c r="BE139" i="22" s="1"/>
  <c r="BX139" i="22"/>
  <c r="BJ139" i="22" s="1"/>
  <c r="CC139" i="22"/>
  <c r="BP140" i="22"/>
  <c r="BU140" i="22"/>
  <c r="BG140" i="22" s="1"/>
  <c r="CA140" i="22"/>
  <c r="BM140" i="22" s="1"/>
  <c r="BO141" i="22"/>
  <c r="B141" i="22" s="1"/>
  <c r="BU141" i="22"/>
  <c r="BG141" i="22" s="1"/>
  <c r="BZ141" i="22"/>
  <c r="BL141" i="22" s="1"/>
  <c r="BQ142" i="22"/>
  <c r="C142" i="22" s="1"/>
  <c r="BV142" i="22"/>
  <c r="BH142" i="22" s="1"/>
  <c r="CB142" i="22"/>
  <c r="BR143" i="22"/>
  <c r="BX143" i="22"/>
  <c r="BJ143" i="22" s="1"/>
  <c r="CC143" i="22"/>
  <c r="BO144" i="22"/>
  <c r="B144" i="22" s="1"/>
  <c r="BU144" i="22"/>
  <c r="BG144" i="22" s="1"/>
  <c r="BZ144" i="22"/>
  <c r="BL144" i="22" s="1"/>
  <c r="BP145" i="22"/>
  <c r="BU145" i="22"/>
  <c r="BG145" i="22" s="1"/>
  <c r="CA145" i="22"/>
  <c r="BM145" i="22" s="1"/>
  <c r="BO146" i="22"/>
  <c r="B146" i="22" s="1"/>
  <c r="BT146" i="22"/>
  <c r="BF146" i="22" s="1"/>
  <c r="BY146" i="22"/>
  <c r="BK146" i="22" s="1"/>
  <c r="BS147" i="22"/>
  <c r="BX147" i="22"/>
  <c r="BJ147" i="22" s="1"/>
  <c r="CC147" i="22"/>
  <c r="BQ148" i="22"/>
  <c r="C148" i="22" s="1"/>
  <c r="BV148" i="22"/>
  <c r="BH148" i="22" s="1"/>
  <c r="CB148" i="22"/>
  <c r="BQ149" i="22"/>
  <c r="C149" i="22" s="1"/>
  <c r="BV149" i="22"/>
  <c r="BH149" i="22" s="1"/>
  <c r="CB149" i="22"/>
  <c r="BR150" i="22"/>
  <c r="BD150" i="22" s="1"/>
  <c r="BW150" i="22"/>
  <c r="BI150" i="22" s="1"/>
  <c r="CC150" i="22"/>
  <c r="BO151" i="22"/>
  <c r="B151" i="22" s="1"/>
  <c r="BT151" i="22"/>
  <c r="BF151" i="22" s="1"/>
  <c r="BZ151" i="22"/>
  <c r="BL151" i="22" s="1"/>
  <c r="BP152" i="22"/>
  <c r="BV152" i="22"/>
  <c r="BH152" i="22" s="1"/>
  <c r="CA152" i="22"/>
  <c r="BM152" i="22" s="1"/>
  <c r="BO153" i="22"/>
  <c r="B153" i="22" s="1"/>
  <c r="BU153" i="22"/>
  <c r="BG153" i="22" s="1"/>
  <c r="BZ153" i="22"/>
  <c r="BL153" i="22" s="1"/>
  <c r="BS154" i="22"/>
  <c r="BE154" i="22" s="1"/>
  <c r="BX154" i="22"/>
  <c r="BJ154" i="22" s="1"/>
  <c r="CC154" i="22"/>
  <c r="BR155" i="22"/>
  <c r="BW155" i="22"/>
  <c r="BI155" i="22" s="1"/>
  <c r="CC155" i="22"/>
  <c r="BR156" i="22"/>
  <c r="BD156" i="22" s="1"/>
  <c r="BX156" i="22"/>
  <c r="BJ156" i="22" s="1"/>
  <c r="CC156" i="22"/>
  <c r="BP157" i="22"/>
  <c r="BV157" i="22"/>
  <c r="BH157" i="22" s="1"/>
  <c r="CA157" i="22"/>
  <c r="BM157" i="22" s="1"/>
  <c r="BR158" i="22"/>
  <c r="BD158" i="22" s="1"/>
  <c r="BW158" i="22"/>
  <c r="BI158" i="22" s="1"/>
  <c r="CB158" i="22"/>
  <c r="BR159" i="22"/>
  <c r="BD159" i="22" s="1"/>
  <c r="BW159" i="22"/>
  <c r="BI159" i="22" s="1"/>
  <c r="CC159" i="22"/>
  <c r="CA30" i="22"/>
  <c r="BM30" i="22" s="1"/>
  <c r="BV32" i="22"/>
  <c r="BH32" i="22" s="1"/>
  <c r="BO35" i="22"/>
  <c r="B35" i="22" s="1"/>
  <c r="BW36" i="22"/>
  <c r="BI36" i="22" s="1"/>
  <c r="CD39" i="22"/>
  <c r="BW42" i="22"/>
  <c r="BI42" i="22" s="1"/>
  <c r="CD43" i="22"/>
  <c r="BT46" i="22"/>
  <c r="BF46" i="22" s="1"/>
  <c r="BU47" i="22"/>
  <c r="BG47" i="22" s="1"/>
  <c r="CB50" i="22"/>
  <c r="CB51" i="22"/>
  <c r="BT53" i="22"/>
  <c r="BF53" i="22" s="1"/>
  <c r="BO56" i="22"/>
  <c r="B56" i="22" s="1"/>
  <c r="CC58" i="22"/>
  <c r="CA59" i="22"/>
  <c r="BM59" i="22" s="1"/>
  <c r="BR60" i="22"/>
  <c r="BD60" i="22" s="1"/>
  <c r="BX61" i="22"/>
  <c r="BJ61" i="22" s="1"/>
  <c r="CB62" i="22"/>
  <c r="BZ63" i="22"/>
  <c r="BL63" i="22" s="1"/>
  <c r="BR64" i="22"/>
  <c r="BW65" i="22"/>
  <c r="BI65" i="22" s="1"/>
  <c r="CB66" i="22"/>
  <c r="CB67" i="22"/>
  <c r="BV68" i="22"/>
  <c r="BH68" i="22" s="1"/>
  <c r="BQ69" i="22"/>
  <c r="C69" i="22" s="1"/>
  <c r="CA70" i="22"/>
  <c r="BM70" i="22" s="1"/>
  <c r="BW71" i="22"/>
  <c r="BI71" i="22" s="1"/>
  <c r="BP72" i="22"/>
  <c r="CC72" i="22"/>
  <c r="BY73" i="22"/>
  <c r="BK73" i="22" s="1"/>
  <c r="BY74" i="22"/>
  <c r="BK74" i="22" s="1"/>
  <c r="BP75" i="22"/>
  <c r="BY76" i="22"/>
  <c r="BK76" i="22" s="1"/>
  <c r="BT77" i="22"/>
  <c r="BF77" i="22" s="1"/>
  <c r="BT78" i="22"/>
  <c r="BF78" i="22" s="1"/>
  <c r="BV79" i="22"/>
  <c r="BH79" i="22" s="1"/>
  <c r="BW80" i="22"/>
  <c r="BI80" i="22" s="1"/>
  <c r="BS81" i="22"/>
  <c r="BE81" i="22" s="1"/>
  <c r="BZ82" i="22"/>
  <c r="BL82" i="22" s="1"/>
  <c r="BP83" i="22"/>
  <c r="CC83" i="22"/>
  <c r="BZ84" i="22"/>
  <c r="BL84" i="22" s="1"/>
  <c r="BR85" i="22"/>
  <c r="BV86" i="22"/>
  <c r="BH86" i="22" s="1"/>
  <c r="CA87" i="22"/>
  <c r="BM87" i="22" s="1"/>
  <c r="BO88" i="22"/>
  <c r="B88" i="22" s="1"/>
  <c r="BY88" i="22"/>
  <c r="BK88" i="22" s="1"/>
  <c r="BX89" i="22"/>
  <c r="BJ89" i="22" s="1"/>
  <c r="BW90" i="22"/>
  <c r="BI90" i="22" s="1"/>
  <c r="CD90" i="22"/>
  <c r="BP91" i="22"/>
  <c r="BX91" i="22"/>
  <c r="BJ91" i="22" s="1"/>
  <c r="CD91" i="22"/>
  <c r="BR92" i="22"/>
  <c r="BD92" i="22" s="1"/>
  <c r="BZ92" i="22"/>
  <c r="BL92" i="22" s="1"/>
  <c r="BO93" i="22"/>
  <c r="B93" i="22" s="1"/>
  <c r="BW93" i="22"/>
  <c r="BI93" i="22" s="1"/>
  <c r="CD93" i="22"/>
  <c r="BR94" i="22"/>
  <c r="BD94" i="22" s="1"/>
  <c r="BZ94" i="22"/>
  <c r="BL94" i="22" s="1"/>
  <c r="BP95" i="22"/>
  <c r="BX95" i="22"/>
  <c r="BJ95" i="22" s="1"/>
  <c r="BQ96" i="22"/>
  <c r="C96" i="22" s="1"/>
  <c r="BY96" i="22"/>
  <c r="BK96" i="22" s="1"/>
  <c r="BS97" i="22"/>
  <c r="BE97" i="22" s="1"/>
  <c r="CA97" i="22"/>
  <c r="BM97" i="22" s="1"/>
  <c r="BO98" i="22"/>
  <c r="B98" i="22" s="1"/>
  <c r="BW98" i="22"/>
  <c r="BI98" i="22" s="1"/>
  <c r="CD98" i="22"/>
  <c r="BU99" i="22"/>
  <c r="BG99" i="22" s="1"/>
  <c r="CC99" i="22"/>
  <c r="BR100" i="22"/>
  <c r="BD100" i="22" s="1"/>
  <c r="BY100" i="22"/>
  <c r="BK100" i="22" s="1"/>
  <c r="BQ101" i="22"/>
  <c r="C101" i="22" s="1"/>
  <c r="BX101" i="22"/>
  <c r="BJ101" i="22" s="1"/>
  <c r="CD101" i="22"/>
  <c r="BU102" i="22"/>
  <c r="BG102" i="22" s="1"/>
  <c r="CB102" i="22"/>
  <c r="BQ103" i="22"/>
  <c r="C103" i="22" s="1"/>
  <c r="BX103" i="22"/>
  <c r="BJ103" i="22" s="1"/>
  <c r="BR104" i="22"/>
  <c r="BY104" i="22"/>
  <c r="BK104" i="22" s="1"/>
  <c r="BP105" i="22"/>
  <c r="BW105" i="22"/>
  <c r="BI105" i="22" s="1"/>
  <c r="CD105" i="22"/>
  <c r="BS106" i="22"/>
  <c r="BE106" i="22" s="1"/>
  <c r="BY106" i="22"/>
  <c r="BK106" i="22" s="1"/>
  <c r="CD106" i="22"/>
  <c r="BS107" i="22"/>
  <c r="BE107" i="22" s="1"/>
  <c r="BY107" i="22"/>
  <c r="BK107" i="22" s="1"/>
  <c r="CD107" i="22"/>
  <c r="BR108" i="22"/>
  <c r="BD108" i="22" s="1"/>
  <c r="BW108" i="22"/>
  <c r="BI108" i="22" s="1"/>
  <c r="CB108" i="22"/>
  <c r="BO109" i="22"/>
  <c r="B109" i="22" s="1"/>
  <c r="BT109" i="22"/>
  <c r="BF109" i="22" s="1"/>
  <c r="BZ109" i="22"/>
  <c r="BL109" i="22" s="1"/>
  <c r="BQ110" i="22"/>
  <c r="C110" i="22" s="1"/>
  <c r="BV110" i="22"/>
  <c r="BH110" i="22" s="1"/>
  <c r="CA110" i="22"/>
  <c r="BM110" i="22" s="1"/>
  <c r="BO111" i="22"/>
  <c r="B111" i="22" s="1"/>
  <c r="BU111" i="22"/>
  <c r="BG111" i="22" s="1"/>
  <c r="BZ111" i="22"/>
  <c r="BL111" i="22" s="1"/>
  <c r="BP112" i="22"/>
  <c r="BU112" i="22"/>
  <c r="BG112" i="22" s="1"/>
  <c r="CA112" i="22"/>
  <c r="BM112" i="22" s="1"/>
  <c r="BQ113" i="22"/>
  <c r="C113" i="22" s="1"/>
  <c r="BV113" i="22"/>
  <c r="BH113" i="22" s="1"/>
  <c r="CB113" i="22"/>
  <c r="BO114" i="22"/>
  <c r="BU114" i="22"/>
  <c r="BG114" i="22" s="1"/>
  <c r="BZ114" i="22"/>
  <c r="BL114" i="22" s="1"/>
  <c r="BR115" i="22"/>
  <c r="BD115" i="22" s="1"/>
  <c r="BW115" i="22"/>
  <c r="BI115" i="22" s="1"/>
  <c r="CC115" i="22"/>
  <c r="BP116" i="22"/>
  <c r="BV116" i="22"/>
  <c r="BH116" i="22" s="1"/>
  <c r="CA116" i="22"/>
  <c r="BM116" i="22" s="1"/>
  <c r="BO117" i="22"/>
  <c r="B117" i="22" s="1"/>
  <c r="BT117" i="22"/>
  <c r="BF117" i="22" s="1"/>
  <c r="BY117" i="22"/>
  <c r="BK117" i="22" s="1"/>
  <c r="BQ118" i="22"/>
  <c r="C118" i="22" s="1"/>
  <c r="BW118" i="22"/>
  <c r="BI118" i="22" s="1"/>
  <c r="CB118" i="22"/>
  <c r="BO119" i="22"/>
  <c r="B119" i="22" s="1"/>
  <c r="BT119" i="22"/>
  <c r="BF119" i="22" s="1"/>
  <c r="BY119" i="22"/>
  <c r="BK119" i="22" s="1"/>
  <c r="BT120" i="22"/>
  <c r="BF120" i="22" s="1"/>
  <c r="BY120" i="22"/>
  <c r="BK120" i="22" s="1"/>
  <c r="CD120" i="22"/>
  <c r="BS121" i="22"/>
  <c r="BE121" i="22" s="1"/>
  <c r="BX121" i="22"/>
  <c r="BJ121" i="22" s="1"/>
  <c r="CD121" i="22"/>
  <c r="BS122" i="22"/>
  <c r="BE122" i="22" s="1"/>
  <c r="BX122" i="22"/>
  <c r="BJ122" i="22" s="1"/>
  <c r="CC122" i="22"/>
  <c r="BO123" i="22"/>
  <c r="B123" i="22" s="1"/>
  <c r="BU123" i="22"/>
  <c r="BG123" i="22" s="1"/>
  <c r="BZ123" i="22"/>
  <c r="BL123" i="22" s="1"/>
  <c r="BR124" i="22"/>
  <c r="BD124" i="22" s="1"/>
  <c r="BW124" i="22"/>
  <c r="BI124" i="22" s="1"/>
  <c r="CC124" i="22"/>
  <c r="BQ125" i="22"/>
  <c r="C125" i="22" s="1"/>
  <c r="BW125" i="22"/>
  <c r="BI125" i="22" s="1"/>
  <c r="CB125" i="22"/>
  <c r="BR126" i="22"/>
  <c r="BD126" i="22" s="1"/>
  <c r="BW126" i="22"/>
  <c r="BI126" i="22" s="1"/>
  <c r="CC126" i="22"/>
  <c r="BR127" i="22"/>
  <c r="BX127" i="22"/>
  <c r="BJ127" i="22" s="1"/>
  <c r="CC127" i="22"/>
  <c r="BS128" i="22"/>
  <c r="BE128" i="22" s="1"/>
  <c r="BX128" i="22"/>
  <c r="BJ128" i="22" s="1"/>
  <c r="CC128" i="22"/>
  <c r="BR129" i="22"/>
  <c r="BD129" i="22" s="1"/>
  <c r="BW129" i="22"/>
  <c r="BI129" i="22" s="1"/>
  <c r="CC129" i="22"/>
  <c r="BQ130" i="22"/>
  <c r="C130" i="22" s="1"/>
  <c r="BW130" i="22"/>
  <c r="BI130" i="22" s="1"/>
  <c r="CB130" i="22"/>
  <c r="BO131" i="22"/>
  <c r="B131" i="22" s="1"/>
  <c r="BT131" i="22"/>
  <c r="BF131" i="22" s="1"/>
  <c r="BZ131" i="22"/>
  <c r="BL131" i="22" s="1"/>
  <c r="BO132" i="22"/>
  <c r="B132" i="22" s="1"/>
  <c r="BT132" i="22"/>
  <c r="BF132" i="22" s="1"/>
  <c r="BY132" i="22"/>
  <c r="BK132" i="22" s="1"/>
  <c r="BP133" i="22"/>
  <c r="BV133" i="22"/>
  <c r="BH133" i="22" s="1"/>
  <c r="CA133" i="22"/>
  <c r="BM133" i="22" s="1"/>
  <c r="BO134" i="22"/>
  <c r="B134" i="22" s="1"/>
  <c r="BT134" i="22"/>
  <c r="BF134" i="22" s="1"/>
  <c r="BY134" i="22"/>
  <c r="BK134" i="22" s="1"/>
  <c r="BT135" i="22"/>
  <c r="BF135" i="22" s="1"/>
  <c r="BY135" i="22"/>
  <c r="BK135" i="22" s="1"/>
  <c r="CD135" i="22"/>
  <c r="BP136" i="22"/>
  <c r="BU136" i="22"/>
  <c r="BG136" i="22" s="1"/>
  <c r="BZ136" i="22"/>
  <c r="BL136" i="22" s="1"/>
  <c r="BQ137" i="22"/>
  <c r="C137" i="22" s="1"/>
  <c r="BV137" i="22"/>
  <c r="BH137" i="22" s="1"/>
  <c r="CB137" i="22"/>
  <c r="BQ138" i="22"/>
  <c r="C138" i="22" s="1"/>
  <c r="BW138" i="22"/>
  <c r="BI138" i="22" s="1"/>
  <c r="CB138" i="22"/>
  <c r="BO139" i="22"/>
  <c r="B139" i="22" s="1"/>
  <c r="BT139" i="22"/>
  <c r="BY139" i="22"/>
  <c r="BK139" i="22" s="1"/>
  <c r="BQ140" i="22"/>
  <c r="C140" i="22" s="1"/>
  <c r="BW140" i="22"/>
  <c r="BI140" i="22" s="1"/>
  <c r="CB140" i="22"/>
  <c r="BQ141" i="22"/>
  <c r="C141" i="22" s="1"/>
  <c r="BV141" i="22"/>
  <c r="BH141" i="22" s="1"/>
  <c r="CA141" i="22"/>
  <c r="BM141" i="22" s="1"/>
  <c r="BR142" i="22"/>
  <c r="BX142" i="22"/>
  <c r="BJ142" i="22" s="1"/>
  <c r="CC142" i="22"/>
  <c r="BT143" i="22"/>
  <c r="BF143" i="22" s="1"/>
  <c r="BY143" i="22"/>
  <c r="BK143" i="22" s="1"/>
  <c r="CD143" i="22"/>
  <c r="BQ144" i="22"/>
  <c r="C144" i="22" s="1"/>
  <c r="BV144" i="22"/>
  <c r="BH144" i="22" s="1"/>
  <c r="CA144" i="22"/>
  <c r="BM144" i="22" s="1"/>
  <c r="BQ145" i="22"/>
  <c r="C145" i="22" s="1"/>
  <c r="BW145" i="22"/>
  <c r="BI145" i="22" s="1"/>
  <c r="CB145" i="22"/>
  <c r="BP146" i="22"/>
  <c r="BU146" i="22"/>
  <c r="BG146" i="22" s="1"/>
  <c r="CA146" i="22"/>
  <c r="BM146" i="22" s="1"/>
  <c r="BO147" i="22"/>
  <c r="B147" i="22" s="1"/>
  <c r="BT147" i="22"/>
  <c r="BF147" i="22" s="1"/>
  <c r="BY147" i="22"/>
  <c r="BK147" i="22" s="1"/>
  <c r="BR148" i="22"/>
  <c r="BD148" i="22" s="1"/>
  <c r="BX148" i="22"/>
  <c r="BJ148" i="22" s="1"/>
  <c r="CC148" i="22"/>
  <c r="BR149" i="22"/>
  <c r="BX149" i="22"/>
  <c r="BJ149" i="22" s="1"/>
  <c r="CC149" i="22"/>
  <c r="BS150" i="22"/>
  <c r="BE150" i="22" s="1"/>
  <c r="BY150" i="22"/>
  <c r="BK150" i="22" s="1"/>
  <c r="CD150" i="22"/>
  <c r="BP151" i="22"/>
  <c r="BV151" i="22"/>
  <c r="BH151" i="22" s="1"/>
  <c r="CA151" i="22"/>
  <c r="BM151" i="22" s="1"/>
  <c r="BR152" i="22"/>
  <c r="BD152" i="22" s="1"/>
  <c r="BW152" i="22"/>
  <c r="BI152" i="22" s="1"/>
  <c r="CB152" i="22"/>
  <c r="BQ153" i="22"/>
  <c r="C153" i="22" s="1"/>
  <c r="BV153" i="22"/>
  <c r="BH153" i="22" s="1"/>
  <c r="CA153" i="22"/>
  <c r="BM153" i="22" s="1"/>
  <c r="BO154" i="22"/>
  <c r="B154" i="22" s="1"/>
  <c r="BT154" i="22"/>
  <c r="BF154" i="22" s="1"/>
  <c r="BY154" i="22"/>
  <c r="BK154" i="22" s="1"/>
  <c r="BS155" i="22"/>
  <c r="BE155" i="22" s="1"/>
  <c r="BY155" i="22"/>
  <c r="BK155" i="22" s="1"/>
  <c r="CD155" i="22"/>
  <c r="BT156" i="22"/>
  <c r="BF156" i="22" s="1"/>
  <c r="BY156" i="22"/>
  <c r="BK156" i="22" s="1"/>
  <c r="CD156" i="22"/>
  <c r="BR157" i="22"/>
  <c r="BW157" i="22"/>
  <c r="BI157" i="22" s="1"/>
  <c r="CB157" i="22"/>
  <c r="BS158" i="22"/>
  <c r="BE158" i="22" s="1"/>
  <c r="BX158" i="22"/>
  <c r="BJ158" i="22" s="1"/>
  <c r="CD158" i="22"/>
  <c r="BS159" i="22"/>
  <c r="BE159" i="22" s="1"/>
  <c r="BY159" i="22"/>
  <c r="BK159" i="22" s="1"/>
  <c r="BT17" i="22"/>
  <c r="BF17" i="22" s="1"/>
  <c r="CC29" i="22"/>
  <c r="BW35" i="22"/>
  <c r="BI35" i="22" s="1"/>
  <c r="BQ38" i="22"/>
  <c r="C38" i="22" s="1"/>
  <c r="BT41" i="22"/>
  <c r="BF41" i="22" s="1"/>
  <c r="BE144" i="22"/>
  <c r="BD110" i="22"/>
  <c r="BU92" i="22"/>
  <c r="BG92" i="22" s="1"/>
  <c r="BZ91" i="22"/>
  <c r="BL91" i="22" s="1"/>
  <c r="BR90" i="22"/>
  <c r="BD90" i="22" s="1"/>
  <c r="CB89" i="22"/>
  <c r="CC88" i="22"/>
  <c r="CB87" i="22"/>
  <c r="CB86" i="22"/>
  <c r="BW83" i="22"/>
  <c r="BI83" i="22" s="1"/>
  <c r="BS82" i="22"/>
  <c r="BE82" i="22" s="1"/>
  <c r="BX80" i="22"/>
  <c r="BJ80" i="22" s="1"/>
  <c r="BY78" i="22"/>
  <c r="BK78" i="22" s="1"/>
  <c r="CB77" i="22"/>
  <c r="BQ76" i="22"/>
  <c r="C76" i="22" s="1"/>
  <c r="BZ74" i="22"/>
  <c r="BL74" i="22" s="1"/>
  <c r="BP73" i="22"/>
  <c r="CC71" i="22"/>
  <c r="BO70" i="22"/>
  <c r="BW68" i="22"/>
  <c r="BI68" i="22" s="1"/>
  <c r="BR67" i="22"/>
  <c r="BO66" i="22"/>
  <c r="B66" i="22" s="1"/>
  <c r="BO65" i="22"/>
  <c r="B65" i="22" s="1"/>
  <c r="BX64" i="22"/>
  <c r="BJ64" i="22" s="1"/>
  <c r="BP63" i="22"/>
  <c r="BR61" i="22"/>
  <c r="BD61" i="22" s="1"/>
  <c r="BW60" i="22"/>
  <c r="BI60" i="22" s="1"/>
  <c r="BQ59" i="22"/>
  <c r="C59" i="22" s="1"/>
  <c r="CD58" i="22"/>
  <c r="CC57" i="22"/>
  <c r="BX57" i="22"/>
  <c r="BJ57" i="22" s="1"/>
  <c r="BT57" i="22"/>
  <c r="BF57" i="22" s="1"/>
  <c r="BX56" i="22"/>
  <c r="BJ56" i="22" s="1"/>
  <c r="BT55" i="22"/>
  <c r="BF55" i="22" s="1"/>
  <c r="BO54" i="22"/>
  <c r="B54" i="22" s="1"/>
  <c r="BO50" i="22"/>
  <c r="B50" i="22" s="1"/>
  <c r="BR45" i="22"/>
  <c r="BD45" i="22" s="1"/>
  <c r="BZ31" i="22"/>
  <c r="BL31" i="22" s="1"/>
  <c r="CA9" i="22"/>
  <c r="BM9" i="22" s="1"/>
  <c r="BD89" i="22"/>
  <c r="BX85" i="22"/>
  <c r="BJ85" i="22" s="1"/>
  <c r="BT84" i="22"/>
  <c r="BF84" i="22" s="1"/>
  <c r="BU83" i="22"/>
  <c r="BG83" i="22" s="1"/>
  <c r="BR82" i="22"/>
  <c r="BD82" i="22" s="1"/>
  <c r="BZ81" i="22"/>
  <c r="BL81" i="22" s="1"/>
  <c r="BP80" i="22"/>
  <c r="CD79" i="22"/>
  <c r="BV77" i="22"/>
  <c r="BH77" i="22" s="1"/>
  <c r="BQ74" i="22"/>
  <c r="C74" i="22" s="1"/>
  <c r="BW72" i="22"/>
  <c r="BI72" i="22" s="1"/>
  <c r="BQ71" i="22"/>
  <c r="C71" i="22" s="1"/>
  <c r="BX69" i="22"/>
  <c r="BJ69" i="22" s="1"/>
  <c r="BO68" i="22"/>
  <c r="B68" i="22" s="1"/>
  <c r="BO61" i="22"/>
  <c r="B61" i="22" s="1"/>
  <c r="BU58" i="22"/>
  <c r="BG58" i="22" s="1"/>
  <c r="CC55" i="22"/>
  <c r="CB52" i="22"/>
  <c r="BU46" i="22"/>
  <c r="BG46" i="22" s="1"/>
  <c r="BW41" i="22"/>
  <c r="BI41" i="22" s="1"/>
  <c r="CD27" i="22"/>
  <c r="BD109" i="22"/>
  <c r="CD97" i="22"/>
  <c r="BP97" i="22"/>
  <c r="CA96" i="22"/>
  <c r="BM96" i="22" s="1"/>
  <c r="BZ95" i="22"/>
  <c r="BL95" i="22" s="1"/>
  <c r="CB94" i="22"/>
  <c r="BX93" i="22"/>
  <c r="BJ93" i="22" s="1"/>
  <c r="CA92" i="22"/>
  <c r="BM92" i="22" s="1"/>
  <c r="BT91" i="22"/>
  <c r="BF91" i="22" s="1"/>
  <c r="BZ90" i="22"/>
  <c r="BL90" i="22" s="1"/>
  <c r="BQ89" i="22"/>
  <c r="C89" i="22" s="1"/>
  <c r="BS88" i="22"/>
  <c r="BE88" i="22" s="1"/>
  <c r="BP87" i="22"/>
  <c r="BO86" i="22"/>
  <c r="B86" i="22" s="1"/>
  <c r="BW85" i="22"/>
  <c r="BI85" i="22" s="1"/>
  <c r="BQ84" i="22"/>
  <c r="C84" i="22" s="1"/>
  <c r="BX81" i="22"/>
  <c r="BJ81" i="22" s="1"/>
  <c r="CA79" i="22"/>
  <c r="BM79" i="22" s="1"/>
  <c r="BX75" i="22"/>
  <c r="BJ75" i="22" s="1"/>
  <c r="CD73" i="22"/>
  <c r="BU72" i="22"/>
  <c r="BG72" i="22" s="1"/>
  <c r="CC70" i="22"/>
  <c r="BS69" i="22"/>
  <c r="BE69" i="22" s="1"/>
  <c r="CD66" i="22"/>
  <c r="CC65" i="22"/>
  <c r="CC62" i="22"/>
  <c r="BO58" i="22"/>
  <c r="B58" i="22" s="1"/>
  <c r="BW55" i="22"/>
  <c r="BI55" i="22" s="1"/>
  <c r="BS55" i="22"/>
  <c r="BE55" i="22" s="1"/>
  <c r="CC53" i="22"/>
  <c r="BP52" i="22"/>
  <c r="BP51" i="22"/>
  <c r="BR48" i="22"/>
  <c r="BD48" i="22" s="1"/>
  <c r="BY44" i="22"/>
  <c r="BK44" i="22" s="1"/>
  <c r="BP34" i="22"/>
  <c r="BT25" i="22"/>
  <c r="BF25" i="22" s="1"/>
  <c r="BX183" i="22"/>
  <c r="BJ183" i="22" s="1"/>
  <c r="BT183" i="22"/>
  <c r="BF183" i="22" s="1"/>
  <c r="BV57" i="22"/>
  <c r="BH57" i="22" s="1"/>
  <c r="BR56" i="22"/>
  <c r="BD56" i="22" s="1"/>
  <c r="CD56" i="22"/>
  <c r="CD57" i="22"/>
  <c r="BY57" i="22"/>
  <c r="BK57" i="22" s="1"/>
  <c r="BU57" i="22"/>
  <c r="BG57" i="22" s="1"/>
  <c r="BS56" i="22"/>
  <c r="BE56" i="22" s="1"/>
  <c r="BY55" i="22"/>
  <c r="BK55" i="22" s="1"/>
  <c r="BU55" i="22"/>
  <c r="BG55" i="22" s="1"/>
  <c r="CB57" i="22"/>
  <c r="CC56" i="22"/>
  <c r="BU25" i="22"/>
  <c r="BG25" i="22" s="1"/>
  <c r="BW25" i="22"/>
  <c r="BI25" i="22" s="1"/>
  <c r="CA22" i="22"/>
  <c r="BM22" i="22" s="1"/>
  <c r="BW22" i="22"/>
  <c r="BI22" i="22" s="1"/>
  <c r="BS22" i="22"/>
  <c r="BE22" i="22" s="1"/>
  <c r="BD183" i="22"/>
  <c r="BZ173" i="22"/>
  <c r="BL173" i="22" s="1"/>
  <c r="EQ173" i="22"/>
  <c r="BV173" i="22"/>
  <c r="BH173" i="22" s="1"/>
  <c r="EM173" i="22"/>
  <c r="BR173" i="22"/>
  <c r="EI173" i="22"/>
  <c r="BD172" i="22"/>
  <c r="BD157" i="22"/>
  <c r="BE194" i="22"/>
  <c r="BD190" i="22"/>
  <c r="BD184" i="22"/>
  <c r="ER183" i="22"/>
  <c r="EN183" i="22"/>
  <c r="EJ183" i="22"/>
  <c r="BY174" i="22"/>
  <c r="BK174" i="22" s="1"/>
  <c r="BD161" i="22"/>
  <c r="EQ183" i="22"/>
  <c r="EM183" i="22"/>
  <c r="EI183" i="22"/>
  <c r="BY173" i="22"/>
  <c r="BK173" i="22" s="1"/>
  <c r="BD180" i="22"/>
  <c r="BD179" i="22"/>
  <c r="BZ174" i="22"/>
  <c r="BL174" i="22" s="1"/>
  <c r="EQ174" i="22"/>
  <c r="BV174" i="22"/>
  <c r="BH174" i="22" s="1"/>
  <c r="EM174" i="22"/>
  <c r="BR174" i="22"/>
  <c r="EI174" i="22"/>
  <c r="BU174" i="22"/>
  <c r="BG174" i="22" s="1"/>
  <c r="BD155" i="22"/>
  <c r="BD127" i="22"/>
  <c r="BD106" i="22"/>
  <c r="BD104" i="22"/>
  <c r="BD102" i="22"/>
  <c r="BD96" i="22"/>
  <c r="BD97" i="22"/>
  <c r="BD130" i="22"/>
  <c r="BD118" i="22"/>
  <c r="BD99" i="22"/>
  <c r="BD57" i="22"/>
  <c r="BD85" i="22"/>
  <c r="BD71" i="22"/>
  <c r="BD73" i="22"/>
  <c r="BD64" i="22"/>
  <c r="BD76" i="22"/>
  <c r="BF62" i="22"/>
  <c r="BD54" i="22"/>
  <c r="BE46" i="22"/>
  <c r="BD55" i="22"/>
  <c r="BD39" i="22"/>
  <c r="BD32" i="22"/>
  <c r="BW56" i="22"/>
  <c r="BI56" i="22" s="1"/>
  <c r="EN56" i="22"/>
  <c r="BE45" i="22"/>
  <c r="BE43" i="22"/>
  <c r="CD55" i="22"/>
  <c r="BD52" i="22"/>
  <c r="CB55" i="22"/>
  <c r="BD40" i="22"/>
  <c r="BD49" i="22"/>
  <c r="BY25" i="22"/>
  <c r="BK25" i="22" s="1"/>
  <c r="EP25" i="22"/>
  <c r="CD24" i="22"/>
  <c r="EU24" i="22"/>
  <c r="BZ24" i="22"/>
  <c r="BL24" i="22" s="1"/>
  <c r="EQ24" i="22"/>
  <c r="BV24" i="22"/>
  <c r="BH24" i="22" s="1"/>
  <c r="EM24" i="22"/>
  <c r="BR24" i="22"/>
  <c r="EI24" i="22"/>
  <c r="BD22" i="22"/>
  <c r="EZ24" i="22"/>
  <c r="ES24" i="22"/>
  <c r="CB24" i="22"/>
  <c r="EO24" i="22"/>
  <c r="BX24" i="22"/>
  <c r="BJ24" i="22" s="1"/>
  <c r="EK24" i="22"/>
  <c r="BT24" i="22"/>
  <c r="BF24" i="22" s="1"/>
  <c r="ET22" i="22"/>
  <c r="CC22" i="22"/>
  <c r="EP22" i="22"/>
  <c r="BY22" i="22"/>
  <c r="BK22" i="22" s="1"/>
  <c r="EL22" i="22"/>
  <c r="BU22" i="22"/>
  <c r="BG22" i="22" s="1"/>
  <c r="BD21" i="22"/>
  <c r="ER22" i="22"/>
  <c r="EN22" i="22"/>
  <c r="EJ22" i="22"/>
  <c r="AW9" i="22"/>
  <c r="AS9" i="22"/>
  <c r="AO9" i="22"/>
  <c r="BD18" i="22"/>
  <c r="BD9" i="22" l="1"/>
  <c r="BD17" i="22"/>
  <c r="BD11" i="22"/>
  <c r="BD149" i="22"/>
  <c r="BD23" i="22"/>
  <c r="BD119" i="22"/>
  <c r="BD112" i="22"/>
  <c r="BD95" i="22"/>
  <c r="BD13" i="22"/>
  <c r="BD31" i="22"/>
  <c r="BD134" i="22"/>
  <c r="BF139" i="22"/>
  <c r="BE147" i="22"/>
  <c r="BD143" i="22"/>
  <c r="BD81" i="22"/>
  <c r="BD182" i="22"/>
  <c r="BD171" i="22"/>
  <c r="BD162" i="22"/>
  <c r="BD145" i="22"/>
  <c r="BD128" i="22"/>
  <c r="BD125" i="22"/>
  <c r="BD142" i="22"/>
  <c r="BD67" i="22"/>
  <c r="BD120" i="22"/>
  <c r="BE169" i="22"/>
  <c r="BF163" i="22"/>
  <c r="BD74" i="22"/>
  <c r="BD24" i="22"/>
  <c r="BD173" i="22"/>
  <c r="BD174" i="22"/>
  <c r="G55" i="11" l="1"/>
  <c r="G49" i="11"/>
  <c r="G45" i="11"/>
  <c r="G58" i="11" l="1"/>
  <c r="G44" i="11" s="1"/>
  <c r="M118" i="20" s="1"/>
  <c r="G313" i="5" l="1"/>
  <c r="CR123" i="18"/>
  <c r="CR124" i="18"/>
  <c r="CR125" i="18"/>
  <c r="CR126" i="18"/>
  <c r="CR127" i="18"/>
  <c r="CR128" i="18"/>
  <c r="CR129" i="18"/>
  <c r="CR130" i="18"/>
  <c r="CR131" i="18"/>
  <c r="CR132" i="18"/>
  <c r="CR133" i="18"/>
  <c r="CR134" i="18"/>
  <c r="CR135" i="18"/>
  <c r="CR136" i="18"/>
  <c r="CR137" i="18"/>
  <c r="CR138" i="18"/>
  <c r="F121" i="6" l="1"/>
  <c r="F120" i="6"/>
  <c r="U5" i="20" l="1"/>
  <c r="Y5" i="20"/>
  <c r="AA5" i="20" s="1"/>
  <c r="Z6" i="20"/>
  <c r="W8" i="20"/>
  <c r="X8" i="20" s="1"/>
  <c r="AA8" i="20"/>
  <c r="AB8" i="20"/>
  <c r="W9" i="20"/>
  <c r="X9" i="20" s="1"/>
  <c r="AA9" i="20"/>
  <c r="AB9" i="20" s="1"/>
  <c r="W10" i="20"/>
  <c r="X10" i="20" s="1"/>
  <c r="AA10" i="20"/>
  <c r="AB10" i="20"/>
  <c r="W11" i="20"/>
  <c r="X11" i="20" s="1"/>
  <c r="AA11" i="20"/>
  <c r="AB11" i="20" s="1"/>
  <c r="S97" i="20"/>
  <c r="S98" i="20"/>
  <c r="S99" i="20"/>
  <c r="S100" i="20"/>
  <c r="S101" i="20"/>
  <c r="S102" i="20"/>
  <c r="S103" i="20"/>
  <c r="S104" i="20"/>
  <c r="S105" i="20"/>
  <c r="S106" i="20"/>
  <c r="S107" i="20"/>
  <c r="S108" i="20"/>
  <c r="S109" i="20"/>
  <c r="S110" i="20"/>
  <c r="S111" i="20"/>
  <c r="S112" i="20"/>
  <c r="W5" i="20" l="1"/>
  <c r="X5" i="20"/>
  <c r="AB5" i="20"/>
  <c r="M6" i="20"/>
  <c r="N128" i="20" l="1"/>
  <c r="G92" i="20" l="1"/>
  <c r="L126" i="20" l="1"/>
  <c r="K126" i="20"/>
  <c r="P128" i="20"/>
  <c r="H127" i="20"/>
  <c r="H126" i="20" s="1"/>
  <c r="G47" i="20"/>
  <c r="G74" i="20" s="1"/>
  <c r="G56" i="20"/>
  <c r="G75" i="20" s="1"/>
  <c r="J76" i="20"/>
  <c r="H53" i="20" l="1"/>
  <c r="H54" i="20"/>
  <c r="H55" i="20"/>
  <c r="H44" i="20"/>
  <c r="J47" i="20" s="1"/>
  <c r="V44" i="20" s="1"/>
  <c r="H45" i="20"/>
  <c r="H46" i="20"/>
  <c r="N82" i="20"/>
  <c r="N83" i="20"/>
  <c r="N56" i="20" l="1"/>
  <c r="V57" i="20" s="1"/>
  <c r="J56" i="20"/>
  <c r="V53" i="20" s="1"/>
  <c r="M56" i="20"/>
  <c r="V56" i="20" s="1"/>
  <c r="K56" i="20"/>
  <c r="V54" i="20" s="1"/>
  <c r="W53" i="20" s="1"/>
  <c r="X53" i="20" s="1"/>
  <c r="L56" i="20"/>
  <c r="V55" i="20" s="1"/>
  <c r="H56" i="20"/>
  <c r="H47" i="20"/>
  <c r="D11" i="7"/>
  <c r="L66" i="4" s="1"/>
  <c r="D10" i="7"/>
  <c r="D9" i="7"/>
  <c r="H70" i="4" s="1"/>
  <c r="D8" i="7"/>
  <c r="B70" i="4" s="1"/>
  <c r="D7" i="7"/>
  <c r="L68" i="4" s="1"/>
  <c r="D6" i="7"/>
  <c r="H68" i="4" s="1"/>
  <c r="D5" i="7"/>
  <c r="B68" i="4" s="1"/>
  <c r="D4" i="7"/>
  <c r="B66" i="4" s="1"/>
  <c r="L70" i="4"/>
  <c r="W55" i="20" l="1"/>
  <c r="X55" i="20" s="1"/>
  <c r="W54" i="20"/>
  <c r="X54" i="20" s="1"/>
  <c r="W56" i="20"/>
  <c r="X56" i="20" s="1"/>
  <c r="U51" i="20"/>
  <c r="CT158" i="18"/>
  <c r="CU158" i="18"/>
  <c r="CV158" i="18"/>
  <c r="DA158" i="18"/>
  <c r="CT159" i="18"/>
  <c r="CU159" i="18"/>
  <c r="CV159" i="18"/>
  <c r="DA159" i="18"/>
  <c r="CT160" i="18"/>
  <c r="CU160" i="18"/>
  <c r="CV160" i="18"/>
  <c r="DA160" i="18"/>
  <c r="CT161" i="18"/>
  <c r="CU161" i="18"/>
  <c r="CV161" i="18"/>
  <c r="DA161" i="18"/>
  <c r="CT162" i="18"/>
  <c r="CU162" i="18"/>
  <c r="CV162" i="18"/>
  <c r="DA162" i="18"/>
  <c r="CT163" i="18"/>
  <c r="CU163" i="18"/>
  <c r="CV163" i="18"/>
  <c r="DA163" i="18"/>
  <c r="CT164" i="18"/>
  <c r="CU164" i="18"/>
  <c r="CV164" i="18"/>
  <c r="DA164" i="18"/>
  <c r="CT165" i="18"/>
  <c r="CU165" i="18"/>
  <c r="CV165" i="18"/>
  <c r="DA165" i="18"/>
  <c r="W51" i="20" l="1"/>
  <c r="X51" i="20"/>
  <c r="W34" i="5"/>
  <c r="W33" i="5"/>
  <c r="S172" i="5"/>
  <c r="S145" i="5"/>
  <c r="S137" i="5"/>
  <c r="S136" i="5"/>
  <c r="S135" i="5"/>
  <c r="S134" i="5"/>
  <c r="S133" i="5"/>
  <c r="S132" i="5"/>
  <c r="S131" i="5"/>
  <c r="S130" i="5"/>
  <c r="S128" i="5"/>
  <c r="S127" i="5"/>
  <c r="S126" i="5"/>
  <c r="S125" i="5"/>
  <c r="S122" i="5"/>
  <c r="S120" i="5"/>
  <c r="S112" i="5"/>
  <c r="S99" i="5"/>
  <c r="S62" i="5"/>
  <c r="S58" i="5"/>
  <c r="S53" i="5"/>
  <c r="S52" i="5"/>
  <c r="S46" i="5"/>
  <c r="S45" i="5"/>
  <c r="S41" i="5"/>
  <c r="S29" i="5"/>
  <c r="S28" i="5"/>
  <c r="S27" i="5"/>
  <c r="S26" i="5"/>
  <c r="S23" i="5"/>
  <c r="S13" i="5"/>
  <c r="S12" i="5"/>
  <c r="Q172" i="5"/>
  <c r="Q145" i="5"/>
  <c r="Q137" i="5"/>
  <c r="Q136" i="5"/>
  <c r="Q135" i="5"/>
  <c r="Q134" i="5"/>
  <c r="Q133" i="5"/>
  <c r="Q132" i="5"/>
  <c r="Q131" i="5"/>
  <c r="Q130" i="5"/>
  <c r="Q128" i="5"/>
  <c r="Q127" i="5"/>
  <c r="Q126" i="5"/>
  <c r="Q125" i="5"/>
  <c r="Q122" i="5"/>
  <c r="Q120" i="5"/>
  <c r="Q112" i="5"/>
  <c r="Q99" i="5"/>
  <c r="Q62" i="5"/>
  <c r="Q58" i="5"/>
  <c r="Q53" i="5"/>
  <c r="Q52" i="5"/>
  <c r="Q46" i="5"/>
  <c r="Q45" i="5"/>
  <c r="Q41" i="5"/>
  <c r="Q29" i="5"/>
  <c r="Q28" i="5"/>
  <c r="Q27" i="5"/>
  <c r="Q26" i="5"/>
  <c r="Q23" i="5"/>
  <c r="Q13" i="5"/>
  <c r="Q12" i="5"/>
  <c r="DA32" i="18"/>
  <c r="W11" i="5"/>
  <c r="X11" i="5"/>
  <c r="Z3" i="5"/>
  <c r="Z182" i="5" l="1"/>
  <c r="Q182" i="5" s="1"/>
  <c r="K182" i="18" s="1"/>
  <c r="AB34" i="5"/>
  <c r="S34" i="5" s="1"/>
  <c r="AB33" i="5"/>
  <c r="S33" i="5" s="1"/>
  <c r="AB92" i="5"/>
  <c r="S92" i="5" s="1"/>
  <c r="AB90" i="5"/>
  <c r="S90" i="5" s="1"/>
  <c r="Z34" i="5"/>
  <c r="Q34" i="5" s="1"/>
  <c r="Z33" i="5"/>
  <c r="Q33" i="5" s="1"/>
  <c r="AB91" i="5"/>
  <c r="S91" i="5" s="1"/>
  <c r="AB165" i="5"/>
  <c r="S165" i="5" s="1"/>
  <c r="L165" i="18" s="1"/>
  <c r="AB77" i="5"/>
  <c r="S77" i="5" s="1"/>
  <c r="AB180" i="5"/>
  <c r="S180" i="5" s="1"/>
  <c r="AB171" i="5"/>
  <c r="S171" i="5" s="1"/>
  <c r="AB163" i="5"/>
  <c r="S163" i="5" s="1"/>
  <c r="L163" i="18" s="1"/>
  <c r="AB161" i="5"/>
  <c r="S161" i="5" s="1"/>
  <c r="L161" i="18" s="1"/>
  <c r="AB159" i="5"/>
  <c r="S159" i="5" s="1"/>
  <c r="L159" i="18" s="1"/>
  <c r="AB164" i="5"/>
  <c r="S164" i="5" s="1"/>
  <c r="L164" i="18" s="1"/>
  <c r="AB162" i="5"/>
  <c r="S162" i="5" s="1"/>
  <c r="L162" i="18" s="1"/>
  <c r="AB160" i="5"/>
  <c r="S160" i="5" s="1"/>
  <c r="L160" i="18" s="1"/>
  <c r="AB111" i="5"/>
  <c r="S111" i="5" s="1"/>
  <c r="AB157" i="5"/>
  <c r="S157" i="5" s="1"/>
  <c r="AB86" i="5"/>
  <c r="S86" i="5" s="1"/>
  <c r="AB124" i="5"/>
  <c r="AB88" i="5"/>
  <c r="S88" i="5" s="1"/>
  <c r="AB143" i="5"/>
  <c r="S143" i="5" s="1"/>
  <c r="AB175" i="5"/>
  <c r="AB147" i="5"/>
  <c r="AB178" i="5"/>
  <c r="S178" i="5" s="1"/>
  <c r="AB61" i="5"/>
  <c r="S61" i="5" s="1"/>
  <c r="AB76" i="5"/>
  <c r="S76" i="5" s="1"/>
  <c r="AB119" i="5"/>
  <c r="S119" i="5" s="1"/>
  <c r="AB155" i="5"/>
  <c r="S155" i="5" s="1"/>
  <c r="AB81" i="5"/>
  <c r="S81" i="5" s="1"/>
  <c r="AB95" i="5"/>
  <c r="S95" i="5" s="1"/>
  <c r="AB107" i="5"/>
  <c r="S107" i="5" s="1"/>
  <c r="AB150" i="5"/>
  <c r="S150" i="5" s="1"/>
  <c r="AB169" i="5"/>
  <c r="AB84" i="5"/>
  <c r="S84" i="5" s="1"/>
  <c r="AB97" i="5"/>
  <c r="S97" i="5" s="1"/>
  <c r="AB109" i="5"/>
  <c r="S109" i="5" s="1"/>
  <c r="AB116" i="5"/>
  <c r="AB140" i="5"/>
  <c r="S140" i="5" s="1"/>
  <c r="AB153" i="5"/>
  <c r="S153" i="5" s="1"/>
  <c r="AB185" i="5"/>
  <c r="AB187" i="5"/>
  <c r="S187" i="5" s="1"/>
  <c r="AB190" i="5"/>
  <c r="S190" i="5" s="1"/>
  <c r="AB25" i="5"/>
  <c r="S25" i="5" s="1"/>
  <c r="AB115" i="5"/>
  <c r="S115" i="5" s="1"/>
  <c r="L115" i="18" s="1"/>
  <c r="AB182" i="5"/>
  <c r="S182" i="5" s="1"/>
  <c r="L182" i="18" s="1"/>
  <c r="AB194" i="5"/>
  <c r="S194" i="5" s="1"/>
  <c r="AB43" i="5"/>
  <c r="S43" i="5" s="1"/>
  <c r="AB60" i="5"/>
  <c r="S60" i="5" s="1"/>
  <c r="AB67" i="5"/>
  <c r="S67" i="5" s="1"/>
  <c r="AB71" i="5"/>
  <c r="S71" i="5" s="1"/>
  <c r="L71" i="18" s="1"/>
  <c r="AB75" i="5"/>
  <c r="S75" i="5" s="1"/>
  <c r="AB80" i="5"/>
  <c r="S80" i="5" s="1"/>
  <c r="AB83" i="5"/>
  <c r="S83" i="5" s="1"/>
  <c r="AB85" i="5"/>
  <c r="S85" i="5" s="1"/>
  <c r="AB87" i="5"/>
  <c r="S87" i="5" s="1"/>
  <c r="AB94" i="5"/>
  <c r="S94" i="5" s="1"/>
  <c r="AB96" i="5"/>
  <c r="S96" i="5" s="1"/>
  <c r="AB98" i="5"/>
  <c r="S98" i="5" s="1"/>
  <c r="AB106" i="5"/>
  <c r="S106" i="5" s="1"/>
  <c r="AB108" i="5"/>
  <c r="S108" i="5" s="1"/>
  <c r="AB110" i="5"/>
  <c r="S110" i="5" s="1"/>
  <c r="AB113" i="5"/>
  <c r="AB118" i="5"/>
  <c r="S118" i="5" s="1"/>
  <c r="AB123" i="5"/>
  <c r="AB129" i="5"/>
  <c r="AB141" i="5"/>
  <c r="S141" i="5" s="1"/>
  <c r="AB144" i="5"/>
  <c r="S144" i="5" s="1"/>
  <c r="AB149" i="5"/>
  <c r="AB152" i="5"/>
  <c r="S152" i="5" s="1"/>
  <c r="AB154" i="5"/>
  <c r="S154" i="5" s="1"/>
  <c r="AB156" i="5"/>
  <c r="S156" i="5" s="1"/>
  <c r="AB167" i="5"/>
  <c r="AB170" i="5"/>
  <c r="S170" i="5" s="1"/>
  <c r="AB173" i="5"/>
  <c r="S173" i="5" s="1"/>
  <c r="AB176" i="5"/>
  <c r="S176" i="5" s="1"/>
  <c r="AB179" i="5"/>
  <c r="S179" i="5" s="1"/>
  <c r="AB181" i="5"/>
  <c r="S181" i="5" s="1"/>
  <c r="AB186" i="5"/>
  <c r="S186" i="5" s="1"/>
  <c r="AB189" i="5"/>
  <c r="S189" i="5" s="1"/>
  <c r="AB191" i="5"/>
  <c r="S191" i="5" s="1"/>
  <c r="AB193" i="5"/>
  <c r="S193" i="5" s="1"/>
  <c r="AB70" i="5"/>
  <c r="S70" i="5" s="1"/>
  <c r="L70" i="18" s="1"/>
  <c r="AB73" i="5"/>
  <c r="S73" i="5" s="1"/>
  <c r="L73" i="18" s="1"/>
  <c r="BW57" i="18"/>
  <c r="BW55" i="18"/>
  <c r="BV57" i="18"/>
  <c r="BV55" i="18"/>
  <c r="BU57" i="18"/>
  <c r="BU55" i="18"/>
  <c r="BT57" i="18"/>
  <c r="BT55" i="18"/>
  <c r="CD57" i="18"/>
  <c r="CC57" i="18"/>
  <c r="CD56" i="18"/>
  <c r="CC56" i="18"/>
  <c r="CD55" i="18"/>
  <c r="CC55" i="18"/>
  <c r="CB57" i="18"/>
  <c r="CA57" i="18"/>
  <c r="BZ57" i="18"/>
  <c r="BY57" i="18"/>
  <c r="CB56" i="18"/>
  <c r="CA56" i="18"/>
  <c r="BZ56" i="18"/>
  <c r="BY56" i="18"/>
  <c r="CB55" i="18"/>
  <c r="CA55" i="18"/>
  <c r="BZ55" i="18"/>
  <c r="BY55" i="18"/>
  <c r="BS57" i="18"/>
  <c r="BS56" i="18"/>
  <c r="BS55" i="18"/>
  <c r="BR57" i="18"/>
  <c r="DA57" i="18" s="1"/>
  <c r="BR56" i="18"/>
  <c r="DA56" i="18" s="1"/>
  <c r="BR55" i="18"/>
  <c r="DA55" i="18" s="1"/>
  <c r="CC24" i="18"/>
  <c r="CC22" i="18"/>
  <c r="CB24" i="18"/>
  <c r="CB22" i="18"/>
  <c r="CD24" i="18"/>
  <c r="CD22" i="18"/>
  <c r="BX24" i="18"/>
  <c r="BX22" i="18"/>
  <c r="CA24" i="18"/>
  <c r="CA22" i="18"/>
  <c r="BZ25" i="18"/>
  <c r="BZ24" i="18"/>
  <c r="BZ22" i="18"/>
  <c r="BY25" i="18"/>
  <c r="BY24" i="18"/>
  <c r="BY22" i="18"/>
  <c r="BW25" i="18"/>
  <c r="BW24" i="18"/>
  <c r="BW22" i="18"/>
  <c r="BV25" i="18"/>
  <c r="BV24" i="18"/>
  <c r="BV22" i="18"/>
  <c r="BU25" i="18"/>
  <c r="BU24" i="18"/>
  <c r="BU22" i="18"/>
  <c r="BT25" i="18"/>
  <c r="BT24" i="18"/>
  <c r="BT22" i="18"/>
  <c r="BS24" i="18"/>
  <c r="BS22" i="18"/>
  <c r="BR24" i="18"/>
  <c r="DA24" i="18" s="1"/>
  <c r="BR25" i="18"/>
  <c r="DA25" i="18" s="1"/>
  <c r="BR22" i="18"/>
  <c r="DA22" i="18" s="1"/>
  <c r="DA26" i="18"/>
  <c r="DA27" i="18"/>
  <c r="DA28" i="18"/>
  <c r="DA29" i="18"/>
  <c r="DA30" i="18"/>
  <c r="DA23" i="18"/>
  <c r="DA190" i="18"/>
  <c r="DA166" i="18"/>
  <c r="DA155" i="18"/>
  <c r="DA150" i="18"/>
  <c r="DA149" i="18"/>
  <c r="DA148" i="18"/>
  <c r="DA147" i="18"/>
  <c r="DA144" i="18"/>
  <c r="DA143" i="18"/>
  <c r="DA142" i="18"/>
  <c r="DA141" i="18"/>
  <c r="DA140" i="18"/>
  <c r="DA139" i="18"/>
  <c r="DA138" i="18"/>
  <c r="DA137" i="18"/>
  <c r="DA136" i="18"/>
  <c r="DA135" i="18"/>
  <c r="DA134" i="18"/>
  <c r="DA133" i="18"/>
  <c r="DA132" i="18"/>
  <c r="DA131" i="18"/>
  <c r="DA130" i="18"/>
  <c r="DA129" i="18"/>
  <c r="DA128" i="18"/>
  <c r="DA127" i="18"/>
  <c r="DA126" i="18"/>
  <c r="DA125" i="18"/>
  <c r="DA124" i="18"/>
  <c r="DA123" i="18"/>
  <c r="DA121" i="18"/>
  <c r="DA120" i="18"/>
  <c r="DA111" i="18"/>
  <c r="DA110" i="18"/>
  <c r="DA109" i="18"/>
  <c r="DA108" i="18"/>
  <c r="DA105" i="18"/>
  <c r="DA104" i="18"/>
  <c r="DA101" i="18"/>
  <c r="DA99" i="18"/>
  <c r="DA92" i="18"/>
  <c r="DA91" i="18"/>
  <c r="DA90" i="18"/>
  <c r="DA89" i="18"/>
  <c r="DA81" i="18"/>
  <c r="DA80" i="18"/>
  <c r="DA77" i="18"/>
  <c r="DA67" i="18"/>
  <c r="DA66" i="18"/>
  <c r="DA65" i="18"/>
  <c r="DA64" i="18"/>
  <c r="DA61" i="18"/>
  <c r="DA60" i="18"/>
  <c r="DA59" i="18"/>
  <c r="DA54" i="18"/>
  <c r="DA53" i="18"/>
  <c r="DA52" i="18"/>
  <c r="DA50" i="18"/>
  <c r="DA49" i="18"/>
  <c r="DA48" i="18"/>
  <c r="DA47" i="18"/>
  <c r="DA46" i="18"/>
  <c r="DA45" i="18"/>
  <c r="DA44" i="18"/>
  <c r="DA40" i="18"/>
  <c r="DA39" i="18"/>
  <c r="DA38" i="18"/>
  <c r="DA37" i="18"/>
  <c r="DA36" i="18"/>
  <c r="DA35" i="18"/>
  <c r="DA34" i="18"/>
  <c r="DA33" i="18"/>
  <c r="DA31" i="18"/>
  <c r="DA21" i="18"/>
  <c r="DA20" i="18"/>
  <c r="DA13" i="18"/>
  <c r="DA12" i="18"/>
  <c r="DA10" i="18"/>
  <c r="DA8" i="18"/>
  <c r="J12" i="21"/>
  <c r="J11" i="21"/>
  <c r="J10" i="21"/>
  <c r="J9" i="21"/>
  <c r="J8" i="21"/>
  <c r="L70" i="21"/>
  <c r="H70" i="21"/>
  <c r="B70" i="21"/>
  <c r="L69" i="21"/>
  <c r="H69" i="21"/>
  <c r="B69" i="21"/>
  <c r="L68" i="21"/>
  <c r="H68" i="21"/>
  <c r="B68" i="21"/>
  <c r="L67" i="21"/>
  <c r="H67" i="21"/>
  <c r="B67" i="21"/>
  <c r="L66" i="21"/>
  <c r="B66" i="21"/>
  <c r="L53" i="21"/>
  <c r="H53" i="21"/>
  <c r="C53" i="21"/>
  <c r="Z43" i="21"/>
  <c r="Z42" i="21"/>
  <c r="L42" i="21"/>
  <c r="H42" i="21"/>
  <c r="C42" i="21"/>
  <c r="Z41" i="21"/>
  <c r="U36" i="21"/>
  <c r="V37" i="21" s="1"/>
  <c r="Z34" i="21"/>
  <c r="Z33" i="21"/>
  <c r="U29" i="21"/>
  <c r="U33" i="21" s="1"/>
  <c r="J19" i="21"/>
  <c r="J18" i="21"/>
  <c r="E16" i="21"/>
  <c r="J17" i="21"/>
  <c r="E15" i="21"/>
  <c r="D14" i="21"/>
  <c r="J16" i="21"/>
  <c r="F13" i="21"/>
  <c r="D13" i="21"/>
  <c r="J14" i="21"/>
  <c r="K15" i="21"/>
  <c r="J15" i="21"/>
  <c r="H15" i="21"/>
  <c r="D11" i="21"/>
  <c r="J13" i="21"/>
  <c r="D10" i="21"/>
  <c r="D19" i="21"/>
  <c r="D9" i="21"/>
  <c r="D18" i="21"/>
  <c r="D8" i="21"/>
  <c r="N5" i="21"/>
  <c r="K3" i="2"/>
  <c r="C6" i="2" s="1"/>
  <c r="J3" i="2"/>
  <c r="AA3" i="5" l="1"/>
  <c r="BQ3" i="22"/>
  <c r="K5" i="21"/>
  <c r="P2" i="22"/>
  <c r="S124" i="5"/>
  <c r="S129" i="5"/>
  <c r="S113" i="5"/>
  <c r="S175" i="5"/>
  <c r="S116" i="5"/>
  <c r="S169" i="5"/>
  <c r="S147" i="5"/>
  <c r="S167" i="5"/>
  <c r="S149" i="5"/>
  <c r="S123" i="5"/>
  <c r="S185" i="5"/>
  <c r="Y29" i="21"/>
  <c r="V29" i="21"/>
  <c r="U31" i="21"/>
  <c r="U34" i="21"/>
  <c r="W29" i="21"/>
  <c r="X29" i="21"/>
  <c r="U32" i="21"/>
  <c r="Y33" i="21" l="1"/>
  <c r="Y34" i="21"/>
  <c r="X33" i="21"/>
  <c r="X32" i="21"/>
  <c r="X34" i="21"/>
  <c r="W34" i="21"/>
  <c r="W33" i="21"/>
  <c r="W32" i="21"/>
  <c r="V32" i="21"/>
  <c r="V34" i="21"/>
  <c r="V31" i="21"/>
  <c r="V33" i="21"/>
  <c r="I199" i="8"/>
  <c r="H199" i="8"/>
  <c r="I198" i="8"/>
  <c r="H198" i="8"/>
  <c r="G198" i="8"/>
  <c r="Q206" i="15" l="1"/>
  <c r="P206" i="15"/>
  <c r="O206" i="15"/>
  <c r="G165" i="13" l="1"/>
  <c r="F147" i="13" s="1"/>
  <c r="L162" i="13"/>
  <c r="K147" i="13" s="1"/>
  <c r="K19" i="2"/>
  <c r="K11" i="4"/>
  <c r="J11" i="4"/>
  <c r="H11" i="4"/>
  <c r="G172" i="9" l="1"/>
  <c r="G160" i="9" s="1"/>
  <c r="I327" i="9"/>
  <c r="K327" i="9" s="1"/>
  <c r="G108" i="9"/>
  <c r="L81" i="9"/>
  <c r="G81" i="9"/>
  <c r="G264" i="5" l="1"/>
  <c r="G94" i="9"/>
  <c r="G76" i="9"/>
  <c r="F68" i="9" s="1"/>
  <c r="G261" i="5"/>
  <c r="G285" i="5"/>
  <c r="L76" i="9"/>
  <c r="K68" i="9" s="1"/>
  <c r="H261" i="5"/>
  <c r="F86" i="9"/>
  <c r="F13" i="4" l="1"/>
  <c r="D14" i="4"/>
  <c r="H126" i="6" l="1"/>
  <c r="CK147" i="18"/>
  <c r="CL147" i="18"/>
  <c r="CM147" i="18"/>
  <c r="CN147" i="18"/>
  <c r="CO147" i="18"/>
  <c r="CP147" i="18"/>
  <c r="CQ147" i="18"/>
  <c r="CR147" i="18"/>
  <c r="CS147" i="18"/>
  <c r="CK148" i="18"/>
  <c r="CL148" i="18"/>
  <c r="CM148" i="18"/>
  <c r="CN148" i="18"/>
  <c r="CO148" i="18"/>
  <c r="CP148" i="18"/>
  <c r="CQ148" i="18"/>
  <c r="CR148" i="18"/>
  <c r="CS148" i="18"/>
  <c r="CK149" i="18"/>
  <c r="CL149" i="18"/>
  <c r="CM149" i="18"/>
  <c r="CN149" i="18"/>
  <c r="CO149" i="18"/>
  <c r="CP149" i="18"/>
  <c r="CQ149" i="18"/>
  <c r="CR149" i="18"/>
  <c r="CS149" i="18"/>
  <c r="CK150" i="18"/>
  <c r="CL150" i="18"/>
  <c r="CM150" i="18"/>
  <c r="CN150" i="18"/>
  <c r="CO150" i="18"/>
  <c r="CP150" i="18"/>
  <c r="CQ150" i="18"/>
  <c r="CR150" i="18"/>
  <c r="CS150" i="18"/>
  <c r="CJ172" i="18"/>
  <c r="CQ44" i="18"/>
  <c r="CQ45" i="18"/>
  <c r="CQ46" i="18"/>
  <c r="CQ47" i="18"/>
  <c r="CQ48" i="18"/>
  <c r="CQ49" i="18"/>
  <c r="CQ50" i="18"/>
  <c r="CQ36" i="18"/>
  <c r="CQ37" i="18"/>
  <c r="CQ38" i="18"/>
  <c r="CQ39" i="18"/>
  <c r="CQ40" i="18"/>
  <c r="CQ41" i="18"/>
  <c r="CQ42" i="18"/>
  <c r="CQ15" i="18"/>
  <c r="CQ16" i="18"/>
  <c r="CQ17" i="18"/>
  <c r="CQ18" i="18"/>
  <c r="CV194" i="18"/>
  <c r="CU194" i="18"/>
  <c r="CT194" i="18"/>
  <c r="CS194" i="18"/>
  <c r="CR194" i="18"/>
  <c r="CQ194" i="18"/>
  <c r="CP194" i="18"/>
  <c r="CO194" i="18"/>
  <c r="CN194" i="18"/>
  <c r="CM194" i="18"/>
  <c r="CL194" i="18"/>
  <c r="CK194" i="18"/>
  <c r="CJ194" i="18"/>
  <c r="CV193" i="18"/>
  <c r="CU193" i="18"/>
  <c r="CT193" i="18"/>
  <c r="CS193" i="18"/>
  <c r="CR193" i="18"/>
  <c r="CQ193" i="18"/>
  <c r="CP193" i="18"/>
  <c r="CO193" i="18"/>
  <c r="CN193" i="18"/>
  <c r="CM193" i="18"/>
  <c r="CL193" i="18"/>
  <c r="CK193" i="18"/>
  <c r="CJ193" i="18"/>
  <c r="CV192" i="18"/>
  <c r="CU192" i="18"/>
  <c r="CT192" i="18"/>
  <c r="CS192" i="18"/>
  <c r="CR192" i="18"/>
  <c r="CQ192" i="18"/>
  <c r="CP192" i="18"/>
  <c r="CO192" i="18"/>
  <c r="CN192" i="18"/>
  <c r="CM192" i="18"/>
  <c r="CL192" i="18"/>
  <c r="CK192" i="18"/>
  <c r="CJ192" i="18"/>
  <c r="CV191" i="18"/>
  <c r="CU191" i="18"/>
  <c r="CT191" i="18"/>
  <c r="CS191" i="18"/>
  <c r="CR191" i="18"/>
  <c r="CQ191" i="18"/>
  <c r="CP191" i="18"/>
  <c r="CO191" i="18"/>
  <c r="CN191" i="18"/>
  <c r="CM191" i="18"/>
  <c r="CL191" i="18"/>
  <c r="CK191" i="18"/>
  <c r="CJ191" i="18"/>
  <c r="CV190" i="18"/>
  <c r="CU190" i="18"/>
  <c r="CT190" i="18"/>
  <c r="CS190" i="18"/>
  <c r="CR190" i="18"/>
  <c r="CQ190" i="18"/>
  <c r="CP190" i="18"/>
  <c r="CO190" i="18"/>
  <c r="CN190" i="18"/>
  <c r="CM190" i="18"/>
  <c r="CL190" i="18"/>
  <c r="CK190" i="18"/>
  <c r="CJ190" i="18"/>
  <c r="CV189" i="18"/>
  <c r="CU189" i="18"/>
  <c r="CT189" i="18"/>
  <c r="CS189" i="18"/>
  <c r="CR189" i="18"/>
  <c r="CQ189" i="18"/>
  <c r="CP189" i="18"/>
  <c r="CO189" i="18"/>
  <c r="CN189" i="18"/>
  <c r="CM189" i="18"/>
  <c r="CL189" i="18"/>
  <c r="CK189" i="18"/>
  <c r="CJ189" i="18"/>
  <c r="CV188" i="18"/>
  <c r="CU188" i="18"/>
  <c r="CT188" i="18"/>
  <c r="CS188" i="18"/>
  <c r="CR188" i="18"/>
  <c r="CQ188" i="18"/>
  <c r="CP188" i="18"/>
  <c r="CO188" i="18"/>
  <c r="CN188" i="18"/>
  <c r="CM188" i="18"/>
  <c r="CL188" i="18"/>
  <c r="CK188" i="18"/>
  <c r="CJ188" i="18"/>
  <c r="CV187" i="18"/>
  <c r="CU187" i="18"/>
  <c r="CT187" i="18"/>
  <c r="CS187" i="18"/>
  <c r="CR187" i="18"/>
  <c r="CQ187" i="18"/>
  <c r="CP187" i="18"/>
  <c r="CO187" i="18"/>
  <c r="CN187" i="18"/>
  <c r="CM187" i="18"/>
  <c r="CL187" i="18"/>
  <c r="CK187" i="18"/>
  <c r="CJ187" i="18"/>
  <c r="CV186" i="18"/>
  <c r="CU186" i="18"/>
  <c r="CT186" i="18"/>
  <c r="CS186" i="18"/>
  <c r="CR186" i="18"/>
  <c r="CQ186" i="18"/>
  <c r="CP186" i="18"/>
  <c r="CO186" i="18"/>
  <c r="CN186" i="18"/>
  <c r="CM186" i="18"/>
  <c r="CL186" i="18"/>
  <c r="CK186" i="18"/>
  <c r="CJ186" i="18"/>
  <c r="CV185" i="18"/>
  <c r="CU185" i="18"/>
  <c r="CT185" i="18"/>
  <c r="CS185" i="18"/>
  <c r="CR185" i="18"/>
  <c r="CQ185" i="18"/>
  <c r="CP185" i="18"/>
  <c r="CO185" i="18"/>
  <c r="CN185" i="18"/>
  <c r="CM185" i="18"/>
  <c r="CL185" i="18"/>
  <c r="CK185" i="18"/>
  <c r="CJ185" i="18"/>
  <c r="CV184" i="18"/>
  <c r="CU184" i="18"/>
  <c r="CT184" i="18"/>
  <c r="CS184" i="18"/>
  <c r="CR184" i="18"/>
  <c r="CQ184" i="18"/>
  <c r="CP184" i="18"/>
  <c r="CO184" i="18"/>
  <c r="CN184" i="18"/>
  <c r="CM184" i="18"/>
  <c r="CL184" i="18"/>
  <c r="CK184" i="18"/>
  <c r="CJ184" i="18"/>
  <c r="CV183" i="18"/>
  <c r="CU183" i="18"/>
  <c r="CT183" i="18"/>
  <c r="CV181" i="18"/>
  <c r="CU181" i="18"/>
  <c r="CT181" i="18"/>
  <c r="CS181" i="18"/>
  <c r="CR181" i="18"/>
  <c r="CQ181" i="18"/>
  <c r="CP181" i="18"/>
  <c r="CO181" i="18"/>
  <c r="CN181" i="18"/>
  <c r="CM181" i="18"/>
  <c r="CL181" i="18"/>
  <c r="CK181" i="18"/>
  <c r="CJ181" i="18"/>
  <c r="CV180" i="18"/>
  <c r="CU180" i="18"/>
  <c r="CT180" i="18"/>
  <c r="CS180" i="18"/>
  <c r="CR180" i="18"/>
  <c r="CQ180" i="18"/>
  <c r="CP180" i="18"/>
  <c r="CO180" i="18"/>
  <c r="CN180" i="18"/>
  <c r="CM180" i="18"/>
  <c r="CL180" i="18"/>
  <c r="CK180" i="18"/>
  <c r="CJ180" i="18"/>
  <c r="CV179" i="18"/>
  <c r="CU179" i="18"/>
  <c r="CT179" i="18"/>
  <c r="CS179" i="18"/>
  <c r="CR179" i="18"/>
  <c r="CQ179" i="18"/>
  <c r="CP179" i="18"/>
  <c r="CO179" i="18"/>
  <c r="CN179" i="18"/>
  <c r="CM179" i="18"/>
  <c r="CL179" i="18"/>
  <c r="CK179" i="18"/>
  <c r="CJ179" i="18"/>
  <c r="CV178" i="18"/>
  <c r="CU178" i="18"/>
  <c r="CT178" i="18"/>
  <c r="CS178" i="18"/>
  <c r="CR178" i="18"/>
  <c r="CQ178" i="18"/>
  <c r="CP178" i="18"/>
  <c r="CO178" i="18"/>
  <c r="CN178" i="18"/>
  <c r="CM178" i="18"/>
  <c r="CL178" i="18"/>
  <c r="CK178" i="18"/>
  <c r="CJ178" i="18"/>
  <c r="CV177" i="18"/>
  <c r="CU177" i="18"/>
  <c r="CT177" i="18"/>
  <c r="CS177" i="18"/>
  <c r="CR177" i="18"/>
  <c r="CQ177" i="18"/>
  <c r="CP177" i="18"/>
  <c r="CO177" i="18"/>
  <c r="CN177" i="18"/>
  <c r="CM177" i="18"/>
  <c r="CL177" i="18"/>
  <c r="CK177" i="18"/>
  <c r="CJ177" i="18"/>
  <c r="CV176" i="18"/>
  <c r="CU176" i="18"/>
  <c r="CT176" i="18"/>
  <c r="CS176" i="18"/>
  <c r="CR176" i="18"/>
  <c r="CQ176" i="18"/>
  <c r="CP176" i="18"/>
  <c r="CO176" i="18"/>
  <c r="CN176" i="18"/>
  <c r="CM176" i="18"/>
  <c r="CL176" i="18"/>
  <c r="CK176" i="18"/>
  <c r="CJ176" i="18"/>
  <c r="CV175" i="18"/>
  <c r="CU175" i="18"/>
  <c r="CT175" i="18"/>
  <c r="CS175" i="18"/>
  <c r="CR175" i="18"/>
  <c r="CQ175" i="18"/>
  <c r="CP175" i="18"/>
  <c r="CO175" i="18"/>
  <c r="CN175" i="18"/>
  <c r="CM175" i="18"/>
  <c r="CL175" i="18"/>
  <c r="CK175" i="18"/>
  <c r="CJ175" i="18"/>
  <c r="CV174" i="18"/>
  <c r="CU174" i="18"/>
  <c r="CT174" i="18"/>
  <c r="CV173" i="18"/>
  <c r="CU173" i="18"/>
  <c r="CT173" i="18"/>
  <c r="CV172" i="18"/>
  <c r="CU172" i="18"/>
  <c r="CT172" i="18"/>
  <c r="CS172" i="18"/>
  <c r="CR172" i="18"/>
  <c r="CQ172" i="18"/>
  <c r="CP172" i="18"/>
  <c r="CO172" i="18"/>
  <c r="CN172" i="18"/>
  <c r="CM172" i="18"/>
  <c r="CL172" i="18"/>
  <c r="CK172" i="18"/>
  <c r="CV171" i="18"/>
  <c r="CU171" i="18"/>
  <c r="CT171" i="18"/>
  <c r="CS171" i="18"/>
  <c r="CR171" i="18"/>
  <c r="CQ171" i="18"/>
  <c r="CP171" i="18"/>
  <c r="CO171" i="18"/>
  <c r="CN171" i="18"/>
  <c r="CM171" i="18"/>
  <c r="CL171" i="18"/>
  <c r="CK171" i="18"/>
  <c r="CJ171" i="18"/>
  <c r="CV170" i="18"/>
  <c r="CU170" i="18"/>
  <c r="CT170" i="18"/>
  <c r="CS170" i="18"/>
  <c r="CR170" i="18"/>
  <c r="CQ170" i="18"/>
  <c r="CP170" i="18"/>
  <c r="CO170" i="18"/>
  <c r="CN170" i="18"/>
  <c r="CM170" i="18"/>
  <c r="CL170" i="18"/>
  <c r="CK170" i="18"/>
  <c r="CJ170" i="18"/>
  <c r="CV169" i="18"/>
  <c r="CU169" i="18"/>
  <c r="CT169" i="18"/>
  <c r="CS169" i="18"/>
  <c r="CR169" i="18"/>
  <c r="CQ169" i="18"/>
  <c r="CP169" i="18"/>
  <c r="CO169" i="18"/>
  <c r="CN169" i="18"/>
  <c r="CM169" i="18"/>
  <c r="CL169" i="18"/>
  <c r="CK169" i="18"/>
  <c r="CJ169" i="18"/>
  <c r="CV168" i="18"/>
  <c r="CU168" i="18"/>
  <c r="CT168" i="18"/>
  <c r="CS168" i="18"/>
  <c r="CR168" i="18"/>
  <c r="CQ168" i="18"/>
  <c r="CP168" i="18"/>
  <c r="CO168" i="18"/>
  <c r="CN168" i="18"/>
  <c r="CM168" i="18"/>
  <c r="CL168" i="18"/>
  <c r="CK168" i="18"/>
  <c r="CJ168" i="18"/>
  <c r="CV167" i="18"/>
  <c r="CU167" i="18"/>
  <c r="CT167" i="18"/>
  <c r="CS167" i="18"/>
  <c r="CR167" i="18"/>
  <c r="CQ167" i="18"/>
  <c r="CP167" i="18"/>
  <c r="CO167" i="18"/>
  <c r="CN167" i="18"/>
  <c r="CM167" i="18"/>
  <c r="CL167" i="18"/>
  <c r="CK167" i="18"/>
  <c r="CJ167" i="18"/>
  <c r="CV166" i="18"/>
  <c r="CU166" i="18"/>
  <c r="CT166" i="18"/>
  <c r="CV157" i="18"/>
  <c r="CU157" i="18"/>
  <c r="CT157" i="18"/>
  <c r="CV156" i="18"/>
  <c r="CU156" i="18"/>
  <c r="CT156" i="18"/>
  <c r="CV155" i="18"/>
  <c r="CU155" i="18"/>
  <c r="CT155" i="18"/>
  <c r="CV154" i="18"/>
  <c r="CU154" i="18"/>
  <c r="CT154" i="18"/>
  <c r="CV153" i="18"/>
  <c r="CU153" i="18"/>
  <c r="CT153" i="18"/>
  <c r="CV152" i="18"/>
  <c r="CU152" i="18"/>
  <c r="CT152" i="18"/>
  <c r="CV151" i="18"/>
  <c r="CU151" i="18"/>
  <c r="CT151" i="18"/>
  <c r="CV150" i="18"/>
  <c r="CU150" i="18"/>
  <c r="CT150" i="18"/>
  <c r="CJ150" i="18"/>
  <c r="CV149" i="18"/>
  <c r="CU149" i="18"/>
  <c r="CT149" i="18"/>
  <c r="CJ149" i="18"/>
  <c r="CV148" i="18"/>
  <c r="CU148" i="18"/>
  <c r="CT148" i="18"/>
  <c r="CJ148" i="18"/>
  <c r="CV147" i="18"/>
  <c r="CU147" i="18"/>
  <c r="CT147" i="18"/>
  <c r="CJ147" i="18"/>
  <c r="CV146" i="18"/>
  <c r="CU146" i="18"/>
  <c r="CT146" i="18"/>
  <c r="CV145" i="18"/>
  <c r="CU145" i="18"/>
  <c r="CT145" i="18"/>
  <c r="CV144" i="18"/>
  <c r="CU144" i="18"/>
  <c r="CT144" i="18"/>
  <c r="CS144" i="18"/>
  <c r="CR144" i="18"/>
  <c r="CQ144" i="18"/>
  <c r="CP144" i="18"/>
  <c r="CO144" i="18"/>
  <c r="CN144" i="18"/>
  <c r="CM144" i="18"/>
  <c r="CL144" i="18"/>
  <c r="CK144" i="18"/>
  <c r="CJ144" i="18"/>
  <c r="CV143" i="18"/>
  <c r="CU143" i="18"/>
  <c r="CT143" i="18"/>
  <c r="CS143" i="18"/>
  <c r="CR143" i="18"/>
  <c r="CQ143" i="18"/>
  <c r="CP143" i="18"/>
  <c r="CO143" i="18"/>
  <c r="CN143" i="18"/>
  <c r="CM143" i="18"/>
  <c r="CL143" i="18"/>
  <c r="CK143" i="18"/>
  <c r="CJ143" i="18"/>
  <c r="CV142" i="18"/>
  <c r="CU142" i="18"/>
  <c r="CT142" i="18"/>
  <c r="CS142" i="18"/>
  <c r="CR142" i="18"/>
  <c r="CQ142" i="18"/>
  <c r="CP142" i="18"/>
  <c r="CO142" i="18"/>
  <c r="CN142" i="18"/>
  <c r="CM142" i="18"/>
  <c r="CL142" i="18"/>
  <c r="CK142" i="18"/>
  <c r="CJ142" i="18"/>
  <c r="CV141" i="18"/>
  <c r="CU141" i="18"/>
  <c r="CT141" i="18"/>
  <c r="CS141" i="18"/>
  <c r="CR141" i="18"/>
  <c r="CQ141" i="18"/>
  <c r="CP141" i="18"/>
  <c r="CO141" i="18"/>
  <c r="CN141" i="18"/>
  <c r="CM141" i="18"/>
  <c r="CL141" i="18"/>
  <c r="CK141" i="18"/>
  <c r="CJ141" i="18"/>
  <c r="CV140" i="18"/>
  <c r="CU140" i="18"/>
  <c r="CT140" i="18"/>
  <c r="CS140" i="18"/>
  <c r="CR140" i="18"/>
  <c r="CQ140" i="18"/>
  <c r="CP140" i="18"/>
  <c r="CO140" i="18"/>
  <c r="CN140" i="18"/>
  <c r="CM140" i="18"/>
  <c r="CL140" i="18"/>
  <c r="CK140" i="18"/>
  <c r="CJ140" i="18"/>
  <c r="CV139" i="18"/>
  <c r="CU139" i="18"/>
  <c r="CT139" i="18"/>
  <c r="CS139" i="18"/>
  <c r="CR139" i="18"/>
  <c r="CQ139" i="18"/>
  <c r="CP139" i="18"/>
  <c r="CO139" i="18"/>
  <c r="CN139" i="18"/>
  <c r="CM139" i="18"/>
  <c r="CL139" i="18"/>
  <c r="CK139" i="18"/>
  <c r="CJ139" i="18"/>
  <c r="CV138" i="18"/>
  <c r="CU138" i="18"/>
  <c r="CT138" i="18"/>
  <c r="CS138" i="18"/>
  <c r="CQ138" i="18"/>
  <c r="CP138" i="18"/>
  <c r="CO138" i="18"/>
  <c r="CN138" i="18"/>
  <c r="CM138" i="18"/>
  <c r="CL138" i="18"/>
  <c r="CK138" i="18"/>
  <c r="CJ138" i="18"/>
  <c r="CV137" i="18"/>
  <c r="CU137" i="18"/>
  <c r="CT137" i="18"/>
  <c r="CS137" i="18"/>
  <c r="CQ137" i="18"/>
  <c r="CP137" i="18"/>
  <c r="CO137" i="18"/>
  <c r="CN137" i="18"/>
  <c r="CM137" i="18"/>
  <c r="CL137" i="18"/>
  <c r="CK137" i="18"/>
  <c r="CJ137" i="18"/>
  <c r="CV136" i="18"/>
  <c r="CU136" i="18"/>
  <c r="CT136" i="18"/>
  <c r="CS136" i="18"/>
  <c r="CQ136" i="18"/>
  <c r="CP136" i="18"/>
  <c r="CO136" i="18"/>
  <c r="CN136" i="18"/>
  <c r="CM136" i="18"/>
  <c r="CL136" i="18"/>
  <c r="CK136" i="18"/>
  <c r="CJ136" i="18"/>
  <c r="CV135" i="18"/>
  <c r="CU135" i="18"/>
  <c r="CT135" i="18"/>
  <c r="CS135" i="18"/>
  <c r="CQ135" i="18"/>
  <c r="CP135" i="18"/>
  <c r="CO135" i="18"/>
  <c r="CN135" i="18"/>
  <c r="CM135" i="18"/>
  <c r="CL135" i="18"/>
  <c r="CK135" i="18"/>
  <c r="CJ135" i="18"/>
  <c r="CV134" i="18"/>
  <c r="CU134" i="18"/>
  <c r="CT134" i="18"/>
  <c r="CS134" i="18"/>
  <c r="CQ134" i="18"/>
  <c r="CP134" i="18"/>
  <c r="CO134" i="18"/>
  <c r="CN134" i="18"/>
  <c r="CM134" i="18"/>
  <c r="CL134" i="18"/>
  <c r="CK134" i="18"/>
  <c r="CJ134" i="18"/>
  <c r="CV133" i="18"/>
  <c r="CU133" i="18"/>
  <c r="CT133" i="18"/>
  <c r="CS133" i="18"/>
  <c r="CQ133" i="18"/>
  <c r="CP133" i="18"/>
  <c r="CO133" i="18"/>
  <c r="CN133" i="18"/>
  <c r="CM133" i="18"/>
  <c r="CL133" i="18"/>
  <c r="CK133" i="18"/>
  <c r="CJ133" i="18"/>
  <c r="CV132" i="18"/>
  <c r="CU132" i="18"/>
  <c r="CT132" i="18"/>
  <c r="CS132" i="18"/>
  <c r="CQ132" i="18"/>
  <c r="CP132" i="18"/>
  <c r="CO132" i="18"/>
  <c r="CN132" i="18"/>
  <c r="CM132" i="18"/>
  <c r="CL132" i="18"/>
  <c r="CK132" i="18"/>
  <c r="CJ132" i="18"/>
  <c r="CV131" i="18"/>
  <c r="CU131" i="18"/>
  <c r="CT131" i="18"/>
  <c r="CS131" i="18"/>
  <c r="CQ131" i="18"/>
  <c r="CP131" i="18"/>
  <c r="CO131" i="18"/>
  <c r="CN131" i="18"/>
  <c r="CM131" i="18"/>
  <c r="CL131" i="18"/>
  <c r="CK131" i="18"/>
  <c r="CJ131" i="18"/>
  <c r="CV130" i="18"/>
  <c r="CU130" i="18"/>
  <c r="CT130" i="18"/>
  <c r="CS130" i="18"/>
  <c r="CQ130" i="18"/>
  <c r="CP130" i="18"/>
  <c r="CO130" i="18"/>
  <c r="CN130" i="18"/>
  <c r="CM130" i="18"/>
  <c r="CL130" i="18"/>
  <c r="CK130" i="18"/>
  <c r="CJ130" i="18"/>
  <c r="CV129" i="18"/>
  <c r="CU129" i="18"/>
  <c r="CT129" i="18"/>
  <c r="CS129" i="18"/>
  <c r="CQ129" i="18"/>
  <c r="CP129" i="18"/>
  <c r="CO129" i="18"/>
  <c r="CN129" i="18"/>
  <c r="CM129" i="18"/>
  <c r="CL129" i="18"/>
  <c r="CK129" i="18"/>
  <c r="CJ129" i="18"/>
  <c r="CV128" i="18"/>
  <c r="CU128" i="18"/>
  <c r="CT128" i="18"/>
  <c r="CS128" i="18"/>
  <c r="CQ128" i="18"/>
  <c r="CP128" i="18"/>
  <c r="CO128" i="18"/>
  <c r="CN128" i="18"/>
  <c r="CM128" i="18"/>
  <c r="CL128" i="18"/>
  <c r="CK128" i="18"/>
  <c r="CJ128" i="18"/>
  <c r="CV127" i="18"/>
  <c r="CU127" i="18"/>
  <c r="CT127" i="18"/>
  <c r="CS127" i="18"/>
  <c r="CQ127" i="18"/>
  <c r="CP127" i="18"/>
  <c r="CO127" i="18"/>
  <c r="CN127" i="18"/>
  <c r="CM127" i="18"/>
  <c r="CL127" i="18"/>
  <c r="CK127" i="18"/>
  <c r="CJ127" i="18"/>
  <c r="CV126" i="18"/>
  <c r="CU126" i="18"/>
  <c r="CT126" i="18"/>
  <c r="CS126" i="18"/>
  <c r="CQ126" i="18"/>
  <c r="CP126" i="18"/>
  <c r="CO126" i="18"/>
  <c r="CN126" i="18"/>
  <c r="CM126" i="18"/>
  <c r="CL126" i="18"/>
  <c r="CK126" i="18"/>
  <c r="CJ126" i="18"/>
  <c r="CV125" i="18"/>
  <c r="CU125" i="18"/>
  <c r="CT125" i="18"/>
  <c r="CS125" i="18"/>
  <c r="CQ125" i="18"/>
  <c r="CP125" i="18"/>
  <c r="CO125" i="18"/>
  <c r="CN125" i="18"/>
  <c r="CM125" i="18"/>
  <c r="CL125" i="18"/>
  <c r="CK125" i="18"/>
  <c r="CJ125" i="18"/>
  <c r="CV124" i="18"/>
  <c r="CU124" i="18"/>
  <c r="CT124" i="18"/>
  <c r="CS124" i="18"/>
  <c r="CQ124" i="18"/>
  <c r="CP124" i="18"/>
  <c r="CO124" i="18"/>
  <c r="CN124" i="18"/>
  <c r="CM124" i="18"/>
  <c r="CL124" i="18"/>
  <c r="CK124" i="18"/>
  <c r="CJ124" i="18"/>
  <c r="CV123" i="18"/>
  <c r="CU123" i="18"/>
  <c r="CT123" i="18"/>
  <c r="CS123" i="18"/>
  <c r="CQ123" i="18"/>
  <c r="CP123" i="18"/>
  <c r="CO123" i="18"/>
  <c r="CN123" i="18"/>
  <c r="CM123" i="18"/>
  <c r="CL123" i="18"/>
  <c r="CK123" i="18"/>
  <c r="CJ123" i="18"/>
  <c r="CV122" i="18"/>
  <c r="CU122" i="18"/>
  <c r="CT122" i="18"/>
  <c r="CV121" i="18"/>
  <c r="CU121" i="18"/>
  <c r="CT121" i="18"/>
  <c r="CS121" i="18"/>
  <c r="CR121" i="18"/>
  <c r="CQ121" i="18"/>
  <c r="CP121" i="18"/>
  <c r="CO121" i="18"/>
  <c r="CN121" i="18"/>
  <c r="CM121" i="18"/>
  <c r="CL121" i="18"/>
  <c r="CK121" i="18"/>
  <c r="CJ121" i="18"/>
  <c r="CV120" i="18"/>
  <c r="CU120" i="18"/>
  <c r="CT120" i="18"/>
  <c r="CS120" i="18"/>
  <c r="CR120" i="18"/>
  <c r="CQ120" i="18"/>
  <c r="CP120" i="18"/>
  <c r="CO120" i="18"/>
  <c r="CN120" i="18"/>
  <c r="CM120" i="18"/>
  <c r="CL120" i="18"/>
  <c r="CK120" i="18"/>
  <c r="CJ120" i="18"/>
  <c r="CV119" i="18"/>
  <c r="CU119" i="18"/>
  <c r="CT119" i="18"/>
  <c r="CS119" i="18"/>
  <c r="CR119" i="18"/>
  <c r="CQ119" i="18"/>
  <c r="CP119" i="18"/>
  <c r="CO119" i="18"/>
  <c r="CN119" i="18"/>
  <c r="CM119" i="18"/>
  <c r="CL119" i="18"/>
  <c r="CK119" i="18"/>
  <c r="CJ119" i="18"/>
  <c r="CV118" i="18"/>
  <c r="CU118" i="18"/>
  <c r="CT118" i="18"/>
  <c r="CS118" i="18"/>
  <c r="CR118" i="18"/>
  <c r="CQ118" i="18"/>
  <c r="CP118" i="18"/>
  <c r="CO118" i="18"/>
  <c r="CN118" i="18"/>
  <c r="CM118" i="18"/>
  <c r="CL118" i="18"/>
  <c r="CK118" i="18"/>
  <c r="CJ118" i="18"/>
  <c r="CV117" i="18"/>
  <c r="CU117" i="18"/>
  <c r="CT117" i="18"/>
  <c r="CS117" i="18"/>
  <c r="CR117" i="18"/>
  <c r="CQ117" i="18"/>
  <c r="CP117" i="18"/>
  <c r="CO117" i="18"/>
  <c r="CN117" i="18"/>
  <c r="CM117" i="18"/>
  <c r="CL117" i="18"/>
  <c r="CK117" i="18"/>
  <c r="CJ117" i="18"/>
  <c r="CV116" i="18"/>
  <c r="CU116" i="18"/>
  <c r="CT116" i="18"/>
  <c r="CS116" i="18"/>
  <c r="CR116" i="18"/>
  <c r="CQ116" i="18"/>
  <c r="CP116" i="18"/>
  <c r="CO116" i="18"/>
  <c r="CN116" i="18"/>
  <c r="CM116" i="18"/>
  <c r="CL116" i="18"/>
  <c r="CK116" i="18"/>
  <c r="CJ116" i="18"/>
  <c r="CV113" i="18"/>
  <c r="CU113" i="18"/>
  <c r="CT113" i="18"/>
  <c r="CS113" i="18"/>
  <c r="CR113" i="18"/>
  <c r="CQ113" i="18"/>
  <c r="CP113" i="18"/>
  <c r="CO113" i="18"/>
  <c r="CN113" i="18"/>
  <c r="CM113" i="18"/>
  <c r="CL113" i="18"/>
  <c r="CK113" i="18"/>
  <c r="CJ113" i="18"/>
  <c r="CV112" i="18"/>
  <c r="CU112" i="18"/>
  <c r="CT112" i="18"/>
  <c r="CV100" i="18"/>
  <c r="CU100" i="18"/>
  <c r="CT100" i="18"/>
  <c r="CV99" i="18"/>
  <c r="CU99" i="18"/>
  <c r="CT99" i="18"/>
  <c r="CS99" i="18"/>
  <c r="CR99" i="18"/>
  <c r="CQ99" i="18"/>
  <c r="CP99" i="18"/>
  <c r="CO99" i="18"/>
  <c r="CN99" i="18"/>
  <c r="CM99" i="18"/>
  <c r="CL99" i="18"/>
  <c r="CK99" i="18"/>
  <c r="CJ99" i="18"/>
  <c r="CV98" i="18"/>
  <c r="CU98" i="18"/>
  <c r="CT98" i="18"/>
  <c r="CV97" i="18"/>
  <c r="CU97" i="18"/>
  <c r="CT97" i="18"/>
  <c r="CV96" i="18"/>
  <c r="CU96" i="18"/>
  <c r="CT96" i="18"/>
  <c r="CV95" i="18"/>
  <c r="CU95" i="18"/>
  <c r="CT95" i="18"/>
  <c r="CV94" i="18"/>
  <c r="CU94" i="18"/>
  <c r="CT94" i="18"/>
  <c r="CV93" i="18"/>
  <c r="CU93" i="18"/>
  <c r="CT93" i="18"/>
  <c r="CV92" i="18"/>
  <c r="CU92" i="18"/>
  <c r="CT92" i="18"/>
  <c r="CS92" i="18"/>
  <c r="CR92" i="18"/>
  <c r="CQ92" i="18"/>
  <c r="CP92" i="18"/>
  <c r="CO92" i="18"/>
  <c r="CN92" i="18"/>
  <c r="CM92" i="18"/>
  <c r="CL92" i="18"/>
  <c r="CK92" i="18"/>
  <c r="CJ92" i="18"/>
  <c r="CV91" i="18"/>
  <c r="CU91" i="18"/>
  <c r="CT91" i="18"/>
  <c r="CS91" i="18"/>
  <c r="CR91" i="18"/>
  <c r="CQ91" i="18"/>
  <c r="CP91" i="18"/>
  <c r="CO91" i="18"/>
  <c r="CN91" i="18"/>
  <c r="CM91" i="18"/>
  <c r="CL91" i="18"/>
  <c r="CK91" i="18"/>
  <c r="CJ91" i="18"/>
  <c r="CV90" i="18"/>
  <c r="CU90" i="18"/>
  <c r="CT90" i="18"/>
  <c r="CS90" i="18"/>
  <c r="CR90" i="18"/>
  <c r="CQ90" i="18"/>
  <c r="CP90" i="18"/>
  <c r="CO90" i="18"/>
  <c r="CN90" i="18"/>
  <c r="CM90" i="18"/>
  <c r="CL90" i="18"/>
  <c r="CK90" i="18"/>
  <c r="CJ90" i="18"/>
  <c r="CV89" i="18"/>
  <c r="CU89" i="18"/>
  <c r="CT89" i="18"/>
  <c r="CS89" i="18"/>
  <c r="CR89" i="18"/>
  <c r="CQ89" i="18"/>
  <c r="CP89" i="18"/>
  <c r="CO89" i="18"/>
  <c r="CN89" i="18"/>
  <c r="CM89" i="18"/>
  <c r="CL89" i="18"/>
  <c r="CK89" i="18"/>
  <c r="CJ89" i="18"/>
  <c r="CV88" i="18"/>
  <c r="CU88" i="18"/>
  <c r="CV87" i="18"/>
  <c r="CU87" i="18"/>
  <c r="CV86" i="18"/>
  <c r="CU86" i="18"/>
  <c r="CV85" i="18"/>
  <c r="CU85" i="18"/>
  <c r="CV84" i="18"/>
  <c r="CU84" i="18"/>
  <c r="CV83" i="18"/>
  <c r="CU83" i="18"/>
  <c r="CV82" i="18"/>
  <c r="CU82" i="18"/>
  <c r="CT82" i="18"/>
  <c r="CV81" i="18"/>
  <c r="CU81" i="18"/>
  <c r="CT81" i="18"/>
  <c r="CV80" i="18"/>
  <c r="CU80" i="18"/>
  <c r="CT80" i="18"/>
  <c r="CV79" i="18"/>
  <c r="CU79" i="18"/>
  <c r="CT79" i="18"/>
  <c r="CV78" i="18"/>
  <c r="CU78" i="18"/>
  <c r="CT78" i="18"/>
  <c r="CV77" i="18"/>
  <c r="CU77" i="18"/>
  <c r="CT77" i="18"/>
  <c r="CS77" i="18"/>
  <c r="CR77" i="18"/>
  <c r="CQ77" i="18"/>
  <c r="CP77" i="18"/>
  <c r="CO77" i="18"/>
  <c r="CN77" i="18"/>
  <c r="CM77" i="18"/>
  <c r="CL77" i="18"/>
  <c r="CK77" i="18"/>
  <c r="CJ77" i="18"/>
  <c r="CV76" i="18"/>
  <c r="CU76" i="18"/>
  <c r="CT76" i="18"/>
  <c r="CS76" i="18"/>
  <c r="CR76" i="18"/>
  <c r="CQ76" i="18"/>
  <c r="CP76" i="18"/>
  <c r="CO76" i="18"/>
  <c r="CN76" i="18"/>
  <c r="CM76" i="18"/>
  <c r="CL76" i="18"/>
  <c r="CK76" i="18"/>
  <c r="CJ76" i="18"/>
  <c r="CV75" i="18"/>
  <c r="CU75" i="18"/>
  <c r="CT75" i="18"/>
  <c r="CS75" i="18"/>
  <c r="CR75" i="18"/>
  <c r="CQ75" i="18"/>
  <c r="CP75" i="18"/>
  <c r="CO75" i="18"/>
  <c r="CN75" i="18"/>
  <c r="CM75" i="18"/>
  <c r="CL75" i="18"/>
  <c r="CK75" i="18"/>
  <c r="CJ75" i="18"/>
  <c r="CV74" i="18"/>
  <c r="CU74" i="18"/>
  <c r="CT74" i="18"/>
  <c r="CS74" i="18"/>
  <c r="CR74" i="18"/>
  <c r="CQ74" i="18"/>
  <c r="CP74" i="18"/>
  <c r="CO74" i="18"/>
  <c r="CN74" i="18"/>
  <c r="CM74" i="18"/>
  <c r="CL74" i="18"/>
  <c r="CK74" i="18"/>
  <c r="CJ74" i="18"/>
  <c r="CV72" i="18"/>
  <c r="CU72" i="18"/>
  <c r="CT72" i="18"/>
  <c r="CS72" i="18"/>
  <c r="CR72" i="18"/>
  <c r="CQ72" i="18"/>
  <c r="CP72" i="18"/>
  <c r="CO72" i="18"/>
  <c r="CN72" i="18"/>
  <c r="CM72" i="18"/>
  <c r="CL72" i="18"/>
  <c r="CK72" i="18"/>
  <c r="CJ72" i="18"/>
  <c r="CV71" i="18"/>
  <c r="CU71" i="18"/>
  <c r="CT71" i="18"/>
  <c r="CS71" i="18"/>
  <c r="CR71" i="18"/>
  <c r="CQ71" i="18"/>
  <c r="CP71" i="18"/>
  <c r="CO71" i="18"/>
  <c r="CN71" i="18"/>
  <c r="CM71" i="18"/>
  <c r="CL71" i="18"/>
  <c r="CK71" i="18"/>
  <c r="CJ71" i="18"/>
  <c r="CV69" i="18"/>
  <c r="CU69" i="18"/>
  <c r="CT69" i="18"/>
  <c r="CS69" i="18"/>
  <c r="CR69" i="18"/>
  <c r="CQ69" i="18"/>
  <c r="CP69" i="18"/>
  <c r="CO69" i="18"/>
  <c r="CN69" i="18"/>
  <c r="CM69" i="18"/>
  <c r="CL69" i="18"/>
  <c r="CK69" i="18"/>
  <c r="CJ69" i="18"/>
  <c r="CV68" i="18"/>
  <c r="CU68" i="18"/>
  <c r="CT68" i="18"/>
  <c r="CS68" i="18"/>
  <c r="CR68" i="18"/>
  <c r="CQ68" i="18"/>
  <c r="CP68" i="18"/>
  <c r="CO68" i="18"/>
  <c r="CN68" i="18"/>
  <c r="CM68" i="18"/>
  <c r="CL68" i="18"/>
  <c r="CK68" i="18"/>
  <c r="CJ68" i="18"/>
  <c r="CV67" i="18"/>
  <c r="CU67" i="18"/>
  <c r="CT67" i="18"/>
  <c r="CS67" i="18"/>
  <c r="CR67" i="18"/>
  <c r="CQ67" i="18"/>
  <c r="CP67" i="18"/>
  <c r="CO67" i="18"/>
  <c r="CN67" i="18"/>
  <c r="CM67" i="18"/>
  <c r="CL67" i="18"/>
  <c r="CK67" i="18"/>
  <c r="CJ67" i="18"/>
  <c r="CV66" i="18"/>
  <c r="CU66" i="18"/>
  <c r="CT66" i="18"/>
  <c r="CS66" i="18"/>
  <c r="CR66" i="18"/>
  <c r="CQ66" i="18"/>
  <c r="CP66" i="18"/>
  <c r="CO66" i="18"/>
  <c r="CN66" i="18"/>
  <c r="CM66" i="18"/>
  <c r="CL66" i="18"/>
  <c r="CK66" i="18"/>
  <c r="CJ66" i="18"/>
  <c r="CV65" i="18"/>
  <c r="CU65" i="18"/>
  <c r="CT65" i="18"/>
  <c r="CS65" i="18"/>
  <c r="CR65" i="18"/>
  <c r="CQ65" i="18"/>
  <c r="CP65" i="18"/>
  <c r="CO65" i="18"/>
  <c r="CN65" i="18"/>
  <c r="CM65" i="18"/>
  <c r="CL65" i="18"/>
  <c r="CK65" i="18"/>
  <c r="CJ65" i="18"/>
  <c r="CV64" i="18"/>
  <c r="CU64" i="18"/>
  <c r="CT64" i="18"/>
  <c r="CS64" i="18"/>
  <c r="CR64" i="18"/>
  <c r="CQ64" i="18"/>
  <c r="CP64" i="18"/>
  <c r="CO64" i="18"/>
  <c r="CN64" i="18"/>
  <c r="CM64" i="18"/>
  <c r="CL64" i="18"/>
  <c r="CK64" i="18"/>
  <c r="CJ64" i="18"/>
  <c r="CV63" i="18"/>
  <c r="CU63" i="18"/>
  <c r="CT63" i="18"/>
  <c r="CV62" i="18"/>
  <c r="CU62" i="18"/>
  <c r="CT62" i="18"/>
  <c r="CV61" i="18"/>
  <c r="CU61" i="18"/>
  <c r="CT61" i="18"/>
  <c r="CS61" i="18"/>
  <c r="CR61" i="18"/>
  <c r="CQ61" i="18"/>
  <c r="CP61" i="18"/>
  <c r="CO61" i="18"/>
  <c r="CN61" i="18"/>
  <c r="CM61" i="18"/>
  <c r="CL61" i="18"/>
  <c r="CK61" i="18"/>
  <c r="CJ61" i="18"/>
  <c r="CV60" i="18"/>
  <c r="CU60" i="18"/>
  <c r="CT60" i="18"/>
  <c r="CS60" i="18"/>
  <c r="CR60" i="18"/>
  <c r="CQ60" i="18"/>
  <c r="CP60" i="18"/>
  <c r="CO60" i="18"/>
  <c r="CN60" i="18"/>
  <c r="CM60" i="18"/>
  <c r="CL60" i="18"/>
  <c r="CK60" i="18"/>
  <c r="CJ60" i="18"/>
  <c r="CV59" i="18"/>
  <c r="CU59" i="18"/>
  <c r="CT59" i="18"/>
  <c r="CS59" i="18"/>
  <c r="CR59" i="18"/>
  <c r="CQ59" i="18"/>
  <c r="CP59" i="18"/>
  <c r="CO59" i="18"/>
  <c r="CN59" i="18"/>
  <c r="CM59" i="18"/>
  <c r="CL59" i="18"/>
  <c r="CK59" i="18"/>
  <c r="CJ59" i="18"/>
  <c r="CV57" i="18"/>
  <c r="CU57" i="18"/>
  <c r="CT57" i="18"/>
  <c r="CS57" i="18"/>
  <c r="CR57" i="18"/>
  <c r="CQ57" i="18"/>
  <c r="CP57" i="18"/>
  <c r="CO57" i="18"/>
  <c r="CN57" i="18"/>
  <c r="CM57" i="18"/>
  <c r="CL57" i="18"/>
  <c r="CK57" i="18"/>
  <c r="CJ57" i="18"/>
  <c r="CV56" i="18"/>
  <c r="CU56" i="18"/>
  <c r="CT56" i="18"/>
  <c r="CS56" i="18"/>
  <c r="CR56" i="18"/>
  <c r="CQ56" i="18"/>
  <c r="CP56" i="18"/>
  <c r="CO56" i="18"/>
  <c r="CN56" i="18"/>
  <c r="CM56" i="18"/>
  <c r="CL56" i="18"/>
  <c r="CK56" i="18"/>
  <c r="CJ56" i="18"/>
  <c r="CV55" i="18"/>
  <c r="CU55" i="18"/>
  <c r="CT55" i="18"/>
  <c r="CS55" i="18"/>
  <c r="CR55" i="18"/>
  <c r="CQ55" i="18"/>
  <c r="CP55" i="18"/>
  <c r="CO55" i="18"/>
  <c r="CN55" i="18"/>
  <c r="CM55" i="18"/>
  <c r="CL55" i="18"/>
  <c r="CK55" i="18"/>
  <c r="CJ55" i="18"/>
  <c r="CV54" i="18"/>
  <c r="CU54" i="18"/>
  <c r="CT54" i="18"/>
  <c r="CS54" i="18"/>
  <c r="CR54" i="18"/>
  <c r="CQ54" i="18"/>
  <c r="CP54" i="18"/>
  <c r="CO54" i="18"/>
  <c r="CN54" i="18"/>
  <c r="CM54" i="18"/>
  <c r="CL54" i="18"/>
  <c r="CK54" i="18"/>
  <c r="CJ54" i="18"/>
  <c r="CV53" i="18"/>
  <c r="CU53" i="18"/>
  <c r="CT53" i="18"/>
  <c r="CS53" i="18"/>
  <c r="CR53" i="18"/>
  <c r="CQ53" i="18"/>
  <c r="CP53" i="18"/>
  <c r="CO53" i="18"/>
  <c r="CN53" i="18"/>
  <c r="CM53" i="18"/>
  <c r="CL53" i="18"/>
  <c r="CK53" i="18"/>
  <c r="CJ53" i="18"/>
  <c r="CV52" i="18"/>
  <c r="CU52" i="18"/>
  <c r="CT52" i="18"/>
  <c r="CS52" i="18"/>
  <c r="CR52" i="18"/>
  <c r="CQ52" i="18"/>
  <c r="CP52" i="18"/>
  <c r="CO52" i="18"/>
  <c r="CN52" i="18"/>
  <c r="CM52" i="18"/>
  <c r="CL52" i="18"/>
  <c r="CK52" i="18"/>
  <c r="CJ52" i="18"/>
  <c r="CV50" i="18"/>
  <c r="CU50" i="18"/>
  <c r="CT50" i="18"/>
  <c r="CS50" i="18"/>
  <c r="CR50" i="18"/>
  <c r="CP50" i="18"/>
  <c r="CO50" i="18"/>
  <c r="CN50" i="18"/>
  <c r="CM50" i="18"/>
  <c r="CL50" i="18"/>
  <c r="CK50" i="18"/>
  <c r="CJ50" i="18"/>
  <c r="CV49" i="18"/>
  <c r="CU49" i="18"/>
  <c r="CT49" i="18"/>
  <c r="CS49" i="18"/>
  <c r="CR49" i="18"/>
  <c r="CP49" i="18"/>
  <c r="CO49" i="18"/>
  <c r="CN49" i="18"/>
  <c r="CM49" i="18"/>
  <c r="CL49" i="18"/>
  <c r="CK49" i="18"/>
  <c r="CJ49" i="18"/>
  <c r="CV48" i="18"/>
  <c r="CU48" i="18"/>
  <c r="CT48" i="18"/>
  <c r="CS48" i="18"/>
  <c r="CR48" i="18"/>
  <c r="CP48" i="18"/>
  <c r="CO48" i="18"/>
  <c r="CN48" i="18"/>
  <c r="CM48" i="18"/>
  <c r="CL48" i="18"/>
  <c r="CK48" i="18"/>
  <c r="CJ48" i="18"/>
  <c r="CV47" i="18"/>
  <c r="CU47" i="18"/>
  <c r="CT47" i="18"/>
  <c r="CS47" i="18"/>
  <c r="CR47" i="18"/>
  <c r="CP47" i="18"/>
  <c r="CO47" i="18"/>
  <c r="CN47" i="18"/>
  <c r="CM47" i="18"/>
  <c r="CL47" i="18"/>
  <c r="CK47" i="18"/>
  <c r="CJ47" i="18"/>
  <c r="CV46" i="18"/>
  <c r="CU46" i="18"/>
  <c r="CT46" i="18"/>
  <c r="CS46" i="18"/>
  <c r="CR46" i="18"/>
  <c r="CP46" i="18"/>
  <c r="CO46" i="18"/>
  <c r="CN46" i="18"/>
  <c r="CM46" i="18"/>
  <c r="CL46" i="18"/>
  <c r="CK46" i="18"/>
  <c r="CJ46" i="18"/>
  <c r="CV45" i="18"/>
  <c r="CU45" i="18"/>
  <c r="CT45" i="18"/>
  <c r="CS45" i="18"/>
  <c r="CR45" i="18"/>
  <c r="CP45" i="18"/>
  <c r="CO45" i="18"/>
  <c r="CN45" i="18"/>
  <c r="CM45" i="18"/>
  <c r="CL45" i="18"/>
  <c r="CK45" i="18"/>
  <c r="CJ45" i="18"/>
  <c r="CV44" i="18"/>
  <c r="CU44" i="18"/>
  <c r="CT44" i="18"/>
  <c r="CS44" i="18"/>
  <c r="CR44" i="18"/>
  <c r="CP44" i="18"/>
  <c r="CO44" i="18"/>
  <c r="CN44" i="18"/>
  <c r="CM44" i="18"/>
  <c r="CL44" i="18"/>
  <c r="CK44" i="18"/>
  <c r="CJ44" i="18"/>
  <c r="CV42" i="18"/>
  <c r="CU42" i="18"/>
  <c r="CT42" i="18"/>
  <c r="CS42" i="18"/>
  <c r="CR42" i="18"/>
  <c r="CP42" i="18"/>
  <c r="CO42" i="18"/>
  <c r="CN42" i="18"/>
  <c r="CM42" i="18"/>
  <c r="CL42" i="18"/>
  <c r="CK42" i="18"/>
  <c r="CJ42" i="18"/>
  <c r="CV41" i="18"/>
  <c r="CU41" i="18"/>
  <c r="CT41" i="18"/>
  <c r="CS41" i="18"/>
  <c r="CR41" i="18"/>
  <c r="CP41" i="18"/>
  <c r="CO41" i="18"/>
  <c r="CN41" i="18"/>
  <c r="CM41" i="18"/>
  <c r="CL41" i="18"/>
  <c r="CK41" i="18"/>
  <c r="CJ41" i="18"/>
  <c r="CV40" i="18"/>
  <c r="CU40" i="18"/>
  <c r="CT40" i="18"/>
  <c r="CS40" i="18"/>
  <c r="CR40" i="18"/>
  <c r="CP40" i="18"/>
  <c r="CO40" i="18"/>
  <c r="CN40" i="18"/>
  <c r="CM40" i="18"/>
  <c r="CL40" i="18"/>
  <c r="CK40" i="18"/>
  <c r="CJ40" i="18"/>
  <c r="CV39" i="18"/>
  <c r="CU39" i="18"/>
  <c r="CT39" i="18"/>
  <c r="CS39" i="18"/>
  <c r="CR39" i="18"/>
  <c r="CP39" i="18"/>
  <c r="CO39" i="18"/>
  <c r="CN39" i="18"/>
  <c r="CM39" i="18"/>
  <c r="CL39" i="18"/>
  <c r="CK39" i="18"/>
  <c r="CJ39" i="18"/>
  <c r="CV38" i="18"/>
  <c r="CU38" i="18"/>
  <c r="CT38" i="18"/>
  <c r="CS38" i="18"/>
  <c r="CR38" i="18"/>
  <c r="CP38" i="18"/>
  <c r="CO38" i="18"/>
  <c r="CN38" i="18"/>
  <c r="CM38" i="18"/>
  <c r="CL38" i="18"/>
  <c r="CK38" i="18"/>
  <c r="CJ38" i="18"/>
  <c r="CV37" i="18"/>
  <c r="CU37" i="18"/>
  <c r="CT37" i="18"/>
  <c r="CS37" i="18"/>
  <c r="CR37" i="18"/>
  <c r="CP37" i="18"/>
  <c r="CO37" i="18"/>
  <c r="CN37" i="18"/>
  <c r="CM37" i="18"/>
  <c r="CL37" i="18"/>
  <c r="CK37" i="18"/>
  <c r="CJ37" i="18"/>
  <c r="CV36" i="18"/>
  <c r="CU36" i="18"/>
  <c r="CT36" i="18"/>
  <c r="CS36" i="18"/>
  <c r="CR36" i="18"/>
  <c r="CP36" i="18"/>
  <c r="CO36" i="18"/>
  <c r="CN36" i="18"/>
  <c r="CM36" i="18"/>
  <c r="CL36" i="18"/>
  <c r="CK36" i="18"/>
  <c r="CJ36" i="18"/>
  <c r="CV35" i="18"/>
  <c r="CU35" i="18"/>
  <c r="CT35" i="18"/>
  <c r="CS35" i="18"/>
  <c r="CR35" i="18"/>
  <c r="CQ35" i="18"/>
  <c r="CP35" i="18"/>
  <c r="CO35" i="18"/>
  <c r="CN35" i="18"/>
  <c r="CM35" i="18"/>
  <c r="CL35" i="18"/>
  <c r="CK35" i="18"/>
  <c r="CJ35" i="18"/>
  <c r="CV31" i="18"/>
  <c r="CU31" i="18"/>
  <c r="CT31" i="18"/>
  <c r="CS31" i="18"/>
  <c r="CR31" i="18"/>
  <c r="CQ31" i="18"/>
  <c r="CP31" i="18"/>
  <c r="CO31" i="18"/>
  <c r="CN31" i="18"/>
  <c r="CM31" i="18"/>
  <c r="CL31" i="18"/>
  <c r="CK31" i="18"/>
  <c r="CJ31" i="18"/>
  <c r="CV30" i="18"/>
  <c r="CU30" i="18"/>
  <c r="CT30" i="18"/>
  <c r="CS30" i="18"/>
  <c r="CR30" i="18"/>
  <c r="CQ30" i="18"/>
  <c r="CP30" i="18"/>
  <c r="CO30" i="18"/>
  <c r="CN30" i="18"/>
  <c r="CM30" i="18"/>
  <c r="CL30" i="18"/>
  <c r="CK30" i="18"/>
  <c r="CJ30" i="18"/>
  <c r="CV29" i="18"/>
  <c r="CU29" i="18"/>
  <c r="CT29" i="18"/>
  <c r="CS29" i="18"/>
  <c r="CR29" i="18"/>
  <c r="CQ29" i="18"/>
  <c r="CP29" i="18"/>
  <c r="CO29" i="18"/>
  <c r="CN29" i="18"/>
  <c r="CM29" i="18"/>
  <c r="CL29" i="18"/>
  <c r="CK29" i="18"/>
  <c r="CJ29" i="18"/>
  <c r="CV28" i="18"/>
  <c r="CU28" i="18"/>
  <c r="CT28" i="18"/>
  <c r="CS28" i="18"/>
  <c r="CR28" i="18"/>
  <c r="CQ28" i="18"/>
  <c r="CP28" i="18"/>
  <c r="CO28" i="18"/>
  <c r="CN28" i="18"/>
  <c r="CM28" i="18"/>
  <c r="CL28" i="18"/>
  <c r="CK28" i="18"/>
  <c r="CJ28" i="18"/>
  <c r="CV27" i="18"/>
  <c r="CU27" i="18"/>
  <c r="CT27" i="18"/>
  <c r="CS27" i="18"/>
  <c r="CR27" i="18"/>
  <c r="CQ27" i="18"/>
  <c r="CP27" i="18"/>
  <c r="CO27" i="18"/>
  <c r="CN27" i="18"/>
  <c r="CM27" i="18"/>
  <c r="CL27" i="18"/>
  <c r="CK27" i="18"/>
  <c r="CJ27" i="18"/>
  <c r="CV26" i="18"/>
  <c r="CU26" i="18"/>
  <c r="CT26" i="18"/>
  <c r="CS26" i="18"/>
  <c r="CR26" i="18"/>
  <c r="CQ26" i="18"/>
  <c r="CP26" i="18"/>
  <c r="CO26" i="18"/>
  <c r="CN26" i="18"/>
  <c r="CM26" i="18"/>
  <c r="CL26" i="18"/>
  <c r="CK26" i="18"/>
  <c r="CJ26" i="18"/>
  <c r="CV25" i="18"/>
  <c r="CU25" i="18"/>
  <c r="CT25" i="18"/>
  <c r="CS25" i="18"/>
  <c r="CR25" i="18"/>
  <c r="CQ25" i="18"/>
  <c r="CP25" i="18"/>
  <c r="CO25" i="18"/>
  <c r="CN25" i="18"/>
  <c r="CM25" i="18"/>
  <c r="CL25" i="18"/>
  <c r="CK25" i="18"/>
  <c r="CJ25" i="18"/>
  <c r="CV24" i="18"/>
  <c r="CU24" i="18"/>
  <c r="CT24" i="18"/>
  <c r="CS24" i="18"/>
  <c r="CR24" i="18"/>
  <c r="CQ24" i="18"/>
  <c r="CP24" i="18"/>
  <c r="CO24" i="18"/>
  <c r="CN24" i="18"/>
  <c r="CM24" i="18"/>
  <c r="CL24" i="18"/>
  <c r="CK24" i="18"/>
  <c r="CJ24" i="18"/>
  <c r="CV23" i="18"/>
  <c r="CU23" i="18"/>
  <c r="CT23" i="18"/>
  <c r="CS23" i="18"/>
  <c r="CR23" i="18"/>
  <c r="CQ23" i="18"/>
  <c r="CP23" i="18"/>
  <c r="CO23" i="18"/>
  <c r="CN23" i="18"/>
  <c r="CM23" i="18"/>
  <c r="CL23" i="18"/>
  <c r="CK23" i="18"/>
  <c r="CJ23" i="18"/>
  <c r="CV22" i="18"/>
  <c r="CU22" i="18"/>
  <c r="CT22" i="18"/>
  <c r="CS22" i="18"/>
  <c r="CR22" i="18"/>
  <c r="CQ22" i="18"/>
  <c r="CP22" i="18"/>
  <c r="CO22" i="18"/>
  <c r="CN22" i="18"/>
  <c r="CM22" i="18"/>
  <c r="CL22" i="18"/>
  <c r="CK22" i="18"/>
  <c r="CJ22" i="18"/>
  <c r="CV21" i="18"/>
  <c r="CU21" i="18"/>
  <c r="CT21" i="18"/>
  <c r="CS21" i="18"/>
  <c r="CR21" i="18"/>
  <c r="CQ21" i="18"/>
  <c r="CP21" i="18"/>
  <c r="CO21" i="18"/>
  <c r="CN21" i="18"/>
  <c r="CM21" i="18"/>
  <c r="CL21" i="18"/>
  <c r="CK21" i="18"/>
  <c r="CJ21" i="18"/>
  <c r="CV20" i="18"/>
  <c r="CU20" i="18"/>
  <c r="CT20" i="18"/>
  <c r="CS20" i="18"/>
  <c r="CR20" i="18"/>
  <c r="CQ20" i="18"/>
  <c r="CP20" i="18"/>
  <c r="CO20" i="18"/>
  <c r="CN20" i="18"/>
  <c r="CM20" i="18"/>
  <c r="CL20" i="18"/>
  <c r="CK20" i="18"/>
  <c r="CJ20" i="18"/>
  <c r="CV19" i="18"/>
  <c r="CP19" i="18"/>
  <c r="CV18" i="18"/>
  <c r="CU18" i="18"/>
  <c r="CT18" i="18"/>
  <c r="CS18" i="18"/>
  <c r="CR18" i="18"/>
  <c r="CP18" i="18"/>
  <c r="CO18" i="18"/>
  <c r="CN18" i="18"/>
  <c r="CM18" i="18"/>
  <c r="CL18" i="18"/>
  <c r="CK18" i="18"/>
  <c r="CJ18" i="18"/>
  <c r="CV17" i="18"/>
  <c r="CU17" i="18"/>
  <c r="CT17" i="18"/>
  <c r="CS17" i="18"/>
  <c r="CR17" i="18"/>
  <c r="CP17" i="18"/>
  <c r="CO17" i="18"/>
  <c r="CN17" i="18"/>
  <c r="CM17" i="18"/>
  <c r="CL17" i="18"/>
  <c r="CK17" i="18"/>
  <c r="CJ17" i="18"/>
  <c r="CV16" i="18"/>
  <c r="CU16" i="18"/>
  <c r="CT16" i="18"/>
  <c r="CS16" i="18"/>
  <c r="CR16" i="18"/>
  <c r="CP16" i="18"/>
  <c r="CO16" i="18"/>
  <c r="CN16" i="18"/>
  <c r="CM16" i="18"/>
  <c r="CL16" i="18"/>
  <c r="CK16" i="18"/>
  <c r="CJ16" i="18"/>
  <c r="CV15" i="18"/>
  <c r="CU15" i="18"/>
  <c r="CT15" i="18"/>
  <c r="CS15" i="18"/>
  <c r="CR15" i="18"/>
  <c r="CP15" i="18"/>
  <c r="CO15" i="18"/>
  <c r="CN15" i="18"/>
  <c r="CM15" i="18"/>
  <c r="CL15" i="18"/>
  <c r="CK15" i="18"/>
  <c r="CJ15" i="18"/>
  <c r="CV10" i="18"/>
  <c r="CU10" i="18"/>
  <c r="CT10" i="18"/>
  <c r="CS10" i="18"/>
  <c r="CR10" i="18"/>
  <c r="CQ10" i="18"/>
  <c r="CP10" i="18"/>
  <c r="CO10" i="18"/>
  <c r="CN10" i="18"/>
  <c r="CM10" i="18"/>
  <c r="CL10" i="18"/>
  <c r="CK10" i="18"/>
  <c r="CJ10" i="18"/>
  <c r="CV9" i="18"/>
  <c r="CU9" i="18"/>
  <c r="CT9" i="18"/>
  <c r="R3" i="18"/>
  <c r="W162" i="5"/>
  <c r="Z162" i="5" s="1"/>
  <c r="Q162" i="5" s="1"/>
  <c r="K162" i="18" s="1"/>
  <c r="W161" i="5"/>
  <c r="W160" i="5"/>
  <c r="Z160" i="5" s="1"/>
  <c r="Q160" i="5" s="1"/>
  <c r="K160" i="18" s="1"/>
  <c r="W159" i="5"/>
  <c r="Z159" i="5" s="1"/>
  <c r="Q159" i="5" s="1"/>
  <c r="K159" i="18" s="1"/>
  <c r="W156" i="5"/>
  <c r="H184" i="13"/>
  <c r="W164" i="5"/>
  <c r="Z164" i="5" s="1"/>
  <c r="Q164" i="5" s="1"/>
  <c r="K164" i="18" s="1"/>
  <c r="F152" i="13"/>
  <c r="K143" i="13"/>
  <c r="F143" i="13"/>
  <c r="K142" i="13"/>
  <c r="F142" i="13"/>
  <c r="K141" i="13"/>
  <c r="F141" i="13"/>
  <c r="K140" i="13"/>
  <c r="F140" i="13"/>
  <c r="K139" i="13"/>
  <c r="F139" i="13"/>
  <c r="K134" i="13"/>
  <c r="F134" i="13"/>
  <c r="K133" i="13"/>
  <c r="F133" i="13"/>
  <c r="K132" i="13"/>
  <c r="F132" i="13"/>
  <c r="K131" i="13"/>
  <c r="F131" i="13"/>
  <c r="K130" i="13"/>
  <c r="F130" i="13"/>
  <c r="Z161" i="5" l="1"/>
  <c r="Q161" i="5" s="1"/>
  <c r="K161" i="18" s="1"/>
  <c r="F169" i="13"/>
  <c r="F174" i="13" s="1"/>
  <c r="K151" i="13"/>
  <c r="K148" i="13"/>
  <c r="K152" i="13"/>
  <c r="K149" i="13"/>
  <c r="K150" i="13"/>
  <c r="F149" i="13"/>
  <c r="F151" i="13"/>
  <c r="W163" i="5"/>
  <c r="F148" i="13"/>
  <c r="F150" i="13"/>
  <c r="F172" i="13" l="1"/>
  <c r="Z163" i="5"/>
  <c r="Q163" i="5" s="1"/>
  <c r="K163" i="18" s="1"/>
  <c r="F173" i="13"/>
  <c r="F170" i="13"/>
  <c r="F171" i="13"/>
  <c r="W165" i="5"/>
  <c r="Z165" i="5" s="1"/>
  <c r="N84" i="20" l="1"/>
  <c r="N85" i="20"/>
  <c r="I121" i="6" l="1"/>
  <c r="E76" i="17" l="1"/>
  <c r="E75" i="17"/>
  <c r="F235" i="15" l="1"/>
  <c r="E235" i="15"/>
  <c r="D235" i="15"/>
  <c r="AA218" i="15"/>
  <c r="Z218" i="15"/>
  <c r="Y218" i="15"/>
  <c r="X218" i="15"/>
  <c r="W218" i="15"/>
  <c r="V218" i="15"/>
  <c r="U218" i="15"/>
  <c r="T218" i="15"/>
  <c r="AA217" i="15"/>
  <c r="Z217" i="15"/>
  <c r="Y217" i="15"/>
  <c r="X217" i="15"/>
  <c r="W217" i="15"/>
  <c r="V217" i="15"/>
  <c r="U217" i="15"/>
  <c r="T217" i="15"/>
  <c r="H208" i="15"/>
  <c r="H207" i="15"/>
  <c r="G206" i="15"/>
  <c r="H206" i="15" s="1"/>
  <c r="O188" i="15"/>
  <c r="Q143" i="15"/>
  <c r="O143" i="15"/>
  <c r="M143" i="15"/>
  <c r="Q142" i="15"/>
  <c r="O142" i="15"/>
  <c r="M142" i="15"/>
  <c r="Q141" i="15"/>
  <c r="O141" i="15"/>
  <c r="M141" i="15"/>
  <c r="Q140" i="15"/>
  <c r="O140" i="15"/>
  <c r="M140" i="15"/>
  <c r="Q139" i="15"/>
  <c r="O139" i="15"/>
  <c r="M139" i="15"/>
  <c r="Q138" i="15"/>
  <c r="O138" i="15"/>
  <c r="M138" i="15"/>
  <c r="Q137" i="15"/>
  <c r="O137" i="15"/>
  <c r="M137" i="15"/>
  <c r="Q136" i="15"/>
  <c r="O136" i="15"/>
  <c r="M136" i="15"/>
  <c r="Q135" i="15"/>
  <c r="O135" i="15"/>
  <c r="M135" i="15"/>
  <c r="Q134" i="15"/>
  <c r="O134" i="15"/>
  <c r="M134" i="15"/>
  <c r="Q133" i="15"/>
  <c r="O133" i="15"/>
  <c r="M133" i="15"/>
  <c r="Q132" i="15"/>
  <c r="O132" i="15"/>
  <c r="M132" i="15"/>
  <c r="Q131" i="15"/>
  <c r="O131" i="15"/>
  <c r="M131" i="15"/>
  <c r="Q130" i="15"/>
  <c r="O130" i="15"/>
  <c r="M130" i="15"/>
  <c r="Q129" i="15"/>
  <c r="O129" i="15"/>
  <c r="M129" i="15"/>
  <c r="Q128" i="15"/>
  <c r="O128" i="15"/>
  <c r="M128" i="15"/>
  <c r="Q127" i="15"/>
  <c r="O127" i="15"/>
  <c r="M127" i="15"/>
  <c r="Q126" i="15"/>
  <c r="O126" i="15"/>
  <c r="M126" i="15"/>
  <c r="Q125" i="15"/>
  <c r="O125" i="15"/>
  <c r="M125" i="15"/>
  <c r="Q124" i="15"/>
  <c r="O124" i="15"/>
  <c r="M124" i="15"/>
  <c r="Q123" i="15"/>
  <c r="O123" i="15"/>
  <c r="M123" i="15"/>
  <c r="Q122" i="15"/>
  <c r="O122" i="15"/>
  <c r="M122" i="15"/>
  <c r="Q121" i="15"/>
  <c r="O121" i="15"/>
  <c r="M121" i="15"/>
  <c r="Q120" i="15"/>
  <c r="O120" i="15"/>
  <c r="M120" i="15"/>
  <c r="Q119" i="15"/>
  <c r="O119" i="15"/>
  <c r="M119" i="15"/>
  <c r="Q118" i="15"/>
  <c r="O118" i="15"/>
  <c r="M118" i="15"/>
  <c r="Q117" i="15"/>
  <c r="O117" i="15"/>
  <c r="M117" i="15"/>
  <c r="Q116" i="15"/>
  <c r="O116" i="15"/>
  <c r="M116" i="15"/>
  <c r="Q115" i="15"/>
  <c r="O115" i="15"/>
  <c r="M115" i="15"/>
  <c r="Q114" i="15"/>
  <c r="O114" i="15"/>
  <c r="M114" i="15"/>
  <c r="Q113" i="15"/>
  <c r="O113" i="15"/>
  <c r="M113" i="15"/>
  <c r="Q112" i="15"/>
  <c r="O112" i="15"/>
  <c r="M112" i="15"/>
  <c r="Q111" i="15"/>
  <c r="O111" i="15"/>
  <c r="M111" i="15"/>
  <c r="Q110" i="15"/>
  <c r="O110" i="15"/>
  <c r="M110" i="15"/>
  <c r="Q109" i="15"/>
  <c r="O109" i="15"/>
  <c r="M109" i="15"/>
  <c r="Q108" i="15"/>
  <c r="O108" i="15"/>
  <c r="M108" i="15"/>
  <c r="Q107" i="15"/>
  <c r="O107" i="15"/>
  <c r="M107" i="15"/>
  <c r="Q106" i="15"/>
  <c r="O106" i="15"/>
  <c r="M106" i="15"/>
  <c r="Q105" i="15"/>
  <c r="O105" i="15"/>
  <c r="M105" i="15"/>
  <c r="I101" i="15"/>
  <c r="P188" i="15" s="1"/>
  <c r="Q91" i="15"/>
  <c r="P91" i="15"/>
  <c r="O91" i="15"/>
  <c r="N91" i="15"/>
  <c r="M91" i="15"/>
  <c r="L91" i="15"/>
  <c r="K91" i="15"/>
  <c r="J91" i="15"/>
  <c r="I91" i="15"/>
  <c r="Q88" i="15"/>
  <c r="P88" i="15"/>
  <c r="O88" i="15"/>
  <c r="N88" i="15"/>
  <c r="M88" i="15"/>
  <c r="L88" i="15"/>
  <c r="K88" i="15"/>
  <c r="J88" i="15"/>
  <c r="I88" i="15"/>
  <c r="Q85" i="15"/>
  <c r="P85" i="15"/>
  <c r="O85" i="15"/>
  <c r="N85" i="15"/>
  <c r="M85" i="15"/>
  <c r="L85" i="15"/>
  <c r="K85" i="15"/>
  <c r="J85" i="15"/>
  <c r="I85" i="15"/>
  <c r="Q82" i="15"/>
  <c r="P82" i="15"/>
  <c r="O82" i="15"/>
  <c r="N82" i="15"/>
  <c r="M82" i="15"/>
  <c r="L82" i="15"/>
  <c r="K82" i="15"/>
  <c r="J82" i="15"/>
  <c r="I82" i="15"/>
  <c r="Q79" i="15"/>
  <c r="P79" i="15"/>
  <c r="O79" i="15"/>
  <c r="N79" i="15"/>
  <c r="M79" i="15"/>
  <c r="L79" i="15"/>
  <c r="K79" i="15"/>
  <c r="J79" i="15"/>
  <c r="I79" i="15"/>
  <c r="Q76" i="15"/>
  <c r="P76" i="15"/>
  <c r="O76" i="15"/>
  <c r="N76" i="15"/>
  <c r="M76" i="15"/>
  <c r="L76" i="15"/>
  <c r="K76" i="15"/>
  <c r="J76" i="15"/>
  <c r="I76" i="15"/>
  <c r="Q73" i="15"/>
  <c r="P73" i="15"/>
  <c r="O73" i="15"/>
  <c r="K73" i="15"/>
  <c r="J73" i="15"/>
  <c r="I73" i="15"/>
  <c r="Q70" i="15"/>
  <c r="P70" i="15"/>
  <c r="O70" i="15"/>
  <c r="N70" i="15"/>
  <c r="M70" i="15"/>
  <c r="L70" i="15"/>
  <c r="K70" i="15"/>
  <c r="J70" i="15"/>
  <c r="I70" i="15"/>
  <c r="Q67" i="15"/>
  <c r="P67" i="15"/>
  <c r="O67" i="15"/>
  <c r="N67" i="15"/>
  <c r="M67" i="15"/>
  <c r="L67" i="15"/>
  <c r="K67" i="15"/>
  <c r="J67" i="15"/>
  <c r="I67" i="15"/>
  <c r="G18" i="15"/>
  <c r="G24" i="15" s="1"/>
  <c r="G30" i="15" s="1"/>
  <c r="G36" i="15" s="1"/>
  <c r="G42" i="15" s="1"/>
  <c r="G48" i="15" s="1"/>
  <c r="G54" i="15" s="1"/>
  <c r="G60" i="15" s="1"/>
  <c r="G17" i="15"/>
  <c r="G23" i="15" s="1"/>
  <c r="G29" i="15" s="1"/>
  <c r="G35" i="15" s="1"/>
  <c r="G41" i="15" s="1"/>
  <c r="G47" i="15" s="1"/>
  <c r="G53" i="15" s="1"/>
  <c r="G59" i="15" s="1"/>
  <c r="G16" i="15"/>
  <c r="G22" i="15" s="1"/>
  <c r="G28" i="15" s="1"/>
  <c r="G34" i="15" s="1"/>
  <c r="G40" i="15" s="1"/>
  <c r="G46" i="15" s="1"/>
  <c r="G52" i="15" s="1"/>
  <c r="G58" i="15" s="1"/>
  <c r="G15" i="15"/>
  <c r="G21" i="15" s="1"/>
  <c r="G27" i="15" s="1"/>
  <c r="G33" i="15" s="1"/>
  <c r="G39" i="15" s="1"/>
  <c r="G45" i="15" s="1"/>
  <c r="G51" i="15" s="1"/>
  <c r="G57" i="15" s="1"/>
  <c r="G14" i="15"/>
  <c r="G20" i="15" s="1"/>
  <c r="G26" i="15" s="1"/>
  <c r="G32" i="15" s="1"/>
  <c r="G38" i="15" s="1"/>
  <c r="G44" i="15" s="1"/>
  <c r="G50" i="15" s="1"/>
  <c r="G56" i="15" s="1"/>
  <c r="G13" i="15"/>
  <c r="G19" i="15" s="1"/>
  <c r="G25" i="15" s="1"/>
  <c r="G31" i="15" s="1"/>
  <c r="G37" i="15" s="1"/>
  <c r="G43" i="15" s="1"/>
  <c r="G49" i="15" s="1"/>
  <c r="G55" i="15" s="1"/>
  <c r="D7" i="17"/>
  <c r="E7" i="17" s="1"/>
  <c r="F3" i="17"/>
  <c r="F2" i="17"/>
  <c r="D64" i="16"/>
  <c r="E43" i="16"/>
  <c r="D43" i="16"/>
  <c r="E42" i="16"/>
  <c r="D42" i="16"/>
  <c r="E41" i="16"/>
  <c r="D41" i="16"/>
  <c r="E39" i="16"/>
  <c r="D39" i="16"/>
  <c r="E38" i="16"/>
  <c r="D38" i="16"/>
  <c r="E36" i="16"/>
  <c r="D36" i="16"/>
  <c r="D7" i="16"/>
  <c r="E7" i="16" s="1"/>
  <c r="F3" i="16"/>
  <c r="F2" i="16"/>
  <c r="L194" i="18"/>
  <c r="L193" i="18"/>
  <c r="L191" i="18"/>
  <c r="L190" i="18"/>
  <c r="L189" i="18"/>
  <c r="CA183" i="18"/>
  <c r="CS183" i="18" s="1"/>
  <c r="BZ183" i="18"/>
  <c r="CR183" i="18" s="1"/>
  <c r="BY183" i="18"/>
  <c r="CQ183" i="18" s="1"/>
  <c r="BX183" i="18"/>
  <c r="CP183" i="18" s="1"/>
  <c r="BW183" i="18"/>
  <c r="CO183" i="18" s="1"/>
  <c r="BV183" i="18"/>
  <c r="CN183" i="18" s="1"/>
  <c r="BU183" i="18"/>
  <c r="CM183" i="18" s="1"/>
  <c r="BT183" i="18"/>
  <c r="CL183" i="18" s="1"/>
  <c r="BS183" i="18"/>
  <c r="CK183" i="18" s="1"/>
  <c r="BR183" i="18"/>
  <c r="BJ183" i="18"/>
  <c r="BI183" i="18"/>
  <c r="BH183" i="18"/>
  <c r="BG183" i="18"/>
  <c r="BF183" i="18"/>
  <c r="BE183" i="18"/>
  <c r="BD183" i="18"/>
  <c r="BC183" i="18"/>
  <c r="BB183" i="18"/>
  <c r="BA183" i="18"/>
  <c r="CA174" i="18"/>
  <c r="CS174" i="18" s="1"/>
  <c r="BZ174" i="18"/>
  <c r="CR174" i="18" s="1"/>
  <c r="BY174" i="18"/>
  <c r="CQ174" i="18" s="1"/>
  <c r="BX174" i="18"/>
  <c r="CP174" i="18" s="1"/>
  <c r="BW174" i="18"/>
  <c r="CO174" i="18" s="1"/>
  <c r="BV174" i="18"/>
  <c r="CN174" i="18" s="1"/>
  <c r="BU174" i="18"/>
  <c r="CM174" i="18" s="1"/>
  <c r="BT174" i="18"/>
  <c r="CL174" i="18" s="1"/>
  <c r="BS174" i="18"/>
  <c r="CK174" i="18" s="1"/>
  <c r="BR174" i="18"/>
  <c r="CJ174" i="18" s="1"/>
  <c r="BJ174" i="18"/>
  <c r="BI174" i="18"/>
  <c r="BH174" i="18"/>
  <c r="BG174" i="18"/>
  <c r="BF174" i="18"/>
  <c r="BE174" i="18"/>
  <c r="BD174" i="18"/>
  <c r="BC174" i="18"/>
  <c r="BB174" i="18"/>
  <c r="BA174" i="18"/>
  <c r="CA173" i="18"/>
  <c r="CS173" i="18" s="1"/>
  <c r="BZ173" i="18"/>
  <c r="CR173" i="18" s="1"/>
  <c r="BY173" i="18"/>
  <c r="CQ173" i="18" s="1"/>
  <c r="BX173" i="18"/>
  <c r="CP173" i="18" s="1"/>
  <c r="BW173" i="18"/>
  <c r="CO173" i="18" s="1"/>
  <c r="BV173" i="18"/>
  <c r="CN173" i="18" s="1"/>
  <c r="BU173" i="18"/>
  <c r="CM173" i="18" s="1"/>
  <c r="BT173" i="18"/>
  <c r="CL173" i="18" s="1"/>
  <c r="BS173" i="18"/>
  <c r="CK173" i="18" s="1"/>
  <c r="BR173" i="18"/>
  <c r="CJ173" i="18" s="1"/>
  <c r="BJ173" i="18"/>
  <c r="BI173" i="18"/>
  <c r="BH173" i="18"/>
  <c r="BG173" i="18"/>
  <c r="BF173" i="18"/>
  <c r="BE173" i="18"/>
  <c r="BD173" i="18"/>
  <c r="BC173" i="18"/>
  <c r="BB173" i="18"/>
  <c r="BA173" i="18"/>
  <c r="L157" i="18"/>
  <c r="CF139" i="18"/>
  <c r="CF138" i="18"/>
  <c r="CF137" i="18"/>
  <c r="CF136" i="18"/>
  <c r="CF135" i="18"/>
  <c r="CF134" i="18"/>
  <c r="CF133" i="18"/>
  <c r="CF132" i="18"/>
  <c r="H120" i="18"/>
  <c r="H99" i="18"/>
  <c r="L43" i="18"/>
  <c r="L9" i="18"/>
  <c r="AD8" i="18"/>
  <c r="AC8" i="18"/>
  <c r="X8" i="18"/>
  <c r="W8" i="18"/>
  <c r="Q3" i="18"/>
  <c r="P3" i="18"/>
  <c r="H127" i="6"/>
  <c r="H125" i="6"/>
  <c r="R25" i="6"/>
  <c r="R24" i="6"/>
  <c r="S23" i="6"/>
  <c r="R23" i="6"/>
  <c r="S22" i="6"/>
  <c r="R22" i="6"/>
  <c r="F22" i="6"/>
  <c r="H41" i="15" s="1"/>
  <c r="U21" i="6"/>
  <c r="T21" i="6"/>
  <c r="S21" i="6"/>
  <c r="R21" i="6"/>
  <c r="F21" i="6"/>
  <c r="H46" i="15" s="1"/>
  <c r="M46" i="15" s="1"/>
  <c r="S20" i="6"/>
  <c r="R20" i="6"/>
  <c r="F20" i="6"/>
  <c r="S19" i="6"/>
  <c r="R19" i="6"/>
  <c r="R18" i="6"/>
  <c r="N18" i="6"/>
  <c r="S17" i="6"/>
  <c r="R17" i="6"/>
  <c r="N17" i="6"/>
  <c r="S16" i="6"/>
  <c r="R16" i="6"/>
  <c r="N16" i="6"/>
  <c r="R15" i="6"/>
  <c r="N15" i="6"/>
  <c r="S14" i="6"/>
  <c r="R14" i="6"/>
  <c r="N14" i="6"/>
  <c r="S13" i="6"/>
  <c r="R13" i="6"/>
  <c r="N13" i="6"/>
  <c r="S12" i="6"/>
  <c r="R12" i="6"/>
  <c r="N12" i="6"/>
  <c r="AA11" i="6"/>
  <c r="S11" i="6"/>
  <c r="R11" i="6"/>
  <c r="N11" i="6"/>
  <c r="R10" i="6"/>
  <c r="S9" i="6"/>
  <c r="R9" i="6"/>
  <c r="R8" i="6"/>
  <c r="N3" i="6"/>
  <c r="B3" i="6"/>
  <c r="N2" i="6"/>
  <c r="B2" i="6"/>
  <c r="F268" i="14"/>
  <c r="F267" i="14"/>
  <c r="F266" i="14"/>
  <c r="F265" i="14"/>
  <c r="F264" i="14"/>
  <c r="F237" i="14"/>
  <c r="F236" i="14"/>
  <c r="F235" i="14"/>
  <c r="F234" i="14"/>
  <c r="F233" i="14"/>
  <c r="F218" i="14"/>
  <c r="F209" i="14"/>
  <c r="F208" i="14"/>
  <c r="F207" i="14"/>
  <c r="F206" i="14"/>
  <c r="F205" i="14"/>
  <c r="F198" i="14"/>
  <c r="F197" i="14"/>
  <c r="F196" i="14"/>
  <c r="F195" i="14"/>
  <c r="F194" i="14"/>
  <c r="F177" i="14"/>
  <c r="F176" i="14"/>
  <c r="F175" i="14"/>
  <c r="F174" i="14"/>
  <c r="F173" i="14"/>
  <c r="F149" i="14"/>
  <c r="F148" i="14"/>
  <c r="F147" i="14"/>
  <c r="F146" i="14"/>
  <c r="F145" i="14"/>
  <c r="G138" i="14"/>
  <c r="F98" i="14"/>
  <c r="F97" i="14"/>
  <c r="F96" i="14"/>
  <c r="F95" i="14"/>
  <c r="F94" i="14"/>
  <c r="F88" i="14"/>
  <c r="F87" i="14"/>
  <c r="F86" i="14"/>
  <c r="F85" i="14"/>
  <c r="F84" i="14"/>
  <c r="F33" i="14"/>
  <c r="F32" i="14"/>
  <c r="F31" i="14"/>
  <c r="F30" i="14"/>
  <c r="O9" i="14"/>
  <c r="N1" i="14"/>
  <c r="F294" i="13"/>
  <c r="F293" i="13"/>
  <c r="F292" i="13"/>
  <c r="F291" i="13"/>
  <c r="F290" i="13"/>
  <c r="F228" i="13"/>
  <c r="F217" i="13"/>
  <c r="F227" i="13"/>
  <c r="F216" i="13"/>
  <c r="F226" i="13"/>
  <c r="F215" i="13"/>
  <c r="F225" i="13"/>
  <c r="F214" i="13"/>
  <c r="F224" i="13"/>
  <c r="F106" i="13"/>
  <c r="F105" i="13"/>
  <c r="F104" i="13"/>
  <c r="F103" i="13"/>
  <c r="F102" i="13"/>
  <c r="F92" i="13"/>
  <c r="F91" i="13"/>
  <c r="F90" i="13"/>
  <c r="F89" i="13"/>
  <c r="F88" i="13"/>
  <c r="F76" i="13"/>
  <c r="F75" i="13"/>
  <c r="F74" i="13"/>
  <c r="F73" i="13"/>
  <c r="F72" i="13"/>
  <c r="F66" i="13"/>
  <c r="F65" i="13"/>
  <c r="F64" i="13"/>
  <c r="F63" i="13"/>
  <c r="F62" i="13"/>
  <c r="M49" i="13"/>
  <c r="M48" i="13"/>
  <c r="M47" i="13"/>
  <c r="M46" i="13"/>
  <c r="M45" i="13"/>
  <c r="K30" i="13"/>
  <c r="F30" i="13"/>
  <c r="K29" i="13"/>
  <c r="F29" i="13"/>
  <c r="K28" i="13"/>
  <c r="F28" i="13"/>
  <c r="K27" i="13"/>
  <c r="F27" i="13"/>
  <c r="K26" i="13"/>
  <c r="F26" i="13"/>
  <c r="F19" i="13"/>
  <c r="F18" i="13"/>
  <c r="F17" i="13"/>
  <c r="F16" i="13"/>
  <c r="F15" i="13"/>
  <c r="O5" i="13"/>
  <c r="O4" i="13"/>
  <c r="O3" i="13"/>
  <c r="O9" i="13"/>
  <c r="M1" i="13"/>
  <c r="H121" i="6"/>
  <c r="L118" i="20"/>
  <c r="M117" i="20"/>
  <c r="N117" i="20" s="1"/>
  <c r="H110" i="20"/>
  <c r="G93" i="20"/>
  <c r="F127" i="6"/>
  <c r="L21" i="11"/>
  <c r="L27" i="11" s="1"/>
  <c r="J6" i="20"/>
  <c r="N2" i="20"/>
  <c r="K153" i="11"/>
  <c r="K152" i="11"/>
  <c r="K151" i="11"/>
  <c r="K150" i="11"/>
  <c r="K149" i="11"/>
  <c r="K122" i="11"/>
  <c r="F122" i="11"/>
  <c r="K121" i="11"/>
  <c r="F121" i="11"/>
  <c r="K120" i="11"/>
  <c r="F120" i="11"/>
  <c r="K119" i="11"/>
  <c r="F119" i="11"/>
  <c r="K118" i="11"/>
  <c r="F118" i="11"/>
  <c r="F108" i="11"/>
  <c r="F107" i="11"/>
  <c r="F106" i="11"/>
  <c r="F105" i="11"/>
  <c r="F104" i="11"/>
  <c r="F97" i="11"/>
  <c r="F96" i="11"/>
  <c r="F95" i="11"/>
  <c r="F94" i="11"/>
  <c r="F93" i="11"/>
  <c r="F82" i="11"/>
  <c r="F19" i="11"/>
  <c r="F18" i="11"/>
  <c r="F17" i="11"/>
  <c r="F16" i="11"/>
  <c r="F15" i="11"/>
  <c r="O5" i="11"/>
  <c r="O4" i="11"/>
  <c r="O3" i="11"/>
  <c r="O9" i="11"/>
  <c r="N1" i="11"/>
  <c r="G92" i="10"/>
  <c r="G58" i="10"/>
  <c r="G38" i="10"/>
  <c r="G24" i="10" s="1"/>
  <c r="F13" i="10" s="1"/>
  <c r="O5" i="10"/>
  <c r="O4" i="10"/>
  <c r="O3" i="10"/>
  <c r="O9" i="10"/>
  <c r="N1" i="10"/>
  <c r="K422" i="9"/>
  <c r="F422" i="9"/>
  <c r="K421" i="9"/>
  <c r="F421" i="9"/>
  <c r="K420" i="9"/>
  <c r="F420" i="9"/>
  <c r="K419" i="9"/>
  <c r="F419" i="9"/>
  <c r="K418" i="9"/>
  <c r="F418" i="9"/>
  <c r="E418" i="9"/>
  <c r="K412" i="9"/>
  <c r="F412" i="9"/>
  <c r="K411" i="9"/>
  <c r="F411" i="9"/>
  <c r="K410" i="9"/>
  <c r="F410" i="9"/>
  <c r="K409" i="9"/>
  <c r="F409" i="9"/>
  <c r="K408" i="9"/>
  <c r="F408" i="9"/>
  <c r="K402" i="9"/>
  <c r="F402" i="9"/>
  <c r="K401" i="9"/>
  <c r="F401" i="9"/>
  <c r="K400" i="9"/>
  <c r="F400" i="9"/>
  <c r="K399" i="9"/>
  <c r="F399" i="9"/>
  <c r="K398" i="9"/>
  <c r="F398" i="9"/>
  <c r="M390" i="9"/>
  <c r="F390" i="9"/>
  <c r="M389" i="9"/>
  <c r="F389" i="9"/>
  <c r="M388" i="9"/>
  <c r="F388" i="9"/>
  <c r="M387" i="9"/>
  <c r="F387" i="9"/>
  <c r="M386" i="9"/>
  <c r="F386" i="9"/>
  <c r="K378" i="9"/>
  <c r="F378" i="9"/>
  <c r="K377" i="9"/>
  <c r="F377" i="9"/>
  <c r="K376" i="9"/>
  <c r="F376" i="9"/>
  <c r="K375" i="9"/>
  <c r="F375" i="9"/>
  <c r="K374" i="9"/>
  <c r="F374" i="9"/>
  <c r="K367" i="9"/>
  <c r="F367" i="9"/>
  <c r="K366" i="9"/>
  <c r="F366" i="9"/>
  <c r="K365" i="9"/>
  <c r="F365" i="9"/>
  <c r="K364" i="9"/>
  <c r="F364" i="9"/>
  <c r="K363" i="9"/>
  <c r="F363" i="9"/>
  <c r="F346" i="9"/>
  <c r="F345" i="9"/>
  <c r="F344" i="9"/>
  <c r="F343" i="9"/>
  <c r="F342" i="9"/>
  <c r="F336" i="9"/>
  <c r="F335" i="9"/>
  <c r="F334" i="9"/>
  <c r="F333" i="9"/>
  <c r="F332" i="9"/>
  <c r="I308" i="9"/>
  <c r="K308" i="9" s="1"/>
  <c r="F268" i="9"/>
  <c r="F267" i="9"/>
  <c r="F266" i="9"/>
  <c r="F265" i="9"/>
  <c r="F264" i="9"/>
  <c r="K258" i="9"/>
  <c r="F258" i="9"/>
  <c r="K257" i="9"/>
  <c r="F257" i="9"/>
  <c r="K256" i="9"/>
  <c r="F256" i="9"/>
  <c r="K255" i="9"/>
  <c r="F255" i="9"/>
  <c r="K254" i="9"/>
  <c r="F254" i="9"/>
  <c r="K246" i="9"/>
  <c r="F246" i="9"/>
  <c r="K245" i="9"/>
  <c r="F245" i="9"/>
  <c r="K244" i="9"/>
  <c r="F244" i="9"/>
  <c r="K243" i="9"/>
  <c r="F243" i="9"/>
  <c r="K242" i="9"/>
  <c r="F242" i="9"/>
  <c r="K235" i="9"/>
  <c r="F235" i="9"/>
  <c r="K234" i="9"/>
  <c r="F234" i="9"/>
  <c r="K233" i="9"/>
  <c r="F233" i="9"/>
  <c r="K232" i="9"/>
  <c r="F232" i="9"/>
  <c r="K231" i="9"/>
  <c r="F231" i="9"/>
  <c r="K224" i="9"/>
  <c r="F224" i="9"/>
  <c r="K223" i="9"/>
  <c r="F223" i="9"/>
  <c r="K222" i="9"/>
  <c r="F222" i="9"/>
  <c r="K221" i="9"/>
  <c r="F221" i="9"/>
  <c r="K220" i="9"/>
  <c r="F220" i="9"/>
  <c r="K213" i="9"/>
  <c r="F213" i="9"/>
  <c r="K212" i="9"/>
  <c r="F212" i="9"/>
  <c r="K211" i="9"/>
  <c r="F211" i="9"/>
  <c r="K210" i="9"/>
  <c r="F210" i="9"/>
  <c r="K209" i="9"/>
  <c r="F209" i="9"/>
  <c r="G202" i="9"/>
  <c r="G119" i="9"/>
  <c r="G111" i="9" s="1"/>
  <c r="F63" i="9"/>
  <c r="F62" i="9"/>
  <c r="F61" i="9"/>
  <c r="F60" i="9"/>
  <c r="F59" i="9"/>
  <c r="M53" i="9"/>
  <c r="F53" i="9"/>
  <c r="M52" i="9"/>
  <c r="F52" i="9"/>
  <c r="M51" i="9"/>
  <c r="F51" i="9"/>
  <c r="M50" i="9"/>
  <c r="F50" i="9"/>
  <c r="M49" i="9"/>
  <c r="F49" i="9"/>
  <c r="F42" i="9"/>
  <c r="F41" i="9"/>
  <c r="F40" i="9"/>
  <c r="F39" i="9"/>
  <c r="F38" i="9"/>
  <c r="K31" i="9"/>
  <c r="F31" i="9"/>
  <c r="K30" i="9"/>
  <c r="F30" i="9"/>
  <c r="K29" i="9"/>
  <c r="F29" i="9"/>
  <c r="K28" i="9"/>
  <c r="F28" i="9"/>
  <c r="K27" i="9"/>
  <c r="F27" i="9"/>
  <c r="K20" i="9"/>
  <c r="F20" i="9"/>
  <c r="K19" i="9"/>
  <c r="F19" i="9"/>
  <c r="K18" i="9"/>
  <c r="F18" i="9"/>
  <c r="K17" i="9"/>
  <c r="F17" i="9"/>
  <c r="K16" i="9"/>
  <c r="F16" i="9"/>
  <c r="O6" i="9"/>
  <c r="O5" i="9"/>
  <c r="O4" i="9"/>
  <c r="O3" i="9"/>
  <c r="O9" i="9"/>
  <c r="N1" i="9"/>
  <c r="K475" i="8"/>
  <c r="F475" i="8"/>
  <c r="K474" i="8"/>
  <c r="F474" i="8"/>
  <c r="K473" i="8"/>
  <c r="F473" i="8"/>
  <c r="K472" i="8"/>
  <c r="F472" i="8"/>
  <c r="K471" i="8"/>
  <c r="F471" i="8"/>
  <c r="K464" i="8"/>
  <c r="F464" i="8"/>
  <c r="K463" i="8"/>
  <c r="F463" i="8"/>
  <c r="K462" i="8"/>
  <c r="F462" i="8"/>
  <c r="K461" i="8"/>
  <c r="F461" i="8"/>
  <c r="K460" i="8"/>
  <c r="F460" i="8"/>
  <c r="K455" i="8"/>
  <c r="F455" i="8"/>
  <c r="K454" i="8"/>
  <c r="F454" i="8"/>
  <c r="K453" i="8"/>
  <c r="F453" i="8"/>
  <c r="K452" i="8"/>
  <c r="F452" i="8"/>
  <c r="K451" i="8"/>
  <c r="F451" i="8"/>
  <c r="K444" i="8"/>
  <c r="F444" i="8"/>
  <c r="K443" i="8"/>
  <c r="F443" i="8"/>
  <c r="K442" i="8"/>
  <c r="F442" i="8"/>
  <c r="K441" i="8"/>
  <c r="F441" i="8"/>
  <c r="K440" i="8"/>
  <c r="F440" i="8"/>
  <c r="K434" i="8"/>
  <c r="F434" i="8"/>
  <c r="K433" i="8"/>
  <c r="F433" i="8"/>
  <c r="K432" i="8"/>
  <c r="F432" i="8"/>
  <c r="K431" i="8"/>
  <c r="F431" i="8"/>
  <c r="K430" i="8"/>
  <c r="F430" i="8"/>
  <c r="K423" i="8"/>
  <c r="F423" i="8"/>
  <c r="K422" i="8"/>
  <c r="F422" i="8"/>
  <c r="K421" i="8"/>
  <c r="F421" i="8"/>
  <c r="K420" i="8"/>
  <c r="F420" i="8"/>
  <c r="K419" i="8"/>
  <c r="F419" i="8"/>
  <c r="K414" i="8"/>
  <c r="F414" i="8"/>
  <c r="K413" i="8"/>
  <c r="F413" i="8"/>
  <c r="K412" i="8"/>
  <c r="F412" i="8"/>
  <c r="K411" i="8"/>
  <c r="F411" i="8"/>
  <c r="K410" i="8"/>
  <c r="F410" i="8"/>
  <c r="K405" i="8"/>
  <c r="F405" i="8"/>
  <c r="K404" i="8"/>
  <c r="F404" i="8"/>
  <c r="K403" i="8"/>
  <c r="F403" i="8"/>
  <c r="K402" i="8"/>
  <c r="F402" i="8"/>
  <c r="K401" i="8"/>
  <c r="F401" i="8"/>
  <c r="K395" i="8"/>
  <c r="F395" i="8"/>
  <c r="K394" i="8"/>
  <c r="F394" i="8"/>
  <c r="K393" i="8"/>
  <c r="F393" i="8"/>
  <c r="K392" i="8"/>
  <c r="F392" i="8"/>
  <c r="K391" i="8"/>
  <c r="F391" i="8"/>
  <c r="K366" i="8"/>
  <c r="F366" i="8"/>
  <c r="K365" i="8"/>
  <c r="F365" i="8"/>
  <c r="K364" i="8"/>
  <c r="F364" i="8"/>
  <c r="K363" i="8"/>
  <c r="F363" i="8"/>
  <c r="K362" i="8"/>
  <c r="F362" i="8"/>
  <c r="M357" i="8"/>
  <c r="F357" i="8"/>
  <c r="M356" i="8"/>
  <c r="F356" i="8"/>
  <c r="M355" i="8"/>
  <c r="F355" i="8"/>
  <c r="M354" i="8"/>
  <c r="F354" i="8"/>
  <c r="M353" i="8"/>
  <c r="F353" i="8"/>
  <c r="F342" i="8"/>
  <c r="F341" i="8"/>
  <c r="F340" i="8"/>
  <c r="F339" i="8"/>
  <c r="F338" i="8"/>
  <c r="K332" i="8"/>
  <c r="F332" i="8"/>
  <c r="K331" i="8"/>
  <c r="F331" i="8"/>
  <c r="K330" i="8"/>
  <c r="F330" i="8"/>
  <c r="K329" i="8"/>
  <c r="F329" i="8"/>
  <c r="K328" i="8"/>
  <c r="F328" i="8"/>
  <c r="K323" i="8"/>
  <c r="F323" i="8"/>
  <c r="K322" i="8"/>
  <c r="F322" i="8"/>
  <c r="K321" i="8"/>
  <c r="F321" i="8"/>
  <c r="K320" i="8"/>
  <c r="F320" i="8"/>
  <c r="K319" i="8"/>
  <c r="F319" i="8"/>
  <c r="K312" i="8"/>
  <c r="F312" i="8"/>
  <c r="K311" i="8"/>
  <c r="F311" i="8"/>
  <c r="K310" i="8"/>
  <c r="F310" i="8"/>
  <c r="K309" i="8"/>
  <c r="F309" i="8"/>
  <c r="K308" i="8"/>
  <c r="F308" i="8"/>
  <c r="F302" i="8"/>
  <c r="F301" i="8"/>
  <c r="F300" i="8"/>
  <c r="F299" i="8"/>
  <c r="F298" i="8"/>
  <c r="K291" i="8"/>
  <c r="F291" i="8"/>
  <c r="K290" i="8"/>
  <c r="F290" i="8"/>
  <c r="K289" i="8"/>
  <c r="F289" i="8"/>
  <c r="K288" i="8"/>
  <c r="F288" i="8"/>
  <c r="K287" i="8"/>
  <c r="F287" i="8"/>
  <c r="K279" i="8"/>
  <c r="F279" i="8"/>
  <c r="K278" i="8"/>
  <c r="F278" i="8"/>
  <c r="K277" i="8"/>
  <c r="F277" i="8"/>
  <c r="K276" i="8"/>
  <c r="F276" i="8"/>
  <c r="K275" i="8"/>
  <c r="F275" i="8"/>
  <c r="K235" i="8"/>
  <c r="F235" i="8"/>
  <c r="K234" i="8"/>
  <c r="F234" i="8"/>
  <c r="K233" i="8"/>
  <c r="F233" i="8"/>
  <c r="K232" i="8"/>
  <c r="F232" i="8"/>
  <c r="K231" i="8"/>
  <c r="F231" i="8"/>
  <c r="F226" i="8"/>
  <c r="F225" i="8"/>
  <c r="F224" i="8"/>
  <c r="F223" i="8"/>
  <c r="F222" i="8"/>
  <c r="K217" i="8"/>
  <c r="F217" i="8"/>
  <c r="K216" i="8"/>
  <c r="F216" i="8"/>
  <c r="K215" i="8"/>
  <c r="F215" i="8"/>
  <c r="K214" i="8"/>
  <c r="F214" i="8"/>
  <c r="K213" i="8"/>
  <c r="F213" i="8"/>
  <c r="F208" i="8"/>
  <c r="F207" i="8"/>
  <c r="F206" i="8"/>
  <c r="F205" i="8"/>
  <c r="F204" i="8"/>
  <c r="F176" i="8"/>
  <c r="F175" i="8"/>
  <c r="F174" i="8"/>
  <c r="F173" i="8"/>
  <c r="F172" i="8"/>
  <c r="K148" i="8"/>
  <c r="F148" i="8"/>
  <c r="K147" i="8"/>
  <c r="F147" i="8"/>
  <c r="K146" i="8"/>
  <c r="F146" i="8"/>
  <c r="K145" i="8"/>
  <c r="F145" i="8"/>
  <c r="K144" i="8"/>
  <c r="F144" i="8"/>
  <c r="G70" i="8"/>
  <c r="G63" i="8"/>
  <c r="G60" i="8"/>
  <c r="F60" i="8"/>
  <c r="G51" i="8"/>
  <c r="F51" i="8"/>
  <c r="L19" i="8"/>
  <c r="F19" i="8"/>
  <c r="L18" i="8"/>
  <c r="F18" i="8"/>
  <c r="L17" i="8"/>
  <c r="F17" i="8"/>
  <c r="L16" i="8"/>
  <c r="F16" i="8"/>
  <c r="L15" i="8"/>
  <c r="F15" i="8"/>
  <c r="O6" i="8"/>
  <c r="O5" i="8"/>
  <c r="O4" i="8"/>
  <c r="O3" i="8"/>
  <c r="O9" i="8"/>
  <c r="N1" i="8"/>
  <c r="F166" i="3"/>
  <c r="D166" i="3"/>
  <c r="F165" i="3"/>
  <c r="D165" i="3"/>
  <c r="F164" i="3"/>
  <c r="D164" i="3"/>
  <c r="F163" i="3"/>
  <c r="D163" i="3"/>
  <c r="F162" i="3"/>
  <c r="D162" i="3"/>
  <c r="F161" i="3"/>
  <c r="D161" i="3"/>
  <c r="F160" i="3"/>
  <c r="D160" i="3"/>
  <c r="F159" i="3"/>
  <c r="D159" i="3"/>
  <c r="F158" i="3"/>
  <c r="D158" i="3"/>
  <c r="F157" i="3"/>
  <c r="D157" i="3"/>
  <c r="F156" i="3"/>
  <c r="D156" i="3"/>
  <c r="F155" i="3"/>
  <c r="D155" i="3"/>
  <c r="F154" i="3"/>
  <c r="D154" i="3"/>
  <c r="F153" i="3"/>
  <c r="D153" i="3"/>
  <c r="F152" i="3"/>
  <c r="D152" i="3"/>
  <c r="F151" i="3"/>
  <c r="D151" i="3"/>
  <c r="F150" i="3"/>
  <c r="D150" i="3"/>
  <c r="F149" i="3"/>
  <c r="D149" i="3"/>
  <c r="F148" i="3"/>
  <c r="D148" i="3"/>
  <c r="F147" i="3"/>
  <c r="D147" i="3"/>
  <c r="F146" i="3"/>
  <c r="D146" i="3"/>
  <c r="F145" i="3"/>
  <c r="D145" i="3"/>
  <c r="F144" i="3"/>
  <c r="D144" i="3"/>
  <c r="F143" i="3"/>
  <c r="D143" i="3"/>
  <c r="F142" i="3"/>
  <c r="D142" i="3"/>
  <c r="F141" i="3"/>
  <c r="D141" i="3"/>
  <c r="F140" i="3"/>
  <c r="D140" i="3"/>
  <c r="F139" i="3"/>
  <c r="D139" i="3"/>
  <c r="F138" i="3"/>
  <c r="D138" i="3"/>
  <c r="F137" i="3"/>
  <c r="D137" i="3"/>
  <c r="F136" i="3"/>
  <c r="D136" i="3"/>
  <c r="F135" i="3"/>
  <c r="D135" i="3"/>
  <c r="F134" i="3"/>
  <c r="D134" i="3"/>
  <c r="F133" i="3"/>
  <c r="D133" i="3"/>
  <c r="F132" i="3"/>
  <c r="D132" i="3"/>
  <c r="F131" i="3"/>
  <c r="D131" i="3"/>
  <c r="F130" i="3"/>
  <c r="D130" i="3"/>
  <c r="F129" i="3"/>
  <c r="D129" i="3"/>
  <c r="F128" i="3"/>
  <c r="D128" i="3"/>
  <c r="F127" i="3"/>
  <c r="D127" i="3"/>
  <c r="F126" i="3"/>
  <c r="D126" i="3"/>
  <c r="F125" i="3"/>
  <c r="D125" i="3"/>
  <c r="F124" i="3"/>
  <c r="D124" i="3"/>
  <c r="F123" i="3"/>
  <c r="D123" i="3"/>
  <c r="F122" i="3"/>
  <c r="D122" i="3"/>
  <c r="F121" i="3"/>
  <c r="D121" i="3"/>
  <c r="F120" i="3"/>
  <c r="D120" i="3"/>
  <c r="F119" i="3"/>
  <c r="D119" i="3"/>
  <c r="F118" i="3"/>
  <c r="D118" i="3"/>
  <c r="F117" i="3"/>
  <c r="D117" i="3"/>
  <c r="F116" i="3"/>
  <c r="D116" i="3"/>
  <c r="F115" i="3"/>
  <c r="D115" i="3"/>
  <c r="F114" i="3"/>
  <c r="D114" i="3"/>
  <c r="F113" i="3"/>
  <c r="D113" i="3"/>
  <c r="F112" i="3"/>
  <c r="D112" i="3"/>
  <c r="F111" i="3"/>
  <c r="D111" i="3"/>
  <c r="F110" i="3"/>
  <c r="D110" i="3"/>
  <c r="F109" i="3"/>
  <c r="D109" i="3"/>
  <c r="F108" i="3"/>
  <c r="D108" i="3"/>
  <c r="F107" i="3"/>
  <c r="D107" i="3"/>
  <c r="F106" i="3"/>
  <c r="D106" i="3"/>
  <c r="F105" i="3"/>
  <c r="D105" i="3"/>
  <c r="F104" i="3"/>
  <c r="D104" i="3"/>
  <c r="F103" i="3"/>
  <c r="D103" i="3"/>
  <c r="F102" i="3"/>
  <c r="D102" i="3"/>
  <c r="F101" i="3"/>
  <c r="D101" i="3"/>
  <c r="F100" i="3"/>
  <c r="D100" i="3"/>
  <c r="F99" i="3"/>
  <c r="D99" i="3"/>
  <c r="F98" i="3"/>
  <c r="D98" i="3"/>
  <c r="F97" i="3"/>
  <c r="D97" i="3"/>
  <c r="F96" i="3"/>
  <c r="D96" i="3"/>
  <c r="F95" i="3"/>
  <c r="D95" i="3"/>
  <c r="F94" i="3"/>
  <c r="D94" i="3"/>
  <c r="F93" i="3"/>
  <c r="D93" i="3"/>
  <c r="F92" i="3"/>
  <c r="D92" i="3"/>
  <c r="F91" i="3"/>
  <c r="D91" i="3"/>
  <c r="F90" i="3"/>
  <c r="D90" i="3"/>
  <c r="F89" i="3"/>
  <c r="D89" i="3"/>
  <c r="F88" i="3"/>
  <c r="D88" i="3"/>
  <c r="J85" i="3"/>
  <c r="I85" i="3"/>
  <c r="J82" i="3"/>
  <c r="I82" i="3"/>
  <c r="J81" i="3"/>
  <c r="I81" i="3"/>
  <c r="J80" i="3"/>
  <c r="I80" i="3"/>
  <c r="J79" i="3"/>
  <c r="I79" i="3"/>
  <c r="J78" i="3"/>
  <c r="I78" i="3"/>
  <c r="J77" i="3"/>
  <c r="I77" i="3"/>
  <c r="J76" i="3"/>
  <c r="I76" i="3"/>
  <c r="J75" i="3"/>
  <c r="I75" i="3"/>
  <c r="J74" i="3"/>
  <c r="I74" i="3"/>
  <c r="J73" i="3"/>
  <c r="I73" i="3"/>
  <c r="J72" i="3"/>
  <c r="I72" i="3"/>
  <c r="J71" i="3"/>
  <c r="I71" i="3"/>
  <c r="J70" i="3"/>
  <c r="I70" i="3"/>
  <c r="J69" i="3"/>
  <c r="I69" i="3"/>
  <c r="J68" i="3"/>
  <c r="I68" i="3"/>
  <c r="J67" i="3"/>
  <c r="I67" i="3"/>
  <c r="J66" i="3"/>
  <c r="I66" i="3"/>
  <c r="J65" i="3"/>
  <c r="I65" i="3"/>
  <c r="J64" i="3"/>
  <c r="I64" i="3"/>
  <c r="J63" i="3"/>
  <c r="I63" i="3"/>
  <c r="J62" i="3"/>
  <c r="I62" i="3"/>
  <c r="J61" i="3"/>
  <c r="I61" i="3"/>
  <c r="J60" i="3"/>
  <c r="I60" i="3"/>
  <c r="J59" i="3"/>
  <c r="I59" i="3"/>
  <c r="J58" i="3"/>
  <c r="I58" i="3"/>
  <c r="J57" i="3"/>
  <c r="I57" i="3"/>
  <c r="J56" i="3"/>
  <c r="I56" i="3"/>
  <c r="J55" i="3"/>
  <c r="I55" i="3"/>
  <c r="J54" i="3"/>
  <c r="I54" i="3"/>
  <c r="J53" i="3"/>
  <c r="I53" i="3"/>
  <c r="J52" i="3"/>
  <c r="I52" i="3"/>
  <c r="J51" i="3"/>
  <c r="I51" i="3"/>
  <c r="J50" i="3"/>
  <c r="I50" i="3"/>
  <c r="J49" i="3"/>
  <c r="I49" i="3"/>
  <c r="J48" i="3"/>
  <c r="I48" i="3"/>
  <c r="J47" i="3"/>
  <c r="I47" i="3"/>
  <c r="J46" i="3"/>
  <c r="I46" i="3"/>
  <c r="J45" i="3"/>
  <c r="I45" i="3"/>
  <c r="J44" i="3"/>
  <c r="I44" i="3"/>
  <c r="M43" i="3"/>
  <c r="L43" i="3"/>
  <c r="J43" i="3"/>
  <c r="I43" i="3"/>
  <c r="M42" i="3"/>
  <c r="L42" i="3"/>
  <c r="J42" i="3"/>
  <c r="I42" i="3"/>
  <c r="M41" i="3"/>
  <c r="L41" i="3"/>
  <c r="J41" i="3"/>
  <c r="I41" i="3"/>
  <c r="M40" i="3"/>
  <c r="L40" i="3"/>
  <c r="J40" i="3"/>
  <c r="I40" i="3"/>
  <c r="M39" i="3"/>
  <c r="L39" i="3"/>
  <c r="J39" i="3"/>
  <c r="I39" i="3"/>
  <c r="M38" i="3"/>
  <c r="L38" i="3"/>
  <c r="J38" i="3"/>
  <c r="I38" i="3"/>
  <c r="M37" i="3"/>
  <c r="L37" i="3"/>
  <c r="J37" i="3"/>
  <c r="I37" i="3"/>
  <c r="M36" i="3"/>
  <c r="L36" i="3"/>
  <c r="J36" i="3"/>
  <c r="I36" i="3"/>
  <c r="M35" i="3"/>
  <c r="L35" i="3"/>
  <c r="J35" i="3"/>
  <c r="I35" i="3"/>
  <c r="M34" i="3"/>
  <c r="L34" i="3"/>
  <c r="J34" i="3"/>
  <c r="I34" i="3"/>
  <c r="M33" i="3"/>
  <c r="L33" i="3"/>
  <c r="J33" i="3"/>
  <c r="I33" i="3"/>
  <c r="M32" i="3"/>
  <c r="L32" i="3"/>
  <c r="J32" i="3"/>
  <c r="I32" i="3"/>
  <c r="M31" i="3"/>
  <c r="L31" i="3"/>
  <c r="J31" i="3"/>
  <c r="I31" i="3"/>
  <c r="M30" i="3"/>
  <c r="L30" i="3"/>
  <c r="J30" i="3"/>
  <c r="I30" i="3"/>
  <c r="M29" i="3"/>
  <c r="L29" i="3"/>
  <c r="J29" i="3"/>
  <c r="I29" i="3"/>
  <c r="M28" i="3"/>
  <c r="L28" i="3"/>
  <c r="J28" i="3"/>
  <c r="I28" i="3"/>
  <c r="M27" i="3"/>
  <c r="L27" i="3"/>
  <c r="J27" i="3"/>
  <c r="I27" i="3"/>
  <c r="M26" i="3"/>
  <c r="L26" i="3"/>
  <c r="J26" i="3"/>
  <c r="I26" i="3"/>
  <c r="M25" i="3"/>
  <c r="L25" i="3"/>
  <c r="J25" i="3"/>
  <c r="I25" i="3"/>
  <c r="M24" i="3"/>
  <c r="L24" i="3"/>
  <c r="J24" i="3"/>
  <c r="I24" i="3"/>
  <c r="D24" i="3"/>
  <c r="M23" i="3"/>
  <c r="L23" i="3"/>
  <c r="J23" i="3"/>
  <c r="I23" i="3"/>
  <c r="M22" i="3"/>
  <c r="L22" i="3"/>
  <c r="J22" i="3"/>
  <c r="I22" i="3"/>
  <c r="M21" i="3"/>
  <c r="L21" i="3"/>
  <c r="J21" i="3"/>
  <c r="I21" i="3"/>
  <c r="M20" i="3"/>
  <c r="L20" i="3"/>
  <c r="J20" i="3"/>
  <c r="I20" i="3"/>
  <c r="M19" i="3"/>
  <c r="L19" i="3"/>
  <c r="J19" i="3"/>
  <c r="I19" i="3"/>
  <c r="M18" i="3"/>
  <c r="L18" i="3"/>
  <c r="J18" i="3"/>
  <c r="I18" i="3"/>
  <c r="M17" i="3"/>
  <c r="L17" i="3"/>
  <c r="J17" i="3"/>
  <c r="I17" i="3"/>
  <c r="M16" i="3"/>
  <c r="L16" i="3"/>
  <c r="J16" i="3"/>
  <c r="I16" i="3"/>
  <c r="D16" i="3"/>
  <c r="R7" i="3" s="1"/>
  <c r="D5" i="3" s="1"/>
  <c r="I95" i="15" s="1"/>
  <c r="M15" i="3"/>
  <c r="L15" i="3"/>
  <c r="J15" i="3"/>
  <c r="I15" i="3"/>
  <c r="M14" i="3"/>
  <c r="L14" i="3"/>
  <c r="J14" i="3"/>
  <c r="I14" i="3"/>
  <c r="M13" i="3"/>
  <c r="L13" i="3"/>
  <c r="J13" i="3"/>
  <c r="I13" i="3"/>
  <c r="M12" i="3"/>
  <c r="L12" i="3"/>
  <c r="J12" i="3"/>
  <c r="I12" i="3"/>
  <c r="M11" i="3"/>
  <c r="L11" i="3"/>
  <c r="J11" i="3"/>
  <c r="I11" i="3"/>
  <c r="M10" i="3"/>
  <c r="L10" i="3"/>
  <c r="J10" i="3"/>
  <c r="I10" i="3"/>
  <c r="M9" i="3"/>
  <c r="L9" i="3"/>
  <c r="J9" i="3"/>
  <c r="I9" i="3"/>
  <c r="M8" i="3"/>
  <c r="L8" i="3"/>
  <c r="J8" i="3"/>
  <c r="I8" i="3"/>
  <c r="Q7" i="3"/>
  <c r="C5" i="3" s="1"/>
  <c r="M7" i="3"/>
  <c r="L7" i="3"/>
  <c r="J7" i="3"/>
  <c r="I7" i="3"/>
  <c r="M6" i="3"/>
  <c r="L6" i="3"/>
  <c r="J6" i="3"/>
  <c r="I6" i="3"/>
  <c r="M5" i="3"/>
  <c r="L5" i="3"/>
  <c r="J5" i="3"/>
  <c r="I5" i="3"/>
  <c r="F1" i="7"/>
  <c r="W194" i="5"/>
  <c r="Z194" i="5" s="1"/>
  <c r="Q194" i="5" s="1"/>
  <c r="W191" i="5"/>
  <c r="W190" i="5"/>
  <c r="W189" i="5"/>
  <c r="W187" i="5"/>
  <c r="L187" i="18"/>
  <c r="W186" i="5"/>
  <c r="L186" i="18"/>
  <c r="W185" i="5"/>
  <c r="L185" i="18"/>
  <c r="AH181" i="5"/>
  <c r="L181" i="18"/>
  <c r="L180" i="18"/>
  <c r="W179" i="5"/>
  <c r="L179" i="18"/>
  <c r="W178" i="5"/>
  <c r="L178" i="18"/>
  <c r="L176" i="18"/>
  <c r="W175" i="5"/>
  <c r="L175" i="18"/>
  <c r="L173" i="18"/>
  <c r="T172" i="5"/>
  <c r="L172" i="18"/>
  <c r="W171" i="5"/>
  <c r="L171" i="18"/>
  <c r="W170" i="5"/>
  <c r="L170" i="18"/>
  <c r="W169" i="5"/>
  <c r="L169" i="18"/>
  <c r="L167" i="18"/>
  <c r="L156" i="18"/>
  <c r="W155" i="5"/>
  <c r="L155" i="18"/>
  <c r="I155" i="5"/>
  <c r="W154" i="5"/>
  <c r="L154" i="18"/>
  <c r="W153" i="5"/>
  <c r="L153" i="18"/>
  <c r="L152" i="18"/>
  <c r="W150" i="5"/>
  <c r="L150" i="18"/>
  <c r="W149" i="5"/>
  <c r="L149" i="18"/>
  <c r="W147" i="5"/>
  <c r="L147" i="18"/>
  <c r="T145" i="5"/>
  <c r="L145" i="18"/>
  <c r="W144" i="5"/>
  <c r="L144" i="18"/>
  <c r="W143" i="5"/>
  <c r="L143" i="18"/>
  <c r="W141" i="5"/>
  <c r="L141" i="18"/>
  <c r="W140" i="5"/>
  <c r="L140" i="18"/>
  <c r="AC137" i="5"/>
  <c r="T137" i="5" s="1"/>
  <c r="AA137" i="5"/>
  <c r="R137" i="5" s="1"/>
  <c r="L137" i="18"/>
  <c r="L136" i="18"/>
  <c r="L135" i="18"/>
  <c r="K135" i="18"/>
  <c r="W134" i="5"/>
  <c r="L134" i="18"/>
  <c r="L133" i="18"/>
  <c r="K133" i="18"/>
  <c r="W132" i="5"/>
  <c r="K132" i="18" s="1"/>
  <c r="L132" i="18"/>
  <c r="AC131" i="5"/>
  <c r="L131" i="18"/>
  <c r="K131" i="18"/>
  <c r="AC130" i="5"/>
  <c r="T130" i="5" s="1"/>
  <c r="L130" i="18"/>
  <c r="L128" i="18"/>
  <c r="K128" i="18"/>
  <c r="L127" i="18"/>
  <c r="L125" i="18"/>
  <c r="L123" i="18"/>
  <c r="T122" i="5"/>
  <c r="L122" i="18"/>
  <c r="AA121" i="5"/>
  <c r="R121" i="5" s="1"/>
  <c r="T121" i="5"/>
  <c r="L121" i="18"/>
  <c r="AH120" i="5"/>
  <c r="AC120" i="5"/>
  <c r="T120" i="5" s="1"/>
  <c r="AA120" i="5"/>
  <c r="R120" i="5" s="1"/>
  <c r="L119" i="18"/>
  <c r="L118" i="18"/>
  <c r="L116" i="18"/>
  <c r="L113" i="18"/>
  <c r="T112" i="5"/>
  <c r="L112" i="18"/>
  <c r="W111" i="5"/>
  <c r="L111" i="18"/>
  <c r="W110" i="5"/>
  <c r="L110" i="18"/>
  <c r="W109" i="5"/>
  <c r="L109" i="18"/>
  <c r="W108" i="5"/>
  <c r="L108" i="18"/>
  <c r="W107" i="5"/>
  <c r="L107" i="18"/>
  <c r="W106" i="5"/>
  <c r="L106" i="18"/>
  <c r="X104" i="5"/>
  <c r="W104" i="5"/>
  <c r="X103" i="5"/>
  <c r="W103" i="5"/>
  <c r="X102" i="5"/>
  <c r="W102" i="5"/>
  <c r="AH99" i="5"/>
  <c r="AC99" i="5"/>
  <c r="T99" i="5" s="1"/>
  <c r="AA99" i="5"/>
  <c r="R99" i="5" s="1"/>
  <c r="W98" i="5"/>
  <c r="L98" i="18"/>
  <c r="W97" i="5"/>
  <c r="L97" i="18"/>
  <c r="L96" i="18"/>
  <c r="L91" i="18"/>
  <c r="L90" i="18"/>
  <c r="W92" i="5"/>
  <c r="Z92" i="5" s="1"/>
  <c r="Q92" i="5" s="1"/>
  <c r="W91" i="5"/>
  <c r="W90" i="5"/>
  <c r="W88" i="5"/>
  <c r="L88" i="18"/>
  <c r="W87" i="5"/>
  <c r="W86" i="5"/>
  <c r="L86" i="18"/>
  <c r="W85" i="5"/>
  <c r="L85" i="18"/>
  <c r="W84" i="5"/>
  <c r="L84" i="18"/>
  <c r="W83" i="5"/>
  <c r="L83" i="18"/>
  <c r="W81" i="5"/>
  <c r="L81" i="18"/>
  <c r="W80" i="5"/>
  <c r="L80" i="18"/>
  <c r="W71" i="5"/>
  <c r="X69" i="5"/>
  <c r="W69" i="5"/>
  <c r="W67" i="5"/>
  <c r="L67" i="18"/>
  <c r="X66" i="5"/>
  <c r="W66" i="5"/>
  <c r="X65" i="5"/>
  <c r="W65" i="5"/>
  <c r="T62" i="5"/>
  <c r="L62" i="18"/>
  <c r="W61" i="5"/>
  <c r="L61" i="18"/>
  <c r="W60" i="5"/>
  <c r="L60" i="18"/>
  <c r="X58" i="5"/>
  <c r="W58" i="5"/>
  <c r="K58" i="18" s="1"/>
  <c r="X57" i="5"/>
  <c r="W57" i="5"/>
  <c r="X56" i="5"/>
  <c r="W56" i="5"/>
  <c r="X55" i="5"/>
  <c r="W55" i="5"/>
  <c r="X53" i="5"/>
  <c r="W53" i="5"/>
  <c r="K53" i="18" s="1"/>
  <c r="X52" i="5"/>
  <c r="L52" i="18" s="1"/>
  <c r="W52" i="5"/>
  <c r="X51" i="5"/>
  <c r="AB51" i="5" s="1"/>
  <c r="S51" i="5" s="1"/>
  <c r="W51" i="5"/>
  <c r="X50" i="5"/>
  <c r="W50" i="5"/>
  <c r="X47" i="5"/>
  <c r="W47" i="5"/>
  <c r="L46" i="18"/>
  <c r="K46" i="18"/>
  <c r="L45" i="18"/>
  <c r="K45" i="18"/>
  <c r="X44" i="5"/>
  <c r="W44" i="5"/>
  <c r="W43" i="5"/>
  <c r="X42" i="5"/>
  <c r="W42" i="5"/>
  <c r="X41" i="5"/>
  <c r="W41" i="5"/>
  <c r="X39" i="5"/>
  <c r="W39" i="5"/>
  <c r="X38" i="5"/>
  <c r="AB38" i="5" s="1"/>
  <c r="S38" i="5" s="1"/>
  <c r="X37" i="5"/>
  <c r="AB37" i="5" s="1"/>
  <c r="S37" i="5" s="1"/>
  <c r="W37" i="5"/>
  <c r="L34" i="18"/>
  <c r="K34" i="18"/>
  <c r="L33" i="18"/>
  <c r="K33" i="18"/>
  <c r="X31" i="5"/>
  <c r="AB31" i="5" s="1"/>
  <c r="S31" i="5" s="1"/>
  <c r="W31" i="5"/>
  <c r="X30" i="5"/>
  <c r="W30" i="5"/>
  <c r="W29" i="5"/>
  <c r="L29" i="18"/>
  <c r="W28" i="5"/>
  <c r="K28" i="18" s="1"/>
  <c r="L28" i="18"/>
  <c r="X27" i="5"/>
  <c r="K27" i="18"/>
  <c r="X26" i="5"/>
  <c r="W26" i="5"/>
  <c r="K26" i="18" s="1"/>
  <c r="W25" i="5"/>
  <c r="L25" i="18"/>
  <c r="X24" i="5"/>
  <c r="W24" i="5"/>
  <c r="W23" i="5"/>
  <c r="L23" i="18"/>
  <c r="X22" i="5"/>
  <c r="W22" i="5"/>
  <c r="X19" i="5"/>
  <c r="W19" i="5"/>
  <c r="X18" i="5"/>
  <c r="W18" i="5"/>
  <c r="X17" i="5"/>
  <c r="W17" i="5"/>
  <c r="X16" i="5"/>
  <c r="AB16" i="5" s="1"/>
  <c r="S16" i="5" s="1"/>
  <c r="W16" i="5"/>
  <c r="X15" i="5"/>
  <c r="W15" i="5"/>
  <c r="AB11" i="5"/>
  <c r="T9" i="5"/>
  <c r="AH8" i="5"/>
  <c r="AF8" i="5"/>
  <c r="E5" i="5"/>
  <c r="R3" i="5"/>
  <c r="B3" i="5"/>
  <c r="R2" i="5"/>
  <c r="B2" i="5"/>
  <c r="L69" i="4"/>
  <c r="H69" i="4"/>
  <c r="B69" i="4"/>
  <c r="L67" i="4"/>
  <c r="H67" i="4"/>
  <c r="B67" i="4"/>
  <c r="L53" i="4"/>
  <c r="H53" i="4"/>
  <c r="C53" i="4"/>
  <c r="Z43" i="4"/>
  <c r="Z42" i="4"/>
  <c r="L42" i="4"/>
  <c r="H42" i="4"/>
  <c r="C42" i="4"/>
  <c r="Z41" i="4"/>
  <c r="U36" i="4"/>
  <c r="V37" i="4" s="1"/>
  <c r="Z34" i="4"/>
  <c r="Z33" i="4"/>
  <c r="U29" i="4"/>
  <c r="J17" i="4"/>
  <c r="J16" i="4"/>
  <c r="E16" i="4"/>
  <c r="J15" i="4"/>
  <c r="E15" i="4"/>
  <c r="J13" i="4"/>
  <c r="D13" i="4"/>
  <c r="J12" i="4"/>
  <c r="D11" i="4"/>
  <c r="J10" i="4"/>
  <c r="D10" i="4"/>
  <c r="J9" i="4"/>
  <c r="D9" i="4"/>
  <c r="J8" i="4"/>
  <c r="D8" i="4"/>
  <c r="N5" i="4"/>
  <c r="K5" i="4"/>
  <c r="R65" i="2"/>
  <c r="R64" i="2"/>
  <c r="L64" i="2"/>
  <c r="K63" i="8" s="1"/>
  <c r="C64" i="2"/>
  <c r="N63" i="2"/>
  <c r="O63" i="2" s="1"/>
  <c r="R62" i="2"/>
  <c r="G205" i="15" s="1"/>
  <c r="H205" i="15" s="1"/>
  <c r="J112" i="20" s="1"/>
  <c r="J62" i="2"/>
  <c r="L62" i="2" s="1"/>
  <c r="R61" i="2"/>
  <c r="J61" i="2"/>
  <c r="L61" i="2" s="1"/>
  <c r="R60" i="2"/>
  <c r="J60" i="2"/>
  <c r="N60" i="2" s="1"/>
  <c r="R59" i="2"/>
  <c r="N59" i="2"/>
  <c r="O59" i="2" s="1"/>
  <c r="R58" i="2"/>
  <c r="N58" i="2"/>
  <c r="O58" i="2" s="1"/>
  <c r="R57" i="2"/>
  <c r="C57" i="2"/>
  <c r="S18" i="6" s="1"/>
  <c r="R56" i="2"/>
  <c r="J56" i="2"/>
  <c r="N56" i="2" s="1"/>
  <c r="F29" i="6" s="1"/>
  <c r="R55" i="2"/>
  <c r="H105" i="20" s="1"/>
  <c r="N55" i="2"/>
  <c r="O55" i="2" s="1"/>
  <c r="R54" i="2"/>
  <c r="H104" i="20" s="1"/>
  <c r="C54" i="2"/>
  <c r="S15" i="6" s="1"/>
  <c r="R53" i="2"/>
  <c r="H103" i="20" s="1"/>
  <c r="N53" i="2"/>
  <c r="O53" i="2" s="1"/>
  <c r="R52" i="2"/>
  <c r="N52" i="2"/>
  <c r="O52" i="2" s="1"/>
  <c r="R51" i="2"/>
  <c r="G194" i="15" s="1"/>
  <c r="H194" i="15" s="1"/>
  <c r="J101" i="20" s="1"/>
  <c r="N51" i="2"/>
  <c r="O51" i="2" s="1"/>
  <c r="R50" i="2"/>
  <c r="N50" i="2"/>
  <c r="O50" i="2" s="1"/>
  <c r="R49" i="2"/>
  <c r="H99" i="20" s="1"/>
  <c r="C49" i="2"/>
  <c r="S10" i="6" s="1"/>
  <c r="R48" i="2"/>
  <c r="H98" i="20" s="1"/>
  <c r="N48" i="2"/>
  <c r="O48" i="2" s="1"/>
  <c r="R47" i="2"/>
  <c r="C47" i="2"/>
  <c r="D43" i="2"/>
  <c r="I216" i="15"/>
  <c r="H58" i="15" l="1"/>
  <c r="N58" i="15" s="1"/>
  <c r="N61" i="2"/>
  <c r="F32" i="6" s="1"/>
  <c r="H23" i="15"/>
  <c r="H35" i="15"/>
  <c r="I46" i="15"/>
  <c r="O58" i="15"/>
  <c r="H29" i="15"/>
  <c r="H34" i="15"/>
  <c r="I34" i="15" s="1"/>
  <c r="I36" i="15" s="1"/>
  <c r="H59" i="15"/>
  <c r="H11" i="15"/>
  <c r="N11" i="15" s="1"/>
  <c r="N62" i="2"/>
  <c r="H16" i="15"/>
  <c r="H40" i="15"/>
  <c r="O40" i="15" s="1"/>
  <c r="O42" i="15" s="1"/>
  <c r="H15" i="6" s="1"/>
  <c r="H53" i="15"/>
  <c r="K58" i="15"/>
  <c r="M138" i="14"/>
  <c r="K138" i="14"/>
  <c r="O122" i="14"/>
  <c r="O21" i="11"/>
  <c r="G370" i="5"/>
  <c r="G71" i="10"/>
  <c r="F63" i="10" s="1"/>
  <c r="F65" i="10" s="1"/>
  <c r="G307" i="5"/>
  <c r="G51" i="10"/>
  <c r="F42" i="10" s="1"/>
  <c r="G305" i="5"/>
  <c r="G302" i="5"/>
  <c r="U196" i="5"/>
  <c r="B196" i="5"/>
  <c r="G192" i="9"/>
  <c r="F184" i="9" s="1"/>
  <c r="G266" i="5"/>
  <c r="G284" i="5"/>
  <c r="F14" i="10"/>
  <c r="F44" i="13"/>
  <c r="F219" i="14"/>
  <c r="F216" i="14"/>
  <c r="G32" i="20"/>
  <c r="F44" i="20" s="1"/>
  <c r="F53" i="20" s="1"/>
  <c r="M308" i="9"/>
  <c r="O308" i="9" s="1"/>
  <c r="Y29" i="4"/>
  <c r="U33" i="4"/>
  <c r="Z91" i="5"/>
  <c r="Q91" i="5" s="1"/>
  <c r="K91" i="18" s="1"/>
  <c r="P41" i="15"/>
  <c r="L41" i="15"/>
  <c r="O41" i="15"/>
  <c r="K41" i="15"/>
  <c r="N41" i="15"/>
  <c r="J41" i="15"/>
  <c r="J40" i="15"/>
  <c r="M41" i="15"/>
  <c r="V29" i="4"/>
  <c r="V33" i="4" s="1"/>
  <c r="J11" i="15"/>
  <c r="P11" i="15"/>
  <c r="Q11" i="15"/>
  <c r="I11" i="15"/>
  <c r="L11" i="15"/>
  <c r="Q41" i="15"/>
  <c r="Z90" i="5"/>
  <c r="Q90" i="5" s="1"/>
  <c r="K90" i="18" s="1"/>
  <c r="F99" i="10"/>
  <c r="W119" i="5"/>
  <c r="K11" i="15"/>
  <c r="O16" i="15"/>
  <c r="K16" i="15"/>
  <c r="Q16" i="15"/>
  <c r="I16" i="15"/>
  <c r="N16" i="15"/>
  <c r="J16" i="15"/>
  <c r="M16" i="15"/>
  <c r="O35" i="15"/>
  <c r="K35" i="15"/>
  <c r="N35" i="15"/>
  <c r="J35" i="15"/>
  <c r="Q35" i="15"/>
  <c r="M35" i="15"/>
  <c r="I35" i="15"/>
  <c r="P46" i="15"/>
  <c r="L46" i="15"/>
  <c r="O46" i="15"/>
  <c r="K46" i="15"/>
  <c r="N46" i="15"/>
  <c r="J46" i="15"/>
  <c r="O11" i="15"/>
  <c r="I41" i="15"/>
  <c r="Q46" i="15"/>
  <c r="J59" i="15"/>
  <c r="L29" i="15"/>
  <c r="P29" i="15"/>
  <c r="L53" i="15"/>
  <c r="P53" i="15"/>
  <c r="L58" i="15"/>
  <c r="P58" i="15"/>
  <c r="Z51" i="5"/>
  <c r="Q51" i="5" s="1"/>
  <c r="K51" i="18" s="1"/>
  <c r="L23" i="15"/>
  <c r="P23" i="15"/>
  <c r="H28" i="15"/>
  <c r="I29" i="15"/>
  <c r="M29" i="15"/>
  <c r="Q29" i="15"/>
  <c r="H47" i="15"/>
  <c r="H52" i="15"/>
  <c r="I53" i="15"/>
  <c r="M53" i="15"/>
  <c r="Q53" i="15"/>
  <c r="I58" i="15"/>
  <c r="M58" i="15"/>
  <c r="Q58" i="15"/>
  <c r="F215" i="14"/>
  <c r="I111" i="6"/>
  <c r="H10" i="15"/>
  <c r="H17" i="15"/>
  <c r="H22" i="15"/>
  <c r="I23" i="15"/>
  <c r="M23" i="15"/>
  <c r="J29" i="15"/>
  <c r="J53" i="15"/>
  <c r="J58" i="15"/>
  <c r="J60" i="15" s="1"/>
  <c r="F70" i="2"/>
  <c r="G34" i="20"/>
  <c r="F46" i="20"/>
  <c r="H63" i="11"/>
  <c r="P182" i="18"/>
  <c r="B182" i="18" s="1"/>
  <c r="B371" i="5" s="1"/>
  <c r="B559" i="5" s="1"/>
  <c r="P158" i="18"/>
  <c r="B158" i="18" s="1"/>
  <c r="B347" i="5" s="1"/>
  <c r="B535" i="5" s="1"/>
  <c r="T158" i="18"/>
  <c r="X158" i="18"/>
  <c r="AB158" i="18"/>
  <c r="S159" i="18"/>
  <c r="W159" i="18"/>
  <c r="AA159" i="18"/>
  <c r="AE159" i="18"/>
  <c r="R160" i="18"/>
  <c r="C160" i="18" s="1"/>
  <c r="C349" i="5" s="1"/>
  <c r="C537" i="5" s="1"/>
  <c r="V160" i="18"/>
  <c r="Z160" i="18"/>
  <c r="AD160" i="18"/>
  <c r="Q161" i="18"/>
  <c r="U161" i="18"/>
  <c r="Y161" i="18"/>
  <c r="AC161" i="18"/>
  <c r="P162" i="18"/>
  <c r="T162" i="18"/>
  <c r="X162" i="18"/>
  <c r="AB162" i="18"/>
  <c r="S163" i="18"/>
  <c r="W163" i="18"/>
  <c r="AA163" i="18"/>
  <c r="AE163" i="18"/>
  <c r="R164" i="18"/>
  <c r="C164" i="18" s="1"/>
  <c r="C353" i="5" s="1"/>
  <c r="C541" i="5" s="1"/>
  <c r="V164" i="18"/>
  <c r="Z164" i="18"/>
  <c r="AD164" i="18"/>
  <c r="Q165" i="18"/>
  <c r="U165" i="18"/>
  <c r="Y165" i="18"/>
  <c r="AC165" i="18"/>
  <c r="AE162" i="18"/>
  <c r="X165" i="18"/>
  <c r="Q158" i="18"/>
  <c r="U158" i="18"/>
  <c r="Y158" i="18"/>
  <c r="AC158" i="18"/>
  <c r="P159" i="18"/>
  <c r="T159" i="18"/>
  <c r="X159" i="18"/>
  <c r="AB159" i="18"/>
  <c r="S160" i="18"/>
  <c r="W160" i="18"/>
  <c r="AA160" i="18"/>
  <c r="AE160" i="18"/>
  <c r="R161" i="18"/>
  <c r="C161" i="18" s="1"/>
  <c r="C350" i="5" s="1"/>
  <c r="C538" i="5" s="1"/>
  <c r="V161" i="18"/>
  <c r="Z161" i="18"/>
  <c r="AD161" i="18"/>
  <c r="Q162" i="18"/>
  <c r="U162" i="18"/>
  <c r="Y162" i="18"/>
  <c r="AC162" i="18"/>
  <c r="P163" i="18"/>
  <c r="T163" i="18"/>
  <c r="X163" i="18"/>
  <c r="AB163" i="18"/>
  <c r="S164" i="18"/>
  <c r="W164" i="18"/>
  <c r="AA164" i="18"/>
  <c r="AE164" i="18"/>
  <c r="R165" i="18"/>
  <c r="C165" i="18" s="1"/>
  <c r="C354" i="5" s="1"/>
  <c r="C542" i="5" s="1"/>
  <c r="V165" i="18"/>
  <c r="Z165" i="18"/>
  <c r="AD165" i="18"/>
  <c r="S158" i="18"/>
  <c r="AA158" i="18"/>
  <c r="Q160" i="18"/>
  <c r="U160" i="18"/>
  <c r="AC160" i="18"/>
  <c r="AB161" i="18"/>
  <c r="S162" i="18"/>
  <c r="AA162" i="18"/>
  <c r="R163" i="18"/>
  <c r="C163" i="18" s="1"/>
  <c r="C352" i="5" s="1"/>
  <c r="C540" i="5" s="1"/>
  <c r="Z163" i="18"/>
  <c r="Y164" i="18"/>
  <c r="P165" i="18"/>
  <c r="T165" i="18"/>
  <c r="AB165" i="18"/>
  <c r="R158" i="18"/>
  <c r="C158" i="18" s="1"/>
  <c r="C347" i="5" s="1"/>
  <c r="C535" i="5" s="1"/>
  <c r="V158" i="18"/>
  <c r="Z158" i="18"/>
  <c r="AD158" i="18"/>
  <c r="Q159" i="18"/>
  <c r="U159" i="18"/>
  <c r="Y159" i="18"/>
  <c r="AC159" i="18"/>
  <c r="P160" i="18"/>
  <c r="T160" i="18"/>
  <c r="X160" i="18"/>
  <c r="AB160" i="18"/>
  <c r="S161" i="18"/>
  <c r="W161" i="18"/>
  <c r="AA161" i="18"/>
  <c r="AE161" i="18"/>
  <c r="R162" i="18"/>
  <c r="C162" i="18" s="1"/>
  <c r="C351" i="5" s="1"/>
  <c r="C539" i="5" s="1"/>
  <c r="V162" i="18"/>
  <c r="Z162" i="18"/>
  <c r="AD162" i="18"/>
  <c r="Q163" i="18"/>
  <c r="U163" i="18"/>
  <c r="Y163" i="18"/>
  <c r="AC163" i="18"/>
  <c r="P164" i="18"/>
  <c r="T164" i="18"/>
  <c r="X164" i="18"/>
  <c r="AB164" i="18"/>
  <c r="S165" i="18"/>
  <c r="W165" i="18"/>
  <c r="AA165" i="18"/>
  <c r="AE165" i="18"/>
  <c r="W158" i="18"/>
  <c r="AE158" i="18"/>
  <c r="R159" i="18"/>
  <c r="C159" i="18" s="1"/>
  <c r="C348" i="5" s="1"/>
  <c r="C536" i="5" s="1"/>
  <c r="V159" i="18"/>
  <c r="Z159" i="18"/>
  <c r="AD159" i="18"/>
  <c r="Y160" i="18"/>
  <c r="P161" i="18"/>
  <c r="T161" i="18"/>
  <c r="X161" i="18"/>
  <c r="W162" i="18"/>
  <c r="V163" i="18"/>
  <c r="AD163" i="18"/>
  <c r="Q164" i="18"/>
  <c r="U164" i="18"/>
  <c r="AC164" i="18"/>
  <c r="S11" i="5"/>
  <c r="AE32" i="18"/>
  <c r="AA32" i="18"/>
  <c r="W32" i="18"/>
  <c r="S32" i="18"/>
  <c r="AD32" i="18"/>
  <c r="Z32" i="18"/>
  <c r="V32" i="18"/>
  <c r="R32" i="18"/>
  <c r="C32" i="18" s="1"/>
  <c r="C221" i="5" s="1"/>
  <c r="C409" i="5" s="1"/>
  <c r="AC32" i="18"/>
  <c r="Y32" i="18"/>
  <c r="U32" i="18"/>
  <c r="Q32" i="18"/>
  <c r="P32" i="18"/>
  <c r="B32" i="18" s="1"/>
  <c r="B221" i="5" s="1"/>
  <c r="B409" i="5" s="1"/>
  <c r="AB32" i="18"/>
  <c r="X32" i="18"/>
  <c r="T32" i="18"/>
  <c r="Z31" i="5"/>
  <c r="Q31" i="5" s="1"/>
  <c r="K31" i="18" s="1"/>
  <c r="AB19" i="5"/>
  <c r="S19" i="5" s="1"/>
  <c r="L19" i="18" s="1"/>
  <c r="AB24" i="5"/>
  <c r="S24" i="5" s="1"/>
  <c r="L24" i="18" s="1"/>
  <c r="AB47" i="5"/>
  <c r="S47" i="5" s="1"/>
  <c r="L47" i="18" s="1"/>
  <c r="AB50" i="5"/>
  <c r="S50" i="5" s="1"/>
  <c r="L50" i="18" s="1"/>
  <c r="AB55" i="5"/>
  <c r="S55" i="5" s="1"/>
  <c r="L55" i="18" s="1"/>
  <c r="AB57" i="5"/>
  <c r="S57" i="5" s="1"/>
  <c r="L57" i="18" s="1"/>
  <c r="AB17" i="5"/>
  <c r="S17" i="5" s="1"/>
  <c r="L17" i="18" s="1"/>
  <c r="AB22" i="5"/>
  <c r="S22" i="5" s="1"/>
  <c r="L22" i="18" s="1"/>
  <c r="AB30" i="5"/>
  <c r="S30" i="5" s="1"/>
  <c r="L30" i="18" s="1"/>
  <c r="AB102" i="5"/>
  <c r="S102" i="5" s="1"/>
  <c r="L102" i="18" s="1"/>
  <c r="AB18" i="5"/>
  <c r="S18" i="5" s="1"/>
  <c r="L18" i="18" s="1"/>
  <c r="AB66" i="5"/>
  <c r="S66" i="5" s="1"/>
  <c r="L66" i="18" s="1"/>
  <c r="AB69" i="5"/>
  <c r="S69" i="5" s="1"/>
  <c r="L69" i="18" s="1"/>
  <c r="AB103" i="5"/>
  <c r="S103" i="5" s="1"/>
  <c r="L103" i="18" s="1"/>
  <c r="AB15" i="5"/>
  <c r="S15" i="5" s="1"/>
  <c r="L15" i="18" s="1"/>
  <c r="AB39" i="5"/>
  <c r="S39" i="5" s="1"/>
  <c r="L39" i="18" s="1"/>
  <c r="AB42" i="5"/>
  <c r="S42" i="5" s="1"/>
  <c r="L42" i="18" s="1"/>
  <c r="AB65" i="5"/>
  <c r="S65" i="5" s="1"/>
  <c r="L65" i="18" s="1"/>
  <c r="AB104" i="5"/>
  <c r="S104" i="5" s="1"/>
  <c r="L104" i="18" s="1"/>
  <c r="AB44" i="5"/>
  <c r="S44" i="5" s="1"/>
  <c r="L44" i="18" s="1"/>
  <c r="AB56" i="5"/>
  <c r="S56" i="5" s="1"/>
  <c r="L56" i="18" s="1"/>
  <c r="Q194" i="18"/>
  <c r="P193" i="18"/>
  <c r="B193" i="18" s="1"/>
  <c r="B382" i="5" s="1"/>
  <c r="B570" i="5" s="1"/>
  <c r="R191" i="18"/>
  <c r="C191" i="18" s="1"/>
  <c r="C380" i="5" s="1"/>
  <c r="C568" i="5" s="1"/>
  <c r="Q190" i="18"/>
  <c r="P189" i="18"/>
  <c r="R187" i="18"/>
  <c r="C187" i="18" s="1"/>
  <c r="C376" i="5" s="1"/>
  <c r="C564" i="5" s="1"/>
  <c r="Q186" i="18"/>
  <c r="P185" i="18"/>
  <c r="B185" i="18" s="1"/>
  <c r="B374" i="5" s="1"/>
  <c r="B562" i="5" s="1"/>
  <c r="R183" i="18"/>
  <c r="C183" i="18" s="1"/>
  <c r="C372" i="5" s="1"/>
  <c r="C560" i="5" s="1"/>
  <c r="Q182" i="18"/>
  <c r="P181" i="18"/>
  <c r="B181" i="18" s="1"/>
  <c r="B370" i="5" s="1"/>
  <c r="B558" i="5" s="1"/>
  <c r="R179" i="18"/>
  <c r="C179" i="18" s="1"/>
  <c r="C368" i="5" s="1"/>
  <c r="C556" i="5" s="1"/>
  <c r="Q178" i="18"/>
  <c r="P177" i="18"/>
  <c r="R175" i="18"/>
  <c r="C175" i="18" s="1"/>
  <c r="C364" i="5" s="1"/>
  <c r="C552" i="5" s="1"/>
  <c r="Q174" i="18"/>
  <c r="P173" i="18"/>
  <c r="B173" i="18" s="1"/>
  <c r="B362" i="5" s="1"/>
  <c r="B550" i="5" s="1"/>
  <c r="R171" i="18"/>
  <c r="C171" i="18" s="1"/>
  <c r="C360" i="5" s="1"/>
  <c r="C548" i="5" s="1"/>
  <c r="Q170" i="18"/>
  <c r="P169" i="18"/>
  <c r="B169" i="18" s="1"/>
  <c r="B358" i="5" s="1"/>
  <c r="B546" i="5" s="1"/>
  <c r="R167" i="18"/>
  <c r="C167" i="18" s="1"/>
  <c r="C356" i="5" s="1"/>
  <c r="C544" i="5" s="1"/>
  <c r="Q166" i="18"/>
  <c r="P157" i="18"/>
  <c r="B157" i="18" s="1"/>
  <c r="B346" i="5" s="1"/>
  <c r="B534" i="5" s="1"/>
  <c r="R155" i="18"/>
  <c r="C155" i="18" s="1"/>
  <c r="C344" i="5" s="1"/>
  <c r="C532" i="5" s="1"/>
  <c r="Q154" i="18"/>
  <c r="P153" i="18"/>
  <c r="B153" i="18" s="1"/>
  <c r="B342" i="5" s="1"/>
  <c r="B530" i="5" s="1"/>
  <c r="R151" i="18"/>
  <c r="C151" i="18" s="1"/>
  <c r="C340" i="5" s="1"/>
  <c r="C528" i="5" s="1"/>
  <c r="Q150" i="18"/>
  <c r="P149" i="18"/>
  <c r="B149" i="18" s="1"/>
  <c r="B338" i="5" s="1"/>
  <c r="B526" i="5" s="1"/>
  <c r="R147" i="18"/>
  <c r="C147" i="18" s="1"/>
  <c r="C336" i="5" s="1"/>
  <c r="C524" i="5" s="1"/>
  <c r="Q146" i="18"/>
  <c r="P145" i="18"/>
  <c r="R143" i="18"/>
  <c r="C143" i="18" s="1"/>
  <c r="C332" i="5" s="1"/>
  <c r="C520" i="5" s="1"/>
  <c r="Q142" i="18"/>
  <c r="P141" i="18"/>
  <c r="B141" i="18" s="1"/>
  <c r="B330" i="5" s="1"/>
  <c r="B518" i="5" s="1"/>
  <c r="R139" i="18"/>
  <c r="C139" i="18" s="1"/>
  <c r="C328" i="5" s="1"/>
  <c r="C516" i="5" s="1"/>
  <c r="Q138" i="18"/>
  <c r="P137" i="18"/>
  <c r="B137" i="18" s="1"/>
  <c r="B326" i="5" s="1"/>
  <c r="B514" i="5" s="1"/>
  <c r="R135" i="18"/>
  <c r="C135" i="18" s="1"/>
  <c r="C324" i="5" s="1"/>
  <c r="C512" i="5" s="1"/>
  <c r="Q134" i="18"/>
  <c r="P133" i="18"/>
  <c r="B133" i="18" s="1"/>
  <c r="B322" i="5" s="1"/>
  <c r="B510" i="5" s="1"/>
  <c r="R131" i="18"/>
  <c r="C131" i="18" s="1"/>
  <c r="C320" i="5" s="1"/>
  <c r="C508" i="5" s="1"/>
  <c r="Q130" i="18"/>
  <c r="P129" i="18"/>
  <c r="B129" i="18" s="1"/>
  <c r="B318" i="5" s="1"/>
  <c r="B506" i="5" s="1"/>
  <c r="R127" i="18"/>
  <c r="C127" i="18" s="1"/>
  <c r="C316" i="5" s="1"/>
  <c r="C504" i="5" s="1"/>
  <c r="Q126" i="18"/>
  <c r="P125" i="18"/>
  <c r="B125" i="18" s="1"/>
  <c r="B314" i="5" s="1"/>
  <c r="R123" i="18"/>
  <c r="C123" i="18" s="1"/>
  <c r="C312" i="5" s="1"/>
  <c r="C500" i="5" s="1"/>
  <c r="Q122" i="18"/>
  <c r="P121" i="18"/>
  <c r="R119" i="18"/>
  <c r="C119" i="18" s="1"/>
  <c r="C308" i="5" s="1"/>
  <c r="C496" i="5" s="1"/>
  <c r="Q118" i="18"/>
  <c r="P117" i="18"/>
  <c r="B117" i="18" s="1"/>
  <c r="B306" i="5" s="1"/>
  <c r="B494" i="5" s="1"/>
  <c r="R115" i="18"/>
  <c r="C115" i="18" s="1"/>
  <c r="C304" i="5" s="1"/>
  <c r="C492" i="5" s="1"/>
  <c r="Q114" i="18"/>
  <c r="P113" i="18"/>
  <c r="B113" i="18" s="1"/>
  <c r="B302" i="5" s="1"/>
  <c r="B490" i="5" s="1"/>
  <c r="R111" i="18"/>
  <c r="C111" i="18" s="1"/>
  <c r="C300" i="5" s="1"/>
  <c r="C488" i="5" s="1"/>
  <c r="Q110" i="18"/>
  <c r="P109" i="18"/>
  <c r="B109" i="18" s="1"/>
  <c r="B298" i="5" s="1"/>
  <c r="B486" i="5" s="1"/>
  <c r="R107" i="18"/>
  <c r="C107" i="18" s="1"/>
  <c r="C296" i="5" s="1"/>
  <c r="C484" i="5" s="1"/>
  <c r="Q106" i="18"/>
  <c r="P105" i="18"/>
  <c r="B105" i="18" s="1"/>
  <c r="B294" i="5" s="1"/>
  <c r="B482" i="5" s="1"/>
  <c r="R103" i="18"/>
  <c r="C103" i="18" s="1"/>
  <c r="C292" i="5" s="1"/>
  <c r="C480" i="5" s="1"/>
  <c r="Q102" i="18"/>
  <c r="P101" i="18"/>
  <c r="B101" i="18" s="1"/>
  <c r="B290" i="5" s="1"/>
  <c r="B478" i="5" s="1"/>
  <c r="R99" i="18"/>
  <c r="C99" i="18" s="1"/>
  <c r="C288" i="5" s="1"/>
  <c r="C476" i="5" s="1"/>
  <c r="Q98" i="18"/>
  <c r="P97" i="18"/>
  <c r="B97" i="18" s="1"/>
  <c r="B286" i="5" s="1"/>
  <c r="B474" i="5" s="1"/>
  <c r="R95" i="18"/>
  <c r="C95" i="18" s="1"/>
  <c r="C284" i="5" s="1"/>
  <c r="C472" i="5" s="1"/>
  <c r="Q94" i="18"/>
  <c r="P93" i="18"/>
  <c r="B93" i="18" s="1"/>
  <c r="B282" i="5" s="1"/>
  <c r="B470" i="5" s="1"/>
  <c r="R91" i="18"/>
  <c r="C91" i="18" s="1"/>
  <c r="C280" i="5" s="1"/>
  <c r="C468" i="5" s="1"/>
  <c r="Q90" i="18"/>
  <c r="P89" i="18"/>
  <c r="B89" i="18" s="1"/>
  <c r="B278" i="5" s="1"/>
  <c r="B466" i="5" s="1"/>
  <c r="R87" i="18"/>
  <c r="C87" i="18" s="1"/>
  <c r="C276" i="5" s="1"/>
  <c r="C464" i="5" s="1"/>
  <c r="Q86" i="18"/>
  <c r="P85" i="18"/>
  <c r="B85" i="18" s="1"/>
  <c r="B274" i="5" s="1"/>
  <c r="B462" i="5" s="1"/>
  <c r="R83" i="18"/>
  <c r="C83" i="18" s="1"/>
  <c r="C272" i="5" s="1"/>
  <c r="C460" i="5" s="1"/>
  <c r="AA63" i="18"/>
  <c r="P194" i="18"/>
  <c r="B194" i="18" s="1"/>
  <c r="B383" i="5" s="1"/>
  <c r="B571" i="5" s="1"/>
  <c r="R192" i="18"/>
  <c r="C192" i="18" s="1"/>
  <c r="C381" i="5" s="1"/>
  <c r="C569" i="5" s="1"/>
  <c r="Q191" i="18"/>
  <c r="P190" i="18"/>
  <c r="B190" i="18" s="1"/>
  <c r="B379" i="5" s="1"/>
  <c r="B567" i="5" s="1"/>
  <c r="R188" i="18"/>
  <c r="C188" i="18" s="1"/>
  <c r="C377" i="5" s="1"/>
  <c r="C565" i="5" s="1"/>
  <c r="Q187" i="18"/>
  <c r="P186" i="18"/>
  <c r="B186" i="18" s="1"/>
  <c r="B375" i="5" s="1"/>
  <c r="B563" i="5" s="1"/>
  <c r="R184" i="18"/>
  <c r="C184" i="18" s="1"/>
  <c r="C373" i="5" s="1"/>
  <c r="C561" i="5" s="1"/>
  <c r="Q183" i="18"/>
  <c r="R180" i="18"/>
  <c r="C180" i="18" s="1"/>
  <c r="C369" i="5" s="1"/>
  <c r="C557" i="5" s="1"/>
  <c r="Q179" i="18"/>
  <c r="P178" i="18"/>
  <c r="B178" i="18" s="1"/>
  <c r="B367" i="5" s="1"/>
  <c r="B555" i="5" s="1"/>
  <c r="R176" i="18"/>
  <c r="C176" i="18" s="1"/>
  <c r="C365" i="5" s="1"/>
  <c r="C553" i="5" s="1"/>
  <c r="Q175" i="18"/>
  <c r="P174" i="18"/>
  <c r="B174" i="18" s="1"/>
  <c r="B363" i="5" s="1"/>
  <c r="B551" i="5" s="1"/>
  <c r="R172" i="18"/>
  <c r="C172" i="18" s="1"/>
  <c r="C361" i="5" s="1"/>
  <c r="C549" i="5" s="1"/>
  <c r="Q171" i="18"/>
  <c r="P170" i="18"/>
  <c r="B170" i="18" s="1"/>
  <c r="B359" i="5" s="1"/>
  <c r="B547" i="5" s="1"/>
  <c r="R168" i="18"/>
  <c r="C168" i="18" s="1"/>
  <c r="C357" i="5" s="1"/>
  <c r="C545" i="5" s="1"/>
  <c r="Q167" i="18"/>
  <c r="P166" i="18"/>
  <c r="B166" i="18" s="1"/>
  <c r="B355" i="5" s="1"/>
  <c r="B543" i="5" s="1"/>
  <c r="R156" i="18"/>
  <c r="C156" i="18" s="1"/>
  <c r="C345" i="5" s="1"/>
  <c r="C533" i="5" s="1"/>
  <c r="Q155" i="18"/>
  <c r="P154" i="18"/>
  <c r="B154" i="18" s="1"/>
  <c r="B343" i="5" s="1"/>
  <c r="B531" i="5" s="1"/>
  <c r="R152" i="18"/>
  <c r="C152" i="18" s="1"/>
  <c r="C341" i="5" s="1"/>
  <c r="C529" i="5" s="1"/>
  <c r="Q151" i="18"/>
  <c r="P150" i="18"/>
  <c r="B150" i="18" s="1"/>
  <c r="B339" i="5" s="1"/>
  <c r="B527" i="5" s="1"/>
  <c r="R148" i="18"/>
  <c r="C148" i="18" s="1"/>
  <c r="C337" i="5" s="1"/>
  <c r="C525" i="5" s="1"/>
  <c r="Q147" i="18"/>
  <c r="P146" i="18"/>
  <c r="B146" i="18" s="1"/>
  <c r="B335" i="5" s="1"/>
  <c r="B523" i="5" s="1"/>
  <c r="R144" i="18"/>
  <c r="C144" i="18" s="1"/>
  <c r="C333" i="5" s="1"/>
  <c r="C521" i="5" s="1"/>
  <c r="Q143" i="18"/>
  <c r="P142" i="18"/>
  <c r="B142" i="18" s="1"/>
  <c r="B331" i="5" s="1"/>
  <c r="B519" i="5" s="1"/>
  <c r="R140" i="18"/>
  <c r="C140" i="18" s="1"/>
  <c r="C329" i="5" s="1"/>
  <c r="C517" i="5" s="1"/>
  <c r="Q139" i="18"/>
  <c r="P138" i="18"/>
  <c r="B138" i="18" s="1"/>
  <c r="B327" i="5" s="1"/>
  <c r="B515" i="5" s="1"/>
  <c r="R136" i="18"/>
  <c r="C136" i="18" s="1"/>
  <c r="C325" i="5" s="1"/>
  <c r="C513" i="5" s="1"/>
  <c r="Q135" i="18"/>
  <c r="P134" i="18"/>
  <c r="B134" i="18" s="1"/>
  <c r="B323" i="5" s="1"/>
  <c r="B511" i="5" s="1"/>
  <c r="R132" i="18"/>
  <c r="C132" i="18" s="1"/>
  <c r="C321" i="5" s="1"/>
  <c r="C509" i="5" s="1"/>
  <c r="Q131" i="18"/>
  <c r="P130" i="18"/>
  <c r="B130" i="18" s="1"/>
  <c r="B319" i="5" s="1"/>
  <c r="B507" i="5" s="1"/>
  <c r="R128" i="18"/>
  <c r="C128" i="18" s="1"/>
  <c r="C317" i="5" s="1"/>
  <c r="C505" i="5" s="1"/>
  <c r="Q127" i="18"/>
  <c r="P126" i="18"/>
  <c r="B126" i="18" s="1"/>
  <c r="B315" i="5" s="1"/>
  <c r="B503" i="5" s="1"/>
  <c r="R124" i="18"/>
  <c r="C124" i="18" s="1"/>
  <c r="C313" i="5" s="1"/>
  <c r="C501" i="5" s="1"/>
  <c r="Q123" i="18"/>
  <c r="P122" i="18"/>
  <c r="B122" i="18" s="1"/>
  <c r="B311" i="5" s="1"/>
  <c r="B499" i="5" s="1"/>
  <c r="R120" i="18"/>
  <c r="C120" i="18" s="1"/>
  <c r="C309" i="5" s="1"/>
  <c r="C497" i="5" s="1"/>
  <c r="Q119" i="18"/>
  <c r="P118" i="18"/>
  <c r="B118" i="18" s="1"/>
  <c r="B307" i="5" s="1"/>
  <c r="B495" i="5" s="1"/>
  <c r="R116" i="18"/>
  <c r="C116" i="18" s="1"/>
  <c r="C305" i="5" s="1"/>
  <c r="C493" i="5" s="1"/>
  <c r="Q115" i="18"/>
  <c r="P114" i="18"/>
  <c r="R112" i="18"/>
  <c r="C112" i="18" s="1"/>
  <c r="C301" i="5" s="1"/>
  <c r="C489" i="5" s="1"/>
  <c r="Q111" i="18"/>
  <c r="P110" i="18"/>
  <c r="B110" i="18" s="1"/>
  <c r="B299" i="5" s="1"/>
  <c r="B487" i="5" s="1"/>
  <c r="R108" i="18"/>
  <c r="C108" i="18" s="1"/>
  <c r="C297" i="5" s="1"/>
  <c r="C485" i="5" s="1"/>
  <c r="Q107" i="18"/>
  <c r="P106" i="18"/>
  <c r="R104" i="18"/>
  <c r="C104" i="18" s="1"/>
  <c r="C293" i="5" s="1"/>
  <c r="C481" i="5" s="1"/>
  <c r="Q103" i="18"/>
  <c r="P102" i="18"/>
  <c r="B102" i="18" s="1"/>
  <c r="B291" i="5" s="1"/>
  <c r="B479" i="5" s="1"/>
  <c r="R100" i="18"/>
  <c r="C100" i="18" s="1"/>
  <c r="C289" i="5" s="1"/>
  <c r="C477" i="5" s="1"/>
  <c r="Q99" i="18"/>
  <c r="P98" i="18"/>
  <c r="B98" i="18" s="1"/>
  <c r="B287" i="5" s="1"/>
  <c r="B475" i="5" s="1"/>
  <c r="R96" i="18"/>
  <c r="C96" i="18" s="1"/>
  <c r="C285" i="5" s="1"/>
  <c r="C473" i="5" s="1"/>
  <c r="Q95" i="18"/>
  <c r="P94" i="18"/>
  <c r="B94" i="18" s="1"/>
  <c r="B283" i="5" s="1"/>
  <c r="B471" i="5" s="1"/>
  <c r="R92" i="18"/>
  <c r="C92" i="18" s="1"/>
  <c r="C281" i="5" s="1"/>
  <c r="C469" i="5" s="1"/>
  <c r="Q91" i="18"/>
  <c r="P90" i="18"/>
  <c r="B90" i="18" s="1"/>
  <c r="B279" i="5" s="1"/>
  <c r="B467" i="5" s="1"/>
  <c r="R88" i="18"/>
  <c r="C88" i="18" s="1"/>
  <c r="C277" i="5" s="1"/>
  <c r="C465" i="5" s="1"/>
  <c r="Q87" i="18"/>
  <c r="P86" i="18"/>
  <c r="B86" i="18" s="1"/>
  <c r="B275" i="5" s="1"/>
  <c r="B463" i="5" s="1"/>
  <c r="R84" i="18"/>
  <c r="C84" i="18" s="1"/>
  <c r="C273" i="5" s="1"/>
  <c r="C461" i="5" s="1"/>
  <c r="AA9" i="18"/>
  <c r="R193" i="18"/>
  <c r="C193" i="18" s="1"/>
  <c r="C382" i="5" s="1"/>
  <c r="C570" i="5" s="1"/>
  <c r="Q192" i="18"/>
  <c r="P191" i="18"/>
  <c r="R189" i="18"/>
  <c r="C189" i="18" s="1"/>
  <c r="C378" i="5" s="1"/>
  <c r="C566" i="5" s="1"/>
  <c r="Q188" i="18"/>
  <c r="P187" i="18"/>
  <c r="B187" i="18" s="1"/>
  <c r="B376" i="5" s="1"/>
  <c r="B564" i="5" s="1"/>
  <c r="R185" i="18"/>
  <c r="C185" i="18" s="1"/>
  <c r="C374" i="5" s="1"/>
  <c r="C562" i="5" s="1"/>
  <c r="Q184" i="18"/>
  <c r="P183" i="18"/>
  <c r="B183" i="18" s="1"/>
  <c r="B372" i="5" s="1"/>
  <c r="B560" i="5" s="1"/>
  <c r="R181" i="18"/>
  <c r="C181" i="18" s="1"/>
  <c r="C370" i="5" s="1"/>
  <c r="C558" i="5" s="1"/>
  <c r="Q180" i="18"/>
  <c r="P179" i="18"/>
  <c r="B179" i="18" s="1"/>
  <c r="B368" i="5" s="1"/>
  <c r="B556" i="5" s="1"/>
  <c r="R177" i="18"/>
  <c r="C177" i="18" s="1"/>
  <c r="C366" i="5" s="1"/>
  <c r="C554" i="5" s="1"/>
  <c r="Q176" i="18"/>
  <c r="P175" i="18"/>
  <c r="R173" i="18"/>
  <c r="C173" i="18" s="1"/>
  <c r="C362" i="5" s="1"/>
  <c r="C550" i="5" s="1"/>
  <c r="Q172" i="18"/>
  <c r="P171" i="18"/>
  <c r="B171" i="18" s="1"/>
  <c r="B360" i="5" s="1"/>
  <c r="B548" i="5" s="1"/>
  <c r="R169" i="18"/>
  <c r="C169" i="18" s="1"/>
  <c r="C358" i="5" s="1"/>
  <c r="C546" i="5" s="1"/>
  <c r="Q168" i="18"/>
  <c r="P167" i="18"/>
  <c r="B167" i="18" s="1"/>
  <c r="B356" i="5" s="1"/>
  <c r="B544" i="5" s="1"/>
  <c r="R157" i="18"/>
  <c r="C157" i="18" s="1"/>
  <c r="C346" i="5" s="1"/>
  <c r="C534" i="5" s="1"/>
  <c r="Q156" i="18"/>
  <c r="P155" i="18"/>
  <c r="B155" i="18" s="1"/>
  <c r="B344" i="5" s="1"/>
  <c r="B532" i="5" s="1"/>
  <c r="R153" i="18"/>
  <c r="C153" i="18" s="1"/>
  <c r="C342" i="5" s="1"/>
  <c r="C530" i="5" s="1"/>
  <c r="Q152" i="18"/>
  <c r="P151" i="18"/>
  <c r="B151" i="18" s="1"/>
  <c r="B340" i="5" s="1"/>
  <c r="B528" i="5" s="1"/>
  <c r="R149" i="18"/>
  <c r="C149" i="18" s="1"/>
  <c r="C338" i="5" s="1"/>
  <c r="C526" i="5" s="1"/>
  <c r="Q148" i="18"/>
  <c r="P147" i="18"/>
  <c r="B147" i="18" s="1"/>
  <c r="B336" i="5" s="1"/>
  <c r="B524" i="5" s="1"/>
  <c r="R145" i="18"/>
  <c r="C145" i="18" s="1"/>
  <c r="C334" i="5" s="1"/>
  <c r="C522" i="5" s="1"/>
  <c r="Q144" i="18"/>
  <c r="P143" i="18"/>
  <c r="B143" i="18" s="1"/>
  <c r="B332" i="5" s="1"/>
  <c r="B520" i="5" s="1"/>
  <c r="R141" i="18"/>
  <c r="C141" i="18" s="1"/>
  <c r="C330" i="5" s="1"/>
  <c r="C518" i="5" s="1"/>
  <c r="Q140" i="18"/>
  <c r="P139" i="18"/>
  <c r="B139" i="18" s="1"/>
  <c r="B328" i="5" s="1"/>
  <c r="B516" i="5" s="1"/>
  <c r="R137" i="18"/>
  <c r="C137" i="18" s="1"/>
  <c r="C326" i="5" s="1"/>
  <c r="C514" i="5" s="1"/>
  <c r="Q136" i="18"/>
  <c r="P135" i="18"/>
  <c r="B135" i="18" s="1"/>
  <c r="B324" i="5" s="1"/>
  <c r="B512" i="5" s="1"/>
  <c r="R133" i="18"/>
  <c r="C133" i="18" s="1"/>
  <c r="C322" i="5" s="1"/>
  <c r="C510" i="5" s="1"/>
  <c r="Q132" i="18"/>
  <c r="P131" i="18"/>
  <c r="B131" i="18" s="1"/>
  <c r="B320" i="5" s="1"/>
  <c r="B508" i="5" s="1"/>
  <c r="R129" i="18"/>
  <c r="C129" i="18" s="1"/>
  <c r="C318" i="5" s="1"/>
  <c r="C506" i="5" s="1"/>
  <c r="Q128" i="18"/>
  <c r="P127" i="18"/>
  <c r="B127" i="18" s="1"/>
  <c r="B316" i="5" s="1"/>
  <c r="B504" i="5" s="1"/>
  <c r="R125" i="18"/>
  <c r="C125" i="18" s="1"/>
  <c r="C314" i="5" s="1"/>
  <c r="Q124" i="18"/>
  <c r="P123" i="18"/>
  <c r="B123" i="18" s="1"/>
  <c r="B312" i="5" s="1"/>
  <c r="B500" i="5" s="1"/>
  <c r="R121" i="18"/>
  <c r="C121" i="18" s="1"/>
  <c r="C310" i="5" s="1"/>
  <c r="C498" i="5" s="1"/>
  <c r="Q120" i="18"/>
  <c r="P119" i="18"/>
  <c r="B119" i="18" s="1"/>
  <c r="B308" i="5" s="1"/>
  <c r="B496" i="5" s="1"/>
  <c r="R117" i="18"/>
  <c r="C117" i="18" s="1"/>
  <c r="C306" i="5" s="1"/>
  <c r="C494" i="5" s="1"/>
  <c r="Q116" i="18"/>
  <c r="P115" i="18"/>
  <c r="R113" i="18"/>
  <c r="C113" i="18" s="1"/>
  <c r="C302" i="5" s="1"/>
  <c r="C490" i="5" s="1"/>
  <c r="Q112" i="18"/>
  <c r="P111" i="18"/>
  <c r="B111" i="18" s="1"/>
  <c r="B300" i="5" s="1"/>
  <c r="B488" i="5" s="1"/>
  <c r="R109" i="18"/>
  <c r="C109" i="18" s="1"/>
  <c r="C298" i="5" s="1"/>
  <c r="C486" i="5" s="1"/>
  <c r="Q108" i="18"/>
  <c r="P107" i="18"/>
  <c r="B107" i="18" s="1"/>
  <c r="B296" i="5" s="1"/>
  <c r="B484" i="5" s="1"/>
  <c r="R105" i="18"/>
  <c r="C105" i="18" s="1"/>
  <c r="C294" i="5" s="1"/>
  <c r="C482" i="5" s="1"/>
  <c r="Q104" i="18"/>
  <c r="P103" i="18"/>
  <c r="B103" i="18" s="1"/>
  <c r="B292" i="5" s="1"/>
  <c r="B480" i="5" s="1"/>
  <c r="R101" i="18"/>
  <c r="C101" i="18" s="1"/>
  <c r="C290" i="5" s="1"/>
  <c r="C478" i="5" s="1"/>
  <c r="Q100" i="18"/>
  <c r="P99" i="18"/>
  <c r="B99" i="18" s="1"/>
  <c r="B288" i="5" s="1"/>
  <c r="B476" i="5" s="1"/>
  <c r="R97" i="18"/>
  <c r="C97" i="18" s="1"/>
  <c r="C286" i="5" s="1"/>
  <c r="C474" i="5" s="1"/>
  <c r="Q96" i="18"/>
  <c r="P95" i="18"/>
  <c r="B95" i="18" s="1"/>
  <c r="B284" i="5" s="1"/>
  <c r="B472" i="5" s="1"/>
  <c r="R93" i="18"/>
  <c r="C93" i="18" s="1"/>
  <c r="C282" i="5" s="1"/>
  <c r="C470" i="5" s="1"/>
  <c r="Q92" i="18"/>
  <c r="P91" i="18"/>
  <c r="B91" i="18" s="1"/>
  <c r="B280" i="5" s="1"/>
  <c r="B468" i="5" s="1"/>
  <c r="R89" i="18"/>
  <c r="C89" i="18" s="1"/>
  <c r="C278" i="5" s="1"/>
  <c r="C466" i="5" s="1"/>
  <c r="Q88" i="18"/>
  <c r="P87" i="18"/>
  <c r="B87" i="18" s="1"/>
  <c r="B276" i="5" s="1"/>
  <c r="B464" i="5" s="1"/>
  <c r="R85" i="18"/>
  <c r="C85" i="18" s="1"/>
  <c r="C274" i="5" s="1"/>
  <c r="C462" i="5" s="1"/>
  <c r="Q84" i="18"/>
  <c r="R190" i="18"/>
  <c r="C190" i="18" s="1"/>
  <c r="C379" i="5" s="1"/>
  <c r="C567" i="5" s="1"/>
  <c r="Q185" i="18"/>
  <c r="P180" i="18"/>
  <c r="B180" i="18" s="1"/>
  <c r="B369" i="5" s="1"/>
  <c r="B557" i="5" s="1"/>
  <c r="R174" i="18"/>
  <c r="C174" i="18" s="1"/>
  <c r="C363" i="5" s="1"/>
  <c r="C551" i="5" s="1"/>
  <c r="Q169" i="18"/>
  <c r="Q153" i="18"/>
  <c r="P148" i="18"/>
  <c r="B148" i="18" s="1"/>
  <c r="B337" i="5" s="1"/>
  <c r="B525" i="5" s="1"/>
  <c r="R142" i="18"/>
  <c r="C142" i="18" s="1"/>
  <c r="C331" i="5" s="1"/>
  <c r="C519" i="5" s="1"/>
  <c r="Q137" i="18"/>
  <c r="P132" i="18"/>
  <c r="B132" i="18" s="1"/>
  <c r="B321" i="5" s="1"/>
  <c r="B509" i="5" s="1"/>
  <c r="R126" i="18"/>
  <c r="C126" i="18" s="1"/>
  <c r="C315" i="5" s="1"/>
  <c r="C503" i="5" s="1"/>
  <c r="Q121" i="18"/>
  <c r="P116" i="18"/>
  <c r="B116" i="18" s="1"/>
  <c r="B305" i="5" s="1"/>
  <c r="B493" i="5" s="1"/>
  <c r="R110" i="18"/>
  <c r="C110" i="18" s="1"/>
  <c r="C299" i="5" s="1"/>
  <c r="C487" i="5" s="1"/>
  <c r="Q105" i="18"/>
  <c r="P100" i="18"/>
  <c r="B100" i="18" s="1"/>
  <c r="B289" i="5" s="1"/>
  <c r="B477" i="5" s="1"/>
  <c r="R94" i="18"/>
  <c r="C94" i="18" s="1"/>
  <c r="C283" i="5" s="1"/>
  <c r="C471" i="5" s="1"/>
  <c r="Q89" i="18"/>
  <c r="P84" i="18"/>
  <c r="B84" i="18" s="1"/>
  <c r="B273" i="5" s="1"/>
  <c r="B461" i="5" s="1"/>
  <c r="Q82" i="18"/>
  <c r="P81" i="18"/>
  <c r="B81" i="18" s="1"/>
  <c r="B270" i="5" s="1"/>
  <c r="B458" i="5" s="1"/>
  <c r="R79" i="18"/>
  <c r="C79" i="18" s="1"/>
  <c r="C268" i="5" s="1"/>
  <c r="C456" i="5" s="1"/>
  <c r="Q78" i="18"/>
  <c r="P77" i="18"/>
  <c r="B77" i="18" s="1"/>
  <c r="B266" i="5" s="1"/>
  <c r="B454" i="5" s="1"/>
  <c r="R75" i="18"/>
  <c r="C75" i="18" s="1"/>
  <c r="C264" i="5" s="1"/>
  <c r="C452" i="5" s="1"/>
  <c r="Q74" i="18"/>
  <c r="P73" i="18"/>
  <c r="R71" i="18"/>
  <c r="C71" i="18" s="1"/>
  <c r="C260" i="5" s="1"/>
  <c r="C448" i="5" s="1"/>
  <c r="Q70" i="18"/>
  <c r="P69" i="18"/>
  <c r="B69" i="18" s="1"/>
  <c r="B258" i="5" s="1"/>
  <c r="B446" i="5" s="1"/>
  <c r="R67" i="18"/>
  <c r="C67" i="18" s="1"/>
  <c r="C256" i="5" s="1"/>
  <c r="C444" i="5" s="1"/>
  <c r="Q66" i="18"/>
  <c r="P65" i="18"/>
  <c r="B65" i="18" s="1"/>
  <c r="B254" i="5" s="1"/>
  <c r="B442" i="5" s="1"/>
  <c r="R63" i="18"/>
  <c r="C63" i="18" s="1"/>
  <c r="C252" i="5" s="1"/>
  <c r="C440" i="5" s="1"/>
  <c r="Q62" i="18"/>
  <c r="P61" i="18"/>
  <c r="B61" i="18" s="1"/>
  <c r="B250" i="5" s="1"/>
  <c r="B438" i="5" s="1"/>
  <c r="R59" i="18"/>
  <c r="C59" i="18" s="1"/>
  <c r="C248" i="5" s="1"/>
  <c r="C436" i="5" s="1"/>
  <c r="Q58" i="18"/>
  <c r="P57" i="18"/>
  <c r="B57" i="18" s="1"/>
  <c r="B246" i="5" s="1"/>
  <c r="B434" i="5" s="1"/>
  <c r="R55" i="18"/>
  <c r="C55" i="18" s="1"/>
  <c r="C244" i="5" s="1"/>
  <c r="C432" i="5" s="1"/>
  <c r="Q54" i="18"/>
  <c r="P53" i="18"/>
  <c r="B53" i="18" s="1"/>
  <c r="B242" i="5" s="1"/>
  <c r="B430" i="5" s="1"/>
  <c r="R51" i="18"/>
  <c r="C51" i="18" s="1"/>
  <c r="C240" i="5" s="1"/>
  <c r="C428" i="5" s="1"/>
  <c r="Q50" i="18"/>
  <c r="P49" i="18"/>
  <c r="B49" i="18" s="1"/>
  <c r="B238" i="5" s="1"/>
  <c r="B426" i="5" s="1"/>
  <c r="R47" i="18"/>
  <c r="C47" i="18" s="1"/>
  <c r="C236" i="5" s="1"/>
  <c r="C424" i="5" s="1"/>
  <c r="Q46" i="18"/>
  <c r="P45" i="18"/>
  <c r="B45" i="18" s="1"/>
  <c r="B234" i="5" s="1"/>
  <c r="B422" i="5" s="1"/>
  <c r="R43" i="18"/>
  <c r="C43" i="18" s="1"/>
  <c r="C232" i="5" s="1"/>
  <c r="C420" i="5" s="1"/>
  <c r="Q42" i="18"/>
  <c r="P41" i="18"/>
  <c r="B41" i="18" s="1"/>
  <c r="B230" i="5" s="1"/>
  <c r="B418" i="5" s="1"/>
  <c r="R39" i="18"/>
  <c r="C39" i="18" s="1"/>
  <c r="C228" i="5" s="1"/>
  <c r="C416" i="5" s="1"/>
  <c r="Q38" i="18"/>
  <c r="P37" i="18"/>
  <c r="B37" i="18" s="1"/>
  <c r="B226" i="5" s="1"/>
  <c r="B414" i="5" s="1"/>
  <c r="R35" i="18"/>
  <c r="C35" i="18" s="1"/>
  <c r="C224" i="5" s="1"/>
  <c r="C412" i="5" s="1"/>
  <c r="Q34" i="18"/>
  <c r="P33" i="18"/>
  <c r="B33" i="18" s="1"/>
  <c r="B222" i="5" s="1"/>
  <c r="B410" i="5" s="1"/>
  <c r="R30" i="18"/>
  <c r="C30" i="18" s="1"/>
  <c r="C219" i="5" s="1"/>
  <c r="C407" i="5" s="1"/>
  <c r="Q29" i="18"/>
  <c r="P28" i="18"/>
  <c r="B28" i="18" s="1"/>
  <c r="B217" i="5" s="1"/>
  <c r="B405" i="5" s="1"/>
  <c r="R26" i="18"/>
  <c r="C26" i="18" s="1"/>
  <c r="C215" i="5" s="1"/>
  <c r="Q25" i="18"/>
  <c r="P24" i="18"/>
  <c r="B24" i="18" s="1"/>
  <c r="B213" i="5" s="1"/>
  <c r="B401" i="5" s="1"/>
  <c r="R22" i="18"/>
  <c r="C22" i="18" s="1"/>
  <c r="C211" i="5" s="1"/>
  <c r="C399" i="5" s="1"/>
  <c r="Q21" i="18"/>
  <c r="P20" i="18"/>
  <c r="B20" i="18" s="1"/>
  <c r="B209" i="5" s="1"/>
  <c r="B397" i="5" s="1"/>
  <c r="R18" i="18"/>
  <c r="C18" i="18" s="1"/>
  <c r="C207" i="5" s="1"/>
  <c r="C395" i="5" s="1"/>
  <c r="Q17" i="18"/>
  <c r="P16" i="18"/>
  <c r="B16" i="18" s="1"/>
  <c r="B205" i="5" s="1"/>
  <c r="B393" i="5" s="1"/>
  <c r="R14" i="18"/>
  <c r="C14" i="18" s="1"/>
  <c r="C203" i="5" s="1"/>
  <c r="C391" i="5" s="1"/>
  <c r="Q13" i="18"/>
  <c r="P12" i="18"/>
  <c r="B12" i="18" s="1"/>
  <c r="B201" i="5" s="1"/>
  <c r="B389" i="5" s="1"/>
  <c r="R10" i="18"/>
  <c r="C10" i="18" s="1"/>
  <c r="C199" i="5" s="1"/>
  <c r="C387" i="5" s="1"/>
  <c r="Q9" i="18"/>
  <c r="AC63" i="18"/>
  <c r="X63" i="18"/>
  <c r="T63" i="18"/>
  <c r="AC194" i="18"/>
  <c r="Y194" i="18"/>
  <c r="U194" i="18"/>
  <c r="AD193" i="18"/>
  <c r="Z193" i="18"/>
  <c r="V193" i="18"/>
  <c r="R194" i="18"/>
  <c r="C194" i="18" s="1"/>
  <c r="C383" i="5" s="1"/>
  <c r="C571" i="5" s="1"/>
  <c r="Q189" i="18"/>
  <c r="P184" i="18"/>
  <c r="B184" i="18" s="1"/>
  <c r="B373" i="5" s="1"/>
  <c r="B561" i="5" s="1"/>
  <c r="R178" i="18"/>
  <c r="C178" i="18" s="1"/>
  <c r="C367" i="5" s="1"/>
  <c r="C555" i="5" s="1"/>
  <c r="Q173" i="18"/>
  <c r="P168" i="18"/>
  <c r="B168" i="18" s="1"/>
  <c r="B357" i="5" s="1"/>
  <c r="B545" i="5" s="1"/>
  <c r="Q157" i="18"/>
  <c r="P152" i="18"/>
  <c r="B152" i="18" s="1"/>
  <c r="B341" i="5" s="1"/>
  <c r="B529" i="5" s="1"/>
  <c r="R146" i="18"/>
  <c r="C146" i="18" s="1"/>
  <c r="C335" i="5" s="1"/>
  <c r="C523" i="5" s="1"/>
  <c r="Q141" i="18"/>
  <c r="P136" i="18"/>
  <c r="B136" i="18" s="1"/>
  <c r="B325" i="5" s="1"/>
  <c r="B513" i="5" s="1"/>
  <c r="R130" i="18"/>
  <c r="C130" i="18" s="1"/>
  <c r="C319" i="5" s="1"/>
  <c r="C507" i="5" s="1"/>
  <c r="Q125" i="18"/>
  <c r="P120" i="18"/>
  <c r="B120" i="18" s="1"/>
  <c r="B309" i="5" s="1"/>
  <c r="B497" i="5" s="1"/>
  <c r="R114" i="18"/>
  <c r="C114" i="18" s="1"/>
  <c r="C303" i="5" s="1"/>
  <c r="C491" i="5" s="1"/>
  <c r="Q109" i="18"/>
  <c r="P104" i="18"/>
  <c r="B104" i="18" s="1"/>
  <c r="B293" i="5" s="1"/>
  <c r="B481" i="5" s="1"/>
  <c r="R98" i="18"/>
  <c r="C98" i="18" s="1"/>
  <c r="C287" i="5" s="1"/>
  <c r="C475" i="5" s="1"/>
  <c r="Q93" i="18"/>
  <c r="P88" i="18"/>
  <c r="B88" i="18" s="1"/>
  <c r="B277" i="5" s="1"/>
  <c r="B465" i="5" s="1"/>
  <c r="Q83" i="18"/>
  <c r="P82" i="18"/>
  <c r="B82" i="18" s="1"/>
  <c r="B271" i="5" s="1"/>
  <c r="B459" i="5" s="1"/>
  <c r="R80" i="18"/>
  <c r="C80" i="18" s="1"/>
  <c r="C269" i="5" s="1"/>
  <c r="C457" i="5" s="1"/>
  <c r="Q79" i="18"/>
  <c r="P78" i="18"/>
  <c r="B78" i="18" s="1"/>
  <c r="B267" i="5" s="1"/>
  <c r="B455" i="5" s="1"/>
  <c r="R76" i="18"/>
  <c r="C76" i="18" s="1"/>
  <c r="C265" i="5" s="1"/>
  <c r="C453" i="5" s="1"/>
  <c r="Q75" i="18"/>
  <c r="P74" i="18"/>
  <c r="B74" i="18" s="1"/>
  <c r="B263" i="5" s="1"/>
  <c r="B451" i="5" s="1"/>
  <c r="R72" i="18"/>
  <c r="C72" i="18" s="1"/>
  <c r="C261" i="5" s="1"/>
  <c r="C449" i="5" s="1"/>
  <c r="Q71" i="18"/>
  <c r="P70" i="18"/>
  <c r="R68" i="18"/>
  <c r="C68" i="18" s="1"/>
  <c r="C257" i="5" s="1"/>
  <c r="C445" i="5" s="1"/>
  <c r="Q67" i="18"/>
  <c r="P66" i="18"/>
  <c r="B66" i="18" s="1"/>
  <c r="B255" i="5" s="1"/>
  <c r="B443" i="5" s="1"/>
  <c r="R64" i="18"/>
  <c r="C64" i="18" s="1"/>
  <c r="C253" i="5" s="1"/>
  <c r="C441" i="5" s="1"/>
  <c r="Q63" i="18"/>
  <c r="P62" i="18"/>
  <c r="B62" i="18" s="1"/>
  <c r="B251" i="5" s="1"/>
  <c r="B439" i="5" s="1"/>
  <c r="R60" i="18"/>
  <c r="C60" i="18" s="1"/>
  <c r="C249" i="5" s="1"/>
  <c r="C437" i="5" s="1"/>
  <c r="Q59" i="18"/>
  <c r="P58" i="18"/>
  <c r="B58" i="18" s="1"/>
  <c r="B247" i="5" s="1"/>
  <c r="B435" i="5" s="1"/>
  <c r="R56" i="18"/>
  <c r="C56" i="18" s="1"/>
  <c r="C245" i="5" s="1"/>
  <c r="C433" i="5" s="1"/>
  <c r="Q55" i="18"/>
  <c r="P54" i="18"/>
  <c r="R52" i="18"/>
  <c r="C52" i="18" s="1"/>
  <c r="C241" i="5" s="1"/>
  <c r="C429" i="5" s="1"/>
  <c r="Q51" i="18"/>
  <c r="P50" i="18"/>
  <c r="B50" i="18" s="1"/>
  <c r="B239" i="5" s="1"/>
  <c r="B427" i="5" s="1"/>
  <c r="R48" i="18"/>
  <c r="C48" i="18" s="1"/>
  <c r="C237" i="5" s="1"/>
  <c r="C425" i="5" s="1"/>
  <c r="Q47" i="18"/>
  <c r="P46" i="18"/>
  <c r="B46" i="18" s="1"/>
  <c r="B235" i="5" s="1"/>
  <c r="B423" i="5" s="1"/>
  <c r="R44" i="18"/>
  <c r="C44" i="18" s="1"/>
  <c r="C233" i="5" s="1"/>
  <c r="C421" i="5" s="1"/>
  <c r="Q43" i="18"/>
  <c r="P42" i="18"/>
  <c r="B42" i="18" s="1"/>
  <c r="B231" i="5" s="1"/>
  <c r="B419" i="5" s="1"/>
  <c r="R40" i="18"/>
  <c r="C40" i="18" s="1"/>
  <c r="C229" i="5" s="1"/>
  <c r="C417" i="5" s="1"/>
  <c r="Q39" i="18"/>
  <c r="P38" i="18"/>
  <c r="B38" i="18" s="1"/>
  <c r="B227" i="5" s="1"/>
  <c r="B415" i="5" s="1"/>
  <c r="R36" i="18"/>
  <c r="C36" i="18" s="1"/>
  <c r="C225" i="5" s="1"/>
  <c r="C413" i="5" s="1"/>
  <c r="Q35" i="18"/>
  <c r="P34" i="18"/>
  <c r="B34" i="18" s="1"/>
  <c r="B223" i="5" s="1"/>
  <c r="B411" i="5" s="1"/>
  <c r="R31" i="18"/>
  <c r="C31" i="18" s="1"/>
  <c r="C220" i="5" s="1"/>
  <c r="C408" i="5" s="1"/>
  <c r="Q30" i="18"/>
  <c r="P29" i="18"/>
  <c r="B29" i="18" s="1"/>
  <c r="B218" i="5" s="1"/>
  <c r="B406" i="5" s="1"/>
  <c r="R27" i="18"/>
  <c r="C27" i="18" s="1"/>
  <c r="C216" i="5" s="1"/>
  <c r="C404" i="5" s="1"/>
  <c r="Q26" i="18"/>
  <c r="P25" i="18"/>
  <c r="B25" i="18" s="1"/>
  <c r="B214" i="5" s="1"/>
  <c r="R23" i="18"/>
  <c r="C23" i="18" s="1"/>
  <c r="C212" i="5" s="1"/>
  <c r="C400" i="5" s="1"/>
  <c r="Q22" i="18"/>
  <c r="P21" i="18"/>
  <c r="R19" i="18"/>
  <c r="C19" i="18" s="1"/>
  <c r="C208" i="5" s="1"/>
  <c r="C396" i="5" s="1"/>
  <c r="Q18" i="18"/>
  <c r="P17" i="18"/>
  <c r="B17" i="18" s="1"/>
  <c r="B206" i="5" s="1"/>
  <c r="B394" i="5" s="1"/>
  <c r="R15" i="18"/>
  <c r="C15" i="18" s="1"/>
  <c r="C204" i="5" s="1"/>
  <c r="C392" i="5" s="1"/>
  <c r="Q14" i="18"/>
  <c r="P13" i="18"/>
  <c r="B13" i="18" s="1"/>
  <c r="B202" i="5" s="1"/>
  <c r="B390" i="5" s="1"/>
  <c r="R11" i="18"/>
  <c r="C11" i="18" s="1"/>
  <c r="C200" i="5" s="1"/>
  <c r="C388" i="5" s="1"/>
  <c r="Q10" i="18"/>
  <c r="P9" i="18"/>
  <c r="B9" i="18" s="1"/>
  <c r="B198" i="5" s="1"/>
  <c r="B386" i="5" s="1"/>
  <c r="AB63" i="18"/>
  <c r="W63" i="18"/>
  <c r="S63" i="18"/>
  <c r="AB194" i="18"/>
  <c r="X194" i="18"/>
  <c r="T194" i="18"/>
  <c r="AC193" i="18"/>
  <c r="Y193" i="18"/>
  <c r="U193" i="18"/>
  <c r="AD192" i="18"/>
  <c r="Q193" i="18"/>
  <c r="P188" i="18"/>
  <c r="B188" i="18" s="1"/>
  <c r="B377" i="5" s="1"/>
  <c r="B565" i="5" s="1"/>
  <c r="R182" i="18"/>
  <c r="C182" i="18" s="1"/>
  <c r="C371" i="5" s="1"/>
  <c r="C559" i="5" s="1"/>
  <c r="Q177" i="18"/>
  <c r="P172" i="18"/>
  <c r="B172" i="18" s="1"/>
  <c r="B361" i="5" s="1"/>
  <c r="B549" i="5" s="1"/>
  <c r="R166" i="18"/>
  <c r="C166" i="18" s="1"/>
  <c r="C355" i="5" s="1"/>
  <c r="C543" i="5" s="1"/>
  <c r="P156" i="18"/>
  <c r="B156" i="18" s="1"/>
  <c r="B345" i="5" s="1"/>
  <c r="B533" i="5" s="1"/>
  <c r="R150" i="18"/>
  <c r="C150" i="18" s="1"/>
  <c r="C339" i="5" s="1"/>
  <c r="C527" i="5" s="1"/>
  <c r="Q145" i="18"/>
  <c r="P140" i="18"/>
  <c r="B140" i="18" s="1"/>
  <c r="B329" i="5" s="1"/>
  <c r="B517" i="5" s="1"/>
  <c r="R134" i="18"/>
  <c r="C134" i="18" s="1"/>
  <c r="C323" i="5" s="1"/>
  <c r="C511" i="5" s="1"/>
  <c r="Q129" i="18"/>
  <c r="P124" i="18"/>
  <c r="B124" i="18" s="1"/>
  <c r="B313" i="5" s="1"/>
  <c r="B501" i="5" s="1"/>
  <c r="R118" i="18"/>
  <c r="C118" i="18" s="1"/>
  <c r="C307" i="5" s="1"/>
  <c r="C495" i="5" s="1"/>
  <c r="Q113" i="18"/>
  <c r="P108" i="18"/>
  <c r="R102" i="18"/>
  <c r="C102" i="18" s="1"/>
  <c r="C291" i="5" s="1"/>
  <c r="C479" i="5" s="1"/>
  <c r="Q97" i="18"/>
  <c r="P92" i="18"/>
  <c r="B92" i="18" s="1"/>
  <c r="B281" i="5" s="1"/>
  <c r="B469" i="5" s="1"/>
  <c r="R86" i="18"/>
  <c r="C86" i="18" s="1"/>
  <c r="C275" i="5" s="1"/>
  <c r="C463" i="5" s="1"/>
  <c r="P83" i="18"/>
  <c r="B83" i="18" s="1"/>
  <c r="B272" i="5" s="1"/>
  <c r="B460" i="5" s="1"/>
  <c r="R81" i="18"/>
  <c r="C81" i="18" s="1"/>
  <c r="C270" i="5" s="1"/>
  <c r="C458" i="5" s="1"/>
  <c r="Q80" i="18"/>
  <c r="P79" i="18"/>
  <c r="B79" i="18" s="1"/>
  <c r="B268" i="5" s="1"/>
  <c r="B456" i="5" s="1"/>
  <c r="R77" i="18"/>
  <c r="C77" i="18" s="1"/>
  <c r="C266" i="5" s="1"/>
  <c r="C454" i="5" s="1"/>
  <c r="Q76" i="18"/>
  <c r="P75" i="18"/>
  <c r="B75" i="18" s="1"/>
  <c r="B264" i="5" s="1"/>
  <c r="B452" i="5" s="1"/>
  <c r="R73" i="18"/>
  <c r="C73" i="18" s="1"/>
  <c r="C262" i="5" s="1"/>
  <c r="C450" i="5" s="1"/>
  <c r="Q72" i="18"/>
  <c r="P71" i="18"/>
  <c r="B71" i="18" s="1"/>
  <c r="B260" i="5" s="1"/>
  <c r="B448" i="5" s="1"/>
  <c r="R69" i="18"/>
  <c r="C69" i="18" s="1"/>
  <c r="C258" i="5" s="1"/>
  <c r="C446" i="5" s="1"/>
  <c r="Q68" i="18"/>
  <c r="P67" i="18"/>
  <c r="B67" i="18" s="1"/>
  <c r="B256" i="5" s="1"/>
  <c r="B444" i="5" s="1"/>
  <c r="R65" i="18"/>
  <c r="C65" i="18" s="1"/>
  <c r="C254" i="5" s="1"/>
  <c r="C442" i="5" s="1"/>
  <c r="Q64" i="18"/>
  <c r="P63" i="18"/>
  <c r="B63" i="18" s="1"/>
  <c r="B252" i="5" s="1"/>
  <c r="B440" i="5" s="1"/>
  <c r="R61" i="18"/>
  <c r="C61" i="18" s="1"/>
  <c r="C250" i="5" s="1"/>
  <c r="C438" i="5" s="1"/>
  <c r="Q60" i="18"/>
  <c r="P59" i="18"/>
  <c r="B59" i="18" s="1"/>
  <c r="B248" i="5" s="1"/>
  <c r="B436" i="5" s="1"/>
  <c r="R57" i="18"/>
  <c r="C57" i="18" s="1"/>
  <c r="C246" i="5" s="1"/>
  <c r="C434" i="5" s="1"/>
  <c r="Q56" i="18"/>
  <c r="P55" i="18"/>
  <c r="B55" i="18" s="1"/>
  <c r="B244" i="5" s="1"/>
  <c r="B432" i="5" s="1"/>
  <c r="R53" i="18"/>
  <c r="C53" i="18" s="1"/>
  <c r="C242" i="5" s="1"/>
  <c r="C430" i="5" s="1"/>
  <c r="Q52" i="18"/>
  <c r="P51" i="18"/>
  <c r="B51" i="18" s="1"/>
  <c r="B240" i="5" s="1"/>
  <c r="B428" i="5" s="1"/>
  <c r="R49" i="18"/>
  <c r="C49" i="18" s="1"/>
  <c r="C238" i="5" s="1"/>
  <c r="C426" i="5" s="1"/>
  <c r="Q48" i="18"/>
  <c r="P47" i="18"/>
  <c r="B47" i="18" s="1"/>
  <c r="B236" i="5" s="1"/>
  <c r="B424" i="5" s="1"/>
  <c r="R45" i="18"/>
  <c r="C45" i="18" s="1"/>
  <c r="C234" i="5" s="1"/>
  <c r="C422" i="5" s="1"/>
  <c r="Q44" i="18"/>
  <c r="P43" i="18"/>
  <c r="R41" i="18"/>
  <c r="C41" i="18" s="1"/>
  <c r="C230" i="5" s="1"/>
  <c r="C418" i="5" s="1"/>
  <c r="Q40" i="18"/>
  <c r="P39" i="18"/>
  <c r="B39" i="18" s="1"/>
  <c r="B228" i="5" s="1"/>
  <c r="B416" i="5" s="1"/>
  <c r="R37" i="18"/>
  <c r="C37" i="18" s="1"/>
  <c r="C226" i="5" s="1"/>
  <c r="C414" i="5" s="1"/>
  <c r="Q36" i="18"/>
  <c r="P35" i="18"/>
  <c r="B35" i="18" s="1"/>
  <c r="B224" i="5" s="1"/>
  <c r="B412" i="5" s="1"/>
  <c r="R33" i="18"/>
  <c r="C33" i="18" s="1"/>
  <c r="C222" i="5" s="1"/>
  <c r="C410" i="5" s="1"/>
  <c r="Q31" i="18"/>
  <c r="P30" i="18"/>
  <c r="B30" i="18" s="1"/>
  <c r="B219" i="5" s="1"/>
  <c r="B407" i="5" s="1"/>
  <c r="R28" i="18"/>
  <c r="C28" i="18" s="1"/>
  <c r="C217" i="5" s="1"/>
  <c r="C405" i="5" s="1"/>
  <c r="Q27" i="18"/>
  <c r="P26" i="18"/>
  <c r="B26" i="18" s="1"/>
  <c r="B215" i="5" s="1"/>
  <c r="R24" i="18"/>
  <c r="C24" i="18" s="1"/>
  <c r="C213" i="5" s="1"/>
  <c r="C401" i="5" s="1"/>
  <c r="Q23" i="18"/>
  <c r="P22" i="18"/>
  <c r="B22" i="18" s="1"/>
  <c r="B211" i="5" s="1"/>
  <c r="B399" i="5" s="1"/>
  <c r="R20" i="18"/>
  <c r="C20" i="18" s="1"/>
  <c r="C209" i="5" s="1"/>
  <c r="C397" i="5" s="1"/>
  <c r="Q19" i="18"/>
  <c r="P18" i="18"/>
  <c r="B18" i="18" s="1"/>
  <c r="B207" i="5" s="1"/>
  <c r="B395" i="5" s="1"/>
  <c r="R16" i="18"/>
  <c r="C16" i="18" s="1"/>
  <c r="C205" i="5" s="1"/>
  <c r="C393" i="5" s="1"/>
  <c r="Q15" i="18"/>
  <c r="P14" i="18"/>
  <c r="B14" i="18" s="1"/>
  <c r="B203" i="5" s="1"/>
  <c r="B391" i="5" s="1"/>
  <c r="R12" i="18"/>
  <c r="C12" i="18" s="1"/>
  <c r="C201" i="5" s="1"/>
  <c r="C389" i="5" s="1"/>
  <c r="Q11" i="18"/>
  <c r="P10" i="18"/>
  <c r="B10" i="18" s="1"/>
  <c r="B199" i="5" s="1"/>
  <c r="B387" i="5" s="1"/>
  <c r="AE63" i="18"/>
  <c r="Z63" i="18"/>
  <c r="V63" i="18"/>
  <c r="AE194" i="18"/>
  <c r="AA194" i="18"/>
  <c r="W194" i="18"/>
  <c r="S194" i="18"/>
  <c r="AB193" i="18"/>
  <c r="X193" i="18"/>
  <c r="T193" i="18"/>
  <c r="AC192" i="18"/>
  <c r="P176" i="18"/>
  <c r="B176" i="18" s="1"/>
  <c r="B365" i="5" s="1"/>
  <c r="B553" i="5" s="1"/>
  <c r="R154" i="18"/>
  <c r="C154" i="18" s="1"/>
  <c r="C343" i="5" s="1"/>
  <c r="C531" i="5" s="1"/>
  <c r="Q133" i="18"/>
  <c r="P112" i="18"/>
  <c r="B112" i="18" s="1"/>
  <c r="B301" i="5" s="1"/>
  <c r="B489" i="5" s="1"/>
  <c r="R90" i="18"/>
  <c r="C90" i="18" s="1"/>
  <c r="C279" i="5" s="1"/>
  <c r="C467" i="5" s="1"/>
  <c r="P80" i="18"/>
  <c r="B80" i="18" s="1"/>
  <c r="B269" i="5" s="1"/>
  <c r="B457" i="5" s="1"/>
  <c r="R74" i="18"/>
  <c r="C74" i="18" s="1"/>
  <c r="C263" i="5" s="1"/>
  <c r="C451" i="5" s="1"/>
  <c r="Q69" i="18"/>
  <c r="P64" i="18"/>
  <c r="B64" i="18" s="1"/>
  <c r="B253" i="5" s="1"/>
  <c r="B441" i="5" s="1"/>
  <c r="R58" i="18"/>
  <c r="C58" i="18" s="1"/>
  <c r="C247" i="5" s="1"/>
  <c r="C435" i="5" s="1"/>
  <c r="Q53" i="18"/>
  <c r="P48" i="18"/>
  <c r="B48" i="18" s="1"/>
  <c r="B237" i="5" s="1"/>
  <c r="B425" i="5" s="1"/>
  <c r="R42" i="18"/>
  <c r="C42" i="18" s="1"/>
  <c r="C231" i="5" s="1"/>
  <c r="C419" i="5" s="1"/>
  <c r="Q37" i="18"/>
  <c r="P31" i="18"/>
  <c r="B31" i="18" s="1"/>
  <c r="B220" i="5" s="1"/>
  <c r="B408" i="5" s="1"/>
  <c r="R25" i="18"/>
  <c r="C25" i="18" s="1"/>
  <c r="C214" i="5" s="1"/>
  <c r="Q20" i="18"/>
  <c r="P15" i="18"/>
  <c r="B15" i="18" s="1"/>
  <c r="B204" i="5" s="1"/>
  <c r="B392" i="5" s="1"/>
  <c r="R9" i="18"/>
  <c r="C9" i="18" s="1"/>
  <c r="C198" i="5" s="1"/>
  <c r="C386" i="5" s="1"/>
  <c r="AD194" i="18"/>
  <c r="AA193" i="18"/>
  <c r="AB192" i="18"/>
  <c r="X192" i="18"/>
  <c r="T192" i="18"/>
  <c r="AC191" i="18"/>
  <c r="Y191" i="18"/>
  <c r="U191" i="18"/>
  <c r="AD190" i="18"/>
  <c r="Z190" i="18"/>
  <c r="V190" i="18"/>
  <c r="AE189" i="18"/>
  <c r="AA189" i="18"/>
  <c r="W189" i="18"/>
  <c r="S189" i="18"/>
  <c r="AB188" i="18"/>
  <c r="X188" i="18"/>
  <c r="T188" i="18"/>
  <c r="AC187" i="18"/>
  <c r="Y187" i="18"/>
  <c r="U187" i="18"/>
  <c r="AD186" i="18"/>
  <c r="Z186" i="18"/>
  <c r="V186" i="18"/>
  <c r="AE185" i="18"/>
  <c r="AA185" i="18"/>
  <c r="W185" i="18"/>
  <c r="S185" i="18"/>
  <c r="AB184" i="18"/>
  <c r="X184" i="18"/>
  <c r="T184" i="18"/>
  <c r="AC183" i="18"/>
  <c r="Y183" i="18"/>
  <c r="U183" i="18"/>
  <c r="AD182" i="18"/>
  <c r="Z182" i="18"/>
  <c r="V182" i="18"/>
  <c r="AE181" i="18"/>
  <c r="AA181" i="18"/>
  <c r="W181" i="18"/>
  <c r="S181" i="18"/>
  <c r="AB180" i="18"/>
  <c r="X180" i="18"/>
  <c r="T180" i="18"/>
  <c r="AC179" i="18"/>
  <c r="Y179" i="18"/>
  <c r="U179" i="18"/>
  <c r="AD178" i="18"/>
  <c r="Z178" i="18"/>
  <c r="V178" i="18"/>
  <c r="AE177" i="18"/>
  <c r="AA177" i="18"/>
  <c r="W177" i="18"/>
  <c r="S177" i="18"/>
  <c r="AB176" i="18"/>
  <c r="X176" i="18"/>
  <c r="T176" i="18"/>
  <c r="AC175" i="18"/>
  <c r="Y175" i="18"/>
  <c r="U175" i="18"/>
  <c r="AD174" i="18"/>
  <c r="Z174" i="18"/>
  <c r="V174" i="18"/>
  <c r="AE173" i="18"/>
  <c r="AA173" i="18"/>
  <c r="W173" i="18"/>
  <c r="S173" i="18"/>
  <c r="AB172" i="18"/>
  <c r="X172" i="18"/>
  <c r="T172" i="18"/>
  <c r="AC171" i="18"/>
  <c r="Y171" i="18"/>
  <c r="U171" i="18"/>
  <c r="AD170" i="18"/>
  <c r="Z170" i="18"/>
  <c r="V170" i="18"/>
  <c r="AE169" i="18"/>
  <c r="AA169" i="18"/>
  <c r="W169" i="18"/>
  <c r="S169" i="18"/>
  <c r="AB168" i="18"/>
  <c r="X168" i="18"/>
  <c r="T168" i="18"/>
  <c r="AC167" i="18"/>
  <c r="Y167" i="18"/>
  <c r="U167" i="18"/>
  <c r="AD166" i="18"/>
  <c r="Z166" i="18"/>
  <c r="V166" i="18"/>
  <c r="AE157" i="18"/>
  <c r="AA157" i="18"/>
  <c r="W157" i="18"/>
  <c r="S157" i="18"/>
  <c r="AB156" i="18"/>
  <c r="X156" i="18"/>
  <c r="T156" i="18"/>
  <c r="AC155" i="18"/>
  <c r="Y155" i="18"/>
  <c r="U155" i="18"/>
  <c r="AD154" i="18"/>
  <c r="Z154" i="18"/>
  <c r="V154" i="18"/>
  <c r="AE153" i="18"/>
  <c r="AA153" i="18"/>
  <c r="W153" i="18"/>
  <c r="S153" i="18"/>
  <c r="AB152" i="18"/>
  <c r="X152" i="18"/>
  <c r="T152" i="18"/>
  <c r="AC151" i="18"/>
  <c r="Y151" i="18"/>
  <c r="U151" i="18"/>
  <c r="AD150" i="18"/>
  <c r="Z150" i="18"/>
  <c r="V150" i="18"/>
  <c r="AE149" i="18"/>
  <c r="AA149" i="18"/>
  <c r="W149" i="18"/>
  <c r="S149" i="18"/>
  <c r="AB148" i="18"/>
  <c r="X148" i="18"/>
  <c r="T148" i="18"/>
  <c r="AC147" i="18"/>
  <c r="Y147" i="18"/>
  <c r="U147" i="18"/>
  <c r="P192" i="18"/>
  <c r="B192" i="18" s="1"/>
  <c r="B381" i="5" s="1"/>
  <c r="B569" i="5" s="1"/>
  <c r="R170" i="18"/>
  <c r="C170" i="18" s="1"/>
  <c r="C359" i="5" s="1"/>
  <c r="C547" i="5" s="1"/>
  <c r="Q149" i="18"/>
  <c r="P128" i="18"/>
  <c r="B128" i="18" s="1"/>
  <c r="B317" i="5" s="1"/>
  <c r="B505" i="5" s="1"/>
  <c r="R106" i="18"/>
  <c r="C106" i="18" s="1"/>
  <c r="C295" i="5" s="1"/>
  <c r="C483" i="5" s="1"/>
  <c r="Q85" i="18"/>
  <c r="R78" i="18"/>
  <c r="C78" i="18" s="1"/>
  <c r="C267" i="5" s="1"/>
  <c r="C455" i="5" s="1"/>
  <c r="Q73" i="18"/>
  <c r="P68" i="18"/>
  <c r="B68" i="18" s="1"/>
  <c r="B257" i="5" s="1"/>
  <c r="B445" i="5" s="1"/>
  <c r="R62" i="18"/>
  <c r="C62" i="18" s="1"/>
  <c r="C251" i="5" s="1"/>
  <c r="C439" i="5" s="1"/>
  <c r="Q57" i="18"/>
  <c r="P52" i="18"/>
  <c r="B52" i="18" s="1"/>
  <c r="B241" i="5" s="1"/>
  <c r="B429" i="5" s="1"/>
  <c r="R46" i="18"/>
  <c r="C46" i="18" s="1"/>
  <c r="C235" i="5" s="1"/>
  <c r="C423" i="5" s="1"/>
  <c r="Q41" i="18"/>
  <c r="P36" i="18"/>
  <c r="B36" i="18" s="1"/>
  <c r="B225" i="5" s="1"/>
  <c r="B413" i="5" s="1"/>
  <c r="R29" i="18"/>
  <c r="C29" i="18" s="1"/>
  <c r="C218" i="5" s="1"/>
  <c r="C406" i="5" s="1"/>
  <c r="Q24" i="18"/>
  <c r="P19" i="18"/>
  <c r="B19" i="18" s="1"/>
  <c r="B208" i="5" s="1"/>
  <c r="B396" i="5" s="1"/>
  <c r="R13" i="18"/>
  <c r="C13" i="18" s="1"/>
  <c r="C202" i="5" s="1"/>
  <c r="C390" i="5" s="1"/>
  <c r="AD63" i="18"/>
  <c r="Z194" i="18"/>
  <c r="W193" i="18"/>
  <c r="AA192" i="18"/>
  <c r="W192" i="18"/>
  <c r="S192" i="18"/>
  <c r="AB191" i="18"/>
  <c r="X191" i="18"/>
  <c r="T191" i="18"/>
  <c r="AC190" i="18"/>
  <c r="Y190" i="18"/>
  <c r="U190" i="18"/>
  <c r="AD189" i="18"/>
  <c r="Z189" i="18"/>
  <c r="V189" i="18"/>
  <c r="AE188" i="18"/>
  <c r="AA188" i="18"/>
  <c r="W188" i="18"/>
  <c r="S188" i="18"/>
  <c r="AB187" i="18"/>
  <c r="X187" i="18"/>
  <c r="T187" i="18"/>
  <c r="AC186" i="18"/>
  <c r="Y186" i="18"/>
  <c r="U186" i="18"/>
  <c r="AD185" i="18"/>
  <c r="Z185" i="18"/>
  <c r="V185" i="18"/>
  <c r="AE184" i="18"/>
  <c r="AA184" i="18"/>
  <c r="W184" i="18"/>
  <c r="S184" i="18"/>
  <c r="AB183" i="18"/>
  <c r="X183" i="18"/>
  <c r="T183" i="18"/>
  <c r="AC182" i="18"/>
  <c r="Y182" i="18"/>
  <c r="U182" i="18"/>
  <c r="AD181" i="18"/>
  <c r="Z181" i="18"/>
  <c r="V181" i="18"/>
  <c r="AE180" i="18"/>
  <c r="AA180" i="18"/>
  <c r="W180" i="18"/>
  <c r="S180" i="18"/>
  <c r="AB179" i="18"/>
  <c r="X179" i="18"/>
  <c r="T179" i="18"/>
  <c r="AC178" i="18"/>
  <c r="Y178" i="18"/>
  <c r="U178" i="18"/>
  <c r="AD177" i="18"/>
  <c r="Z177" i="18"/>
  <c r="V177" i="18"/>
  <c r="AE176" i="18"/>
  <c r="AA176" i="18"/>
  <c r="W176" i="18"/>
  <c r="S176" i="18"/>
  <c r="AB175" i="18"/>
  <c r="X175" i="18"/>
  <c r="T175" i="18"/>
  <c r="AC174" i="18"/>
  <c r="Y174" i="18"/>
  <c r="U174" i="18"/>
  <c r="AD173" i="18"/>
  <c r="Z173" i="18"/>
  <c r="V173" i="18"/>
  <c r="AE172" i="18"/>
  <c r="AA172" i="18"/>
  <c r="W172" i="18"/>
  <c r="S172" i="18"/>
  <c r="AB171" i="18"/>
  <c r="X171" i="18"/>
  <c r="T171" i="18"/>
  <c r="AC170" i="18"/>
  <c r="Y170" i="18"/>
  <c r="U170" i="18"/>
  <c r="AD169" i="18"/>
  <c r="Z169" i="18"/>
  <c r="V169" i="18"/>
  <c r="AE168" i="18"/>
  <c r="AA168" i="18"/>
  <c r="W168" i="18"/>
  <c r="S168" i="18"/>
  <c r="AB167" i="18"/>
  <c r="X167" i="18"/>
  <c r="T167" i="18"/>
  <c r="AC166" i="18"/>
  <c r="Y166" i="18"/>
  <c r="U166" i="18"/>
  <c r="AD157" i="18"/>
  <c r="Z157" i="18"/>
  <c r="V157" i="18"/>
  <c r="AE156" i="18"/>
  <c r="AA156" i="18"/>
  <c r="W156" i="18"/>
  <c r="S156" i="18"/>
  <c r="AB155" i="18"/>
  <c r="X155" i="18"/>
  <c r="T155" i="18"/>
  <c r="AC154" i="18"/>
  <c r="Y154" i="18"/>
  <c r="U154" i="18"/>
  <c r="AD153" i="18"/>
  <c r="Z153" i="18"/>
  <c r="V153" i="18"/>
  <c r="AE152" i="18"/>
  <c r="AA152" i="18"/>
  <c r="W152" i="18"/>
  <c r="S152" i="18"/>
  <c r="AB151" i="18"/>
  <c r="X151" i="18"/>
  <c r="T151" i="18"/>
  <c r="AC150" i="18"/>
  <c r="Y150" i="18"/>
  <c r="U150" i="18"/>
  <c r="AD149" i="18"/>
  <c r="Z149" i="18"/>
  <c r="V149" i="18"/>
  <c r="AE148" i="18"/>
  <c r="AA148" i="18"/>
  <c r="W148" i="18"/>
  <c r="S148" i="18"/>
  <c r="AB147" i="18"/>
  <c r="X147" i="18"/>
  <c r="Q117" i="18"/>
  <c r="Q81" i="18"/>
  <c r="R70" i="18"/>
  <c r="C70" i="18" s="1"/>
  <c r="C259" i="5" s="1"/>
  <c r="C447" i="5" s="1"/>
  <c r="P60" i="18"/>
  <c r="B60" i="18" s="1"/>
  <c r="B249" i="5" s="1"/>
  <c r="B437" i="5" s="1"/>
  <c r="Q49" i="18"/>
  <c r="R38" i="18"/>
  <c r="C38" i="18" s="1"/>
  <c r="C227" i="5" s="1"/>
  <c r="C415" i="5" s="1"/>
  <c r="P27" i="18"/>
  <c r="B27" i="18" s="1"/>
  <c r="B216" i="5" s="1"/>
  <c r="B404" i="5" s="1"/>
  <c r="Q16" i="18"/>
  <c r="U63" i="18"/>
  <c r="AE192" i="18"/>
  <c r="U192" i="18"/>
  <c r="Z191" i="18"/>
  <c r="AE190" i="18"/>
  <c r="W190" i="18"/>
  <c r="AB189" i="18"/>
  <c r="T189" i="18"/>
  <c r="Y188" i="18"/>
  <c r="AD187" i="18"/>
  <c r="V187" i="18"/>
  <c r="AA186" i="18"/>
  <c r="S186" i="18"/>
  <c r="X185" i="18"/>
  <c r="AC184" i="18"/>
  <c r="U184" i="18"/>
  <c r="Z183" i="18"/>
  <c r="AE182" i="18"/>
  <c r="W182" i="18"/>
  <c r="AB181" i="18"/>
  <c r="T181" i="18"/>
  <c r="Y180" i="18"/>
  <c r="AD179" i="18"/>
  <c r="V179" i="18"/>
  <c r="AA178" i="18"/>
  <c r="S178" i="18"/>
  <c r="X177" i="18"/>
  <c r="AC176" i="18"/>
  <c r="U176" i="18"/>
  <c r="Z175" i="18"/>
  <c r="AE174" i="18"/>
  <c r="W174" i="18"/>
  <c r="AB173" i="18"/>
  <c r="T173" i="18"/>
  <c r="Y172" i="18"/>
  <c r="AD171" i="18"/>
  <c r="V171" i="18"/>
  <c r="AA170" i="18"/>
  <c r="S170" i="18"/>
  <c r="X169" i="18"/>
  <c r="AC168" i="18"/>
  <c r="U168" i="18"/>
  <c r="Z167" i="18"/>
  <c r="AE166" i="18"/>
  <c r="W166" i="18"/>
  <c r="AB157" i="18"/>
  <c r="T157" i="18"/>
  <c r="Y156" i="18"/>
  <c r="AD155" i="18"/>
  <c r="V155" i="18"/>
  <c r="AA154" i="18"/>
  <c r="S154" i="18"/>
  <c r="X153" i="18"/>
  <c r="AC152" i="18"/>
  <c r="U152" i="18"/>
  <c r="Z151" i="18"/>
  <c r="AE150" i="18"/>
  <c r="W150" i="18"/>
  <c r="AB149" i="18"/>
  <c r="T149" i="18"/>
  <c r="Y148" i="18"/>
  <c r="AD147" i="18"/>
  <c r="V147" i="18"/>
  <c r="AD146" i="18"/>
  <c r="Z146" i="18"/>
  <c r="V146" i="18"/>
  <c r="AE145" i="18"/>
  <c r="AA145" i="18"/>
  <c r="W145" i="18"/>
  <c r="S145" i="18"/>
  <c r="AB144" i="18"/>
  <c r="X144" i="18"/>
  <c r="T144" i="18"/>
  <c r="AC143" i="18"/>
  <c r="Y143" i="18"/>
  <c r="U143" i="18"/>
  <c r="AD142" i="18"/>
  <c r="Z142" i="18"/>
  <c r="V142" i="18"/>
  <c r="AE141" i="18"/>
  <c r="AA141" i="18"/>
  <c r="W141" i="18"/>
  <c r="S141" i="18"/>
  <c r="AB140" i="18"/>
  <c r="X140" i="18"/>
  <c r="T140" i="18"/>
  <c r="AC139" i="18"/>
  <c r="Y139" i="18"/>
  <c r="U139" i="18"/>
  <c r="AD138" i="18"/>
  <c r="Z138" i="18"/>
  <c r="V138" i="18"/>
  <c r="AE137" i="18"/>
  <c r="AA137" i="18"/>
  <c r="W137" i="18"/>
  <c r="S137" i="18"/>
  <c r="AB136" i="18"/>
  <c r="X136" i="18"/>
  <c r="T136" i="18"/>
  <c r="AC135" i="18"/>
  <c r="Y135" i="18"/>
  <c r="U135" i="18"/>
  <c r="AD134" i="18"/>
  <c r="Z134" i="18"/>
  <c r="V134" i="18"/>
  <c r="AE133" i="18"/>
  <c r="AA133" i="18"/>
  <c r="W133" i="18"/>
  <c r="S133" i="18"/>
  <c r="AB132" i="18"/>
  <c r="X132" i="18"/>
  <c r="T132" i="18"/>
  <c r="AC131" i="18"/>
  <c r="Y131" i="18"/>
  <c r="U131" i="18"/>
  <c r="AD130" i="18"/>
  <c r="Z130" i="18"/>
  <c r="V130" i="18"/>
  <c r="AE129" i="18"/>
  <c r="AA129" i="18"/>
  <c r="W129" i="18"/>
  <c r="S129" i="18"/>
  <c r="AB128" i="18"/>
  <c r="X128" i="18"/>
  <c r="T128" i="18"/>
  <c r="AC127" i="18"/>
  <c r="Y127" i="18"/>
  <c r="U127" i="18"/>
  <c r="AD126" i="18"/>
  <c r="Z126" i="18"/>
  <c r="V126" i="18"/>
  <c r="AE125" i="18"/>
  <c r="AA125" i="18"/>
  <c r="W125" i="18"/>
  <c r="S125" i="18"/>
  <c r="AB124" i="18"/>
  <c r="X124" i="18"/>
  <c r="T124" i="18"/>
  <c r="AC123" i="18"/>
  <c r="Y123" i="18"/>
  <c r="U123" i="18"/>
  <c r="AD122" i="18"/>
  <c r="Z122" i="18"/>
  <c r="V122" i="18"/>
  <c r="AE121" i="18"/>
  <c r="AA121" i="18"/>
  <c r="W121" i="18"/>
  <c r="S121" i="18"/>
  <c r="R186" i="18"/>
  <c r="C186" i="18" s="1"/>
  <c r="C375" i="5" s="1"/>
  <c r="C563" i="5" s="1"/>
  <c r="P144" i="18"/>
  <c r="B144" i="18" s="1"/>
  <c r="B333" i="5" s="1"/>
  <c r="B521" i="5" s="1"/>
  <c r="Q101" i="18"/>
  <c r="Q77" i="18"/>
  <c r="R66" i="18"/>
  <c r="C66" i="18" s="1"/>
  <c r="C255" i="5" s="1"/>
  <c r="C443" i="5" s="1"/>
  <c r="P56" i="18"/>
  <c r="B56" i="18" s="1"/>
  <c r="B245" i="5" s="1"/>
  <c r="B433" i="5" s="1"/>
  <c r="Q45" i="18"/>
  <c r="R34" i="18"/>
  <c r="C34" i="18" s="1"/>
  <c r="C223" i="5" s="1"/>
  <c r="C411" i="5" s="1"/>
  <c r="P23" i="18"/>
  <c r="B23" i="18" s="1"/>
  <c r="B212" i="5" s="1"/>
  <c r="B400" i="5" s="1"/>
  <c r="Q12" i="18"/>
  <c r="V194" i="18"/>
  <c r="Z192" i="18"/>
  <c r="AE191" i="18"/>
  <c r="W191" i="18"/>
  <c r="AB190" i="18"/>
  <c r="T190" i="18"/>
  <c r="Y189" i="18"/>
  <c r="AD188" i="18"/>
  <c r="V188" i="18"/>
  <c r="AA187" i="18"/>
  <c r="S187" i="18"/>
  <c r="X186" i="18"/>
  <c r="AC185" i="18"/>
  <c r="U185" i="18"/>
  <c r="Z184" i="18"/>
  <c r="AE183" i="18"/>
  <c r="W183" i="18"/>
  <c r="AB182" i="18"/>
  <c r="T182" i="18"/>
  <c r="Y181" i="18"/>
  <c r="AD180" i="18"/>
  <c r="V180" i="18"/>
  <c r="AA179" i="18"/>
  <c r="S179" i="18"/>
  <c r="X178" i="18"/>
  <c r="AC177" i="18"/>
  <c r="U177" i="18"/>
  <c r="Z176" i="18"/>
  <c r="AE175" i="18"/>
  <c r="W175" i="18"/>
  <c r="AB174" i="18"/>
  <c r="T174" i="18"/>
  <c r="Y173" i="18"/>
  <c r="AD172" i="18"/>
  <c r="V172" i="18"/>
  <c r="AA171" i="18"/>
  <c r="S171" i="18"/>
  <c r="X170" i="18"/>
  <c r="AC169" i="18"/>
  <c r="U169" i="18"/>
  <c r="Z168" i="18"/>
  <c r="AE167" i="18"/>
  <c r="W167" i="18"/>
  <c r="AB166" i="18"/>
  <c r="T166" i="18"/>
  <c r="Y157" i="18"/>
  <c r="AD156" i="18"/>
  <c r="V156" i="18"/>
  <c r="AA155" i="18"/>
  <c r="S155" i="18"/>
  <c r="X154" i="18"/>
  <c r="AC153" i="18"/>
  <c r="U153" i="18"/>
  <c r="Z152" i="18"/>
  <c r="AE151" i="18"/>
  <c r="W151" i="18"/>
  <c r="AB150" i="18"/>
  <c r="T150" i="18"/>
  <c r="Y149" i="18"/>
  <c r="AD148" i="18"/>
  <c r="V148" i="18"/>
  <c r="AA147" i="18"/>
  <c r="T147" i="18"/>
  <c r="AC146" i="18"/>
  <c r="Y146" i="18"/>
  <c r="U146" i="18"/>
  <c r="AD145" i="18"/>
  <c r="Z145" i="18"/>
  <c r="V145" i="18"/>
  <c r="AE144" i="18"/>
  <c r="AA144" i="18"/>
  <c r="W144" i="18"/>
  <c r="S144" i="18"/>
  <c r="AB143" i="18"/>
  <c r="X143" i="18"/>
  <c r="T143" i="18"/>
  <c r="AC142" i="18"/>
  <c r="Y142" i="18"/>
  <c r="U142" i="18"/>
  <c r="AD141" i="18"/>
  <c r="Z141" i="18"/>
  <c r="V141" i="18"/>
  <c r="AE140" i="18"/>
  <c r="AA140" i="18"/>
  <c r="W140" i="18"/>
  <c r="S140" i="18"/>
  <c r="AB139" i="18"/>
  <c r="X139" i="18"/>
  <c r="T139" i="18"/>
  <c r="AC138" i="18"/>
  <c r="Y138" i="18"/>
  <c r="U138" i="18"/>
  <c r="AD137" i="18"/>
  <c r="Z137" i="18"/>
  <c r="V137" i="18"/>
  <c r="AE136" i="18"/>
  <c r="AA136" i="18"/>
  <c r="W136" i="18"/>
  <c r="S136" i="18"/>
  <c r="AB135" i="18"/>
  <c r="X135" i="18"/>
  <c r="T135" i="18"/>
  <c r="AC134" i="18"/>
  <c r="Y134" i="18"/>
  <c r="U134" i="18"/>
  <c r="AD133" i="18"/>
  <c r="Z133" i="18"/>
  <c r="V133" i="18"/>
  <c r="AE132" i="18"/>
  <c r="AA132" i="18"/>
  <c r="W132" i="18"/>
  <c r="S132" i="18"/>
  <c r="AB131" i="18"/>
  <c r="X131" i="18"/>
  <c r="T131" i="18"/>
  <c r="AC130" i="18"/>
  <c r="Y130" i="18"/>
  <c r="U130" i="18"/>
  <c r="AD129" i="18"/>
  <c r="Z129" i="18"/>
  <c r="V129" i="18"/>
  <c r="Q181" i="18"/>
  <c r="R138" i="18"/>
  <c r="C138" i="18" s="1"/>
  <c r="C327" i="5" s="1"/>
  <c r="C515" i="5" s="1"/>
  <c r="P96" i="18"/>
  <c r="B96" i="18" s="1"/>
  <c r="B285" i="5" s="1"/>
  <c r="B473" i="5" s="1"/>
  <c r="P76" i="18"/>
  <c r="B76" i="18" s="1"/>
  <c r="B265" i="5" s="1"/>
  <c r="B453" i="5" s="1"/>
  <c r="Q65" i="18"/>
  <c r="R54" i="18"/>
  <c r="C54" i="18" s="1"/>
  <c r="C243" i="5" s="1"/>
  <c r="C431" i="5" s="1"/>
  <c r="P44" i="18"/>
  <c r="B44" i="18" s="1"/>
  <c r="B233" i="5" s="1"/>
  <c r="B421" i="5" s="1"/>
  <c r="Q33" i="18"/>
  <c r="R21" i="18"/>
  <c r="C21" i="18" s="1"/>
  <c r="C210" i="5" s="1"/>
  <c r="C398" i="5" s="1"/>
  <c r="P11" i="18"/>
  <c r="B11" i="18" s="1"/>
  <c r="B200" i="5" s="1"/>
  <c r="B388" i="5" s="1"/>
  <c r="AE193" i="18"/>
  <c r="Y192" i="18"/>
  <c r="AD191" i="18"/>
  <c r="V191" i="18"/>
  <c r="AA190" i="18"/>
  <c r="S190" i="18"/>
  <c r="X189" i="18"/>
  <c r="AC188" i="18"/>
  <c r="U188" i="18"/>
  <c r="Z187" i="18"/>
  <c r="AE186" i="18"/>
  <c r="W186" i="18"/>
  <c r="AB185" i="18"/>
  <c r="T185" i="18"/>
  <c r="Y184" i="18"/>
  <c r="AD183" i="18"/>
  <c r="V183" i="18"/>
  <c r="AA182" i="18"/>
  <c r="S182" i="18"/>
  <c r="X181" i="18"/>
  <c r="AC180" i="18"/>
  <c r="U180" i="18"/>
  <c r="Z179" i="18"/>
  <c r="AE178" i="18"/>
  <c r="W178" i="18"/>
  <c r="AB177" i="18"/>
  <c r="T177" i="18"/>
  <c r="Y176" i="18"/>
  <c r="AD175" i="18"/>
  <c r="V175" i="18"/>
  <c r="AA174" i="18"/>
  <c r="S174" i="18"/>
  <c r="X173" i="18"/>
  <c r="AC172" i="18"/>
  <c r="U172" i="18"/>
  <c r="Z171" i="18"/>
  <c r="AE170" i="18"/>
  <c r="W170" i="18"/>
  <c r="AB169" i="18"/>
  <c r="T169" i="18"/>
  <c r="Y168" i="18"/>
  <c r="AD167" i="18"/>
  <c r="V167" i="18"/>
  <c r="AA166" i="18"/>
  <c r="S166" i="18"/>
  <c r="X157" i="18"/>
  <c r="AC156" i="18"/>
  <c r="U156" i="18"/>
  <c r="Z155" i="18"/>
  <c r="AE154" i="18"/>
  <c r="W154" i="18"/>
  <c r="AB153" i="18"/>
  <c r="T153" i="18"/>
  <c r="Y152" i="18"/>
  <c r="AD151" i="18"/>
  <c r="V151" i="18"/>
  <c r="AA150" i="18"/>
  <c r="S150" i="18"/>
  <c r="X149" i="18"/>
  <c r="AC148" i="18"/>
  <c r="U148" i="18"/>
  <c r="Z147" i="18"/>
  <c r="S147" i="18"/>
  <c r="AB146" i="18"/>
  <c r="X146" i="18"/>
  <c r="T146" i="18"/>
  <c r="AC145" i="18"/>
  <c r="Y145" i="18"/>
  <c r="U145" i="18"/>
  <c r="AD144" i="18"/>
  <c r="Z144" i="18"/>
  <c r="V144" i="18"/>
  <c r="AE143" i="18"/>
  <c r="AA143" i="18"/>
  <c r="W143" i="18"/>
  <c r="S143" i="18"/>
  <c r="AB142" i="18"/>
  <c r="X142" i="18"/>
  <c r="T142" i="18"/>
  <c r="AC141" i="18"/>
  <c r="Y141" i="18"/>
  <c r="U141" i="18"/>
  <c r="AD140" i="18"/>
  <c r="Z140" i="18"/>
  <c r="V140" i="18"/>
  <c r="AE139" i="18"/>
  <c r="AA139" i="18"/>
  <c r="W139" i="18"/>
  <c r="S139" i="18"/>
  <c r="AB138" i="18"/>
  <c r="X138" i="18"/>
  <c r="T138" i="18"/>
  <c r="AC137" i="18"/>
  <c r="Y137" i="18"/>
  <c r="U137" i="18"/>
  <c r="AD136" i="18"/>
  <c r="Z136" i="18"/>
  <c r="V136" i="18"/>
  <c r="AE135" i="18"/>
  <c r="AA135" i="18"/>
  <c r="W135" i="18"/>
  <c r="S135" i="18"/>
  <c r="AB134" i="18"/>
  <c r="X134" i="18"/>
  <c r="T134" i="18"/>
  <c r="AC133" i="18"/>
  <c r="Y133" i="18"/>
  <c r="U133" i="18"/>
  <c r="AD132" i="18"/>
  <c r="Z132" i="18"/>
  <c r="V132" i="18"/>
  <c r="AE131" i="18"/>
  <c r="AA131" i="18"/>
  <c r="W131" i="18"/>
  <c r="S131" i="18"/>
  <c r="AB130" i="18"/>
  <c r="X130" i="18"/>
  <c r="T130" i="18"/>
  <c r="AC129" i="18"/>
  <c r="Y129" i="18"/>
  <c r="U129" i="18"/>
  <c r="AD128" i="18"/>
  <c r="Z128" i="18"/>
  <c r="V128" i="18"/>
  <c r="AE127" i="18"/>
  <c r="AA127" i="18"/>
  <c r="W127" i="18"/>
  <c r="S127" i="18"/>
  <c r="AB126" i="18"/>
  <c r="X126" i="18"/>
  <c r="T126" i="18"/>
  <c r="AC125" i="18"/>
  <c r="Y125" i="18"/>
  <c r="U125" i="18"/>
  <c r="AD124" i="18"/>
  <c r="Z124" i="18"/>
  <c r="V124" i="18"/>
  <c r="AE123" i="18"/>
  <c r="AA123" i="18"/>
  <c r="W123" i="18"/>
  <c r="S123" i="18"/>
  <c r="AB122" i="18"/>
  <c r="X122" i="18"/>
  <c r="T122" i="18"/>
  <c r="AC121" i="18"/>
  <c r="Y121" i="18"/>
  <c r="U121" i="18"/>
  <c r="P72" i="18"/>
  <c r="B72" i="18" s="1"/>
  <c r="B261" i="5" s="1"/>
  <c r="B449" i="5" s="1"/>
  <c r="Q28" i="18"/>
  <c r="V192" i="18"/>
  <c r="AC189" i="18"/>
  <c r="W187" i="18"/>
  <c r="AD184" i="18"/>
  <c r="X182" i="18"/>
  <c r="AE179" i="18"/>
  <c r="Y177" i="18"/>
  <c r="S175" i="18"/>
  <c r="Z172" i="18"/>
  <c r="T170" i="18"/>
  <c r="AA167" i="18"/>
  <c r="AC157" i="18"/>
  <c r="W155" i="18"/>
  <c r="AD152" i="18"/>
  <c r="X150" i="18"/>
  <c r="AE147" i="18"/>
  <c r="W146" i="18"/>
  <c r="T145" i="18"/>
  <c r="AD143" i="18"/>
  <c r="AA142" i="18"/>
  <c r="X141" i="18"/>
  <c r="U140" i="18"/>
  <c r="AE138" i="18"/>
  <c r="AB137" i="18"/>
  <c r="Y136" i="18"/>
  <c r="V135" i="18"/>
  <c r="S134" i="18"/>
  <c r="AC132" i="18"/>
  <c r="Z131" i="18"/>
  <c r="W130" i="18"/>
  <c r="T129" i="18"/>
  <c r="Y128" i="18"/>
  <c r="AD127" i="18"/>
  <c r="V127" i="18"/>
  <c r="AA126" i="18"/>
  <c r="S126" i="18"/>
  <c r="X125" i="18"/>
  <c r="AC124" i="18"/>
  <c r="U124" i="18"/>
  <c r="Z123" i="18"/>
  <c r="AE122" i="18"/>
  <c r="W122" i="18"/>
  <c r="AB121" i="18"/>
  <c r="T121" i="18"/>
  <c r="AB120" i="18"/>
  <c r="X120" i="18"/>
  <c r="T120" i="18"/>
  <c r="AC119" i="18"/>
  <c r="Y119" i="18"/>
  <c r="U119" i="18"/>
  <c r="AD118" i="18"/>
  <c r="Z118" i="18"/>
  <c r="V118" i="18"/>
  <c r="AE117" i="18"/>
  <c r="AA117" i="18"/>
  <c r="W117" i="18"/>
  <c r="S117" i="18"/>
  <c r="AB116" i="18"/>
  <c r="X116" i="18"/>
  <c r="T116" i="18"/>
  <c r="AC115" i="18"/>
  <c r="Y115" i="18"/>
  <c r="U115" i="18"/>
  <c r="AD114" i="18"/>
  <c r="Z114" i="18"/>
  <c r="V114" i="18"/>
  <c r="AE113" i="18"/>
  <c r="AA113" i="18"/>
  <c r="W113" i="18"/>
  <c r="S113" i="18"/>
  <c r="AB112" i="18"/>
  <c r="X112" i="18"/>
  <c r="T112" i="18"/>
  <c r="AC111" i="18"/>
  <c r="Y111" i="18"/>
  <c r="U111" i="18"/>
  <c r="AD110" i="18"/>
  <c r="Z110" i="18"/>
  <c r="V110" i="18"/>
  <c r="AE109" i="18"/>
  <c r="AA109" i="18"/>
  <c r="W109" i="18"/>
  <c r="S109" i="18"/>
  <c r="AB108" i="18"/>
  <c r="X108" i="18"/>
  <c r="T108" i="18"/>
  <c r="AC107" i="18"/>
  <c r="Y107" i="18"/>
  <c r="U107" i="18"/>
  <c r="AD106" i="18"/>
  <c r="Z106" i="18"/>
  <c r="V106" i="18"/>
  <c r="AE105" i="18"/>
  <c r="AA105" i="18"/>
  <c r="W105" i="18"/>
  <c r="S105" i="18"/>
  <c r="AB104" i="18"/>
  <c r="X104" i="18"/>
  <c r="T104" i="18"/>
  <c r="AC103" i="18"/>
  <c r="Y103" i="18"/>
  <c r="U103" i="18"/>
  <c r="AD102" i="18"/>
  <c r="Z102" i="18"/>
  <c r="V102" i="18"/>
  <c r="AE101" i="18"/>
  <c r="AA101" i="18"/>
  <c r="W101" i="18"/>
  <c r="S101" i="18"/>
  <c r="AB100" i="18"/>
  <c r="X100" i="18"/>
  <c r="T100" i="18"/>
  <c r="AC99" i="18"/>
  <c r="Y99" i="18"/>
  <c r="U99" i="18"/>
  <c r="AD98" i="18"/>
  <c r="Z98" i="18"/>
  <c r="V98" i="18"/>
  <c r="AE97" i="18"/>
  <c r="AA97" i="18"/>
  <c r="W97" i="18"/>
  <c r="S97" i="18"/>
  <c r="AB96" i="18"/>
  <c r="X96" i="18"/>
  <c r="T96" i="18"/>
  <c r="AC95" i="18"/>
  <c r="Y95" i="18"/>
  <c r="U95" i="18"/>
  <c r="AD94" i="18"/>
  <c r="Z94" i="18"/>
  <c r="V94" i="18"/>
  <c r="AE93" i="18"/>
  <c r="AA93" i="18"/>
  <c r="W93" i="18"/>
  <c r="S93" i="18"/>
  <c r="AB92" i="18"/>
  <c r="X92" i="18"/>
  <c r="T92" i="18"/>
  <c r="AC91" i="18"/>
  <c r="Y91" i="18"/>
  <c r="U91" i="18"/>
  <c r="AD90" i="18"/>
  <c r="Z90" i="18"/>
  <c r="V90" i="18"/>
  <c r="AE89" i="18"/>
  <c r="AA89" i="18"/>
  <c r="W89" i="18"/>
  <c r="S89" i="18"/>
  <c r="AB88" i="18"/>
  <c r="X88" i="18"/>
  <c r="T88" i="18"/>
  <c r="AC87" i="18"/>
  <c r="Y87" i="18"/>
  <c r="U87" i="18"/>
  <c r="AD86" i="18"/>
  <c r="Z86" i="18"/>
  <c r="V86" i="18"/>
  <c r="AE85" i="18"/>
  <c r="AA85" i="18"/>
  <c r="W85" i="18"/>
  <c r="S85" i="18"/>
  <c r="AB84" i="18"/>
  <c r="X84" i="18"/>
  <c r="T84" i="18"/>
  <c r="AC83" i="18"/>
  <c r="Q61" i="18"/>
  <c r="R17" i="18"/>
  <c r="C17" i="18" s="1"/>
  <c r="C206" i="5" s="1"/>
  <c r="C394" i="5" s="1"/>
  <c r="AA191" i="18"/>
  <c r="U189" i="18"/>
  <c r="AB186" i="18"/>
  <c r="V184" i="18"/>
  <c r="AC181" i="18"/>
  <c r="W179" i="18"/>
  <c r="AD176" i="18"/>
  <c r="X174" i="18"/>
  <c r="AE171" i="18"/>
  <c r="Y169" i="18"/>
  <c r="S167" i="18"/>
  <c r="U157" i="18"/>
  <c r="AB154" i="18"/>
  <c r="V152" i="18"/>
  <c r="AC149" i="18"/>
  <c r="W147" i="18"/>
  <c r="S146" i="18"/>
  <c r="AC144" i="18"/>
  <c r="Z143" i="18"/>
  <c r="W142" i="18"/>
  <c r="T141" i="18"/>
  <c r="AD139" i="18"/>
  <c r="AA138" i="18"/>
  <c r="X137" i="18"/>
  <c r="U136" i="18"/>
  <c r="AE134" i="18"/>
  <c r="AB133" i="18"/>
  <c r="Y132" i="18"/>
  <c r="V131" i="18"/>
  <c r="S130" i="18"/>
  <c r="AE128" i="18"/>
  <c r="W128" i="18"/>
  <c r="AB127" i="18"/>
  <c r="T127" i="18"/>
  <c r="Y126" i="18"/>
  <c r="AD125" i="18"/>
  <c r="V125" i="18"/>
  <c r="AA124" i="18"/>
  <c r="S124" i="18"/>
  <c r="X123" i="18"/>
  <c r="AC122" i="18"/>
  <c r="U122" i="18"/>
  <c r="Z121" i="18"/>
  <c r="AE120" i="18"/>
  <c r="AA120" i="18"/>
  <c r="W120" i="18"/>
  <c r="S120" i="18"/>
  <c r="AB119" i="18"/>
  <c r="X119" i="18"/>
  <c r="T119" i="18"/>
  <c r="AC118" i="18"/>
  <c r="Y118" i="18"/>
  <c r="U118" i="18"/>
  <c r="AD117" i="18"/>
  <c r="Z117" i="18"/>
  <c r="V117" i="18"/>
  <c r="AE116" i="18"/>
  <c r="AA116" i="18"/>
  <c r="W116" i="18"/>
  <c r="S116" i="18"/>
  <c r="AB115" i="18"/>
  <c r="X115" i="18"/>
  <c r="T115" i="18"/>
  <c r="AC114" i="18"/>
  <c r="Y114" i="18"/>
  <c r="U114" i="18"/>
  <c r="AD113" i="18"/>
  <c r="Z113" i="18"/>
  <c r="V113" i="18"/>
  <c r="AE112" i="18"/>
  <c r="AA112" i="18"/>
  <c r="W112" i="18"/>
  <c r="S112" i="18"/>
  <c r="AB111" i="18"/>
  <c r="X111" i="18"/>
  <c r="T111" i="18"/>
  <c r="AC110" i="18"/>
  <c r="Y110" i="18"/>
  <c r="U110" i="18"/>
  <c r="AD109" i="18"/>
  <c r="Z109" i="18"/>
  <c r="V109" i="18"/>
  <c r="AE108" i="18"/>
  <c r="AA108" i="18"/>
  <c r="W108" i="18"/>
  <c r="S108" i="18"/>
  <c r="AB107" i="18"/>
  <c r="X107" i="18"/>
  <c r="T107" i="18"/>
  <c r="AC106" i="18"/>
  <c r="Y106" i="18"/>
  <c r="U106" i="18"/>
  <c r="AD105" i="18"/>
  <c r="Z105" i="18"/>
  <c r="V105" i="18"/>
  <c r="AE104" i="18"/>
  <c r="AA104" i="18"/>
  <c r="W104" i="18"/>
  <c r="S104" i="18"/>
  <c r="AB103" i="18"/>
  <c r="X103" i="18"/>
  <c r="T103" i="18"/>
  <c r="AC102" i="18"/>
  <c r="Y102" i="18"/>
  <c r="U102" i="18"/>
  <c r="AD101" i="18"/>
  <c r="Z101" i="18"/>
  <c r="V101" i="18"/>
  <c r="AE100" i="18"/>
  <c r="AA100" i="18"/>
  <c r="W100" i="18"/>
  <c r="S100" i="18"/>
  <c r="AB99" i="18"/>
  <c r="X99" i="18"/>
  <c r="T99" i="18"/>
  <c r="AC98" i="18"/>
  <c r="Y98" i="18"/>
  <c r="U98" i="18"/>
  <c r="AD97" i="18"/>
  <c r="Z97" i="18"/>
  <c r="V97" i="18"/>
  <c r="AE96" i="18"/>
  <c r="AA96" i="18"/>
  <c r="W96" i="18"/>
  <c r="S96" i="18"/>
  <c r="AB95" i="18"/>
  <c r="X95" i="18"/>
  <c r="T95" i="18"/>
  <c r="AC94" i="18"/>
  <c r="Y94" i="18"/>
  <c r="U94" i="18"/>
  <c r="AD93" i="18"/>
  <c r="Z93" i="18"/>
  <c r="V93" i="18"/>
  <c r="AE92" i="18"/>
  <c r="AA92" i="18"/>
  <c r="W92" i="18"/>
  <c r="S92" i="18"/>
  <c r="AB91" i="18"/>
  <c r="X91" i="18"/>
  <c r="T91" i="18"/>
  <c r="AC90" i="18"/>
  <c r="Y90" i="18"/>
  <c r="U90" i="18"/>
  <c r="AD89" i="18"/>
  <c r="Z89" i="18"/>
  <c r="V89" i="18"/>
  <c r="AE88" i="18"/>
  <c r="AA88" i="18"/>
  <c r="W88" i="18"/>
  <c r="S88" i="18"/>
  <c r="AB87" i="18"/>
  <c r="X87" i="18"/>
  <c r="R122" i="18"/>
  <c r="C122" i="18" s="1"/>
  <c r="C311" i="5" s="1"/>
  <c r="C499" i="5" s="1"/>
  <c r="R50" i="18"/>
  <c r="C50" i="18" s="1"/>
  <c r="C239" i="5" s="1"/>
  <c r="C427" i="5" s="1"/>
  <c r="Y63" i="18"/>
  <c r="S191" i="18"/>
  <c r="Z188" i="18"/>
  <c r="T186" i="18"/>
  <c r="AA183" i="18"/>
  <c r="U181" i="18"/>
  <c r="AB178" i="18"/>
  <c r="V176" i="18"/>
  <c r="AC173" i="18"/>
  <c r="W171" i="18"/>
  <c r="AD168" i="18"/>
  <c r="X166" i="18"/>
  <c r="Z156" i="18"/>
  <c r="T154" i="18"/>
  <c r="AA151" i="18"/>
  <c r="U149" i="18"/>
  <c r="AE146" i="18"/>
  <c r="AB145" i="18"/>
  <c r="Y144" i="18"/>
  <c r="V143" i="18"/>
  <c r="S142" i="18"/>
  <c r="AC140" i="18"/>
  <c r="Z139" i="18"/>
  <c r="W138" i="18"/>
  <c r="T137" i="18"/>
  <c r="AD135" i="18"/>
  <c r="AA134" i="18"/>
  <c r="X133" i="18"/>
  <c r="U132" i="18"/>
  <c r="AE130" i="18"/>
  <c r="AB129" i="18"/>
  <c r="AC128" i="18"/>
  <c r="U128" i="18"/>
  <c r="Z127" i="18"/>
  <c r="AE126" i="18"/>
  <c r="W126" i="18"/>
  <c r="AB125" i="18"/>
  <c r="T125" i="18"/>
  <c r="Y124" i="18"/>
  <c r="AD123" i="18"/>
  <c r="V123" i="18"/>
  <c r="AA122" i="18"/>
  <c r="S122" i="18"/>
  <c r="X121" i="18"/>
  <c r="AD120" i="18"/>
  <c r="Z120" i="18"/>
  <c r="V120" i="18"/>
  <c r="AE119" i="18"/>
  <c r="AA119" i="18"/>
  <c r="W119" i="18"/>
  <c r="S119" i="18"/>
  <c r="AB118" i="18"/>
  <c r="X118" i="18"/>
  <c r="T118" i="18"/>
  <c r="AC117" i="18"/>
  <c r="Y117" i="18"/>
  <c r="U117" i="18"/>
  <c r="AD116" i="18"/>
  <c r="Z116" i="18"/>
  <c r="V116" i="18"/>
  <c r="AE115" i="18"/>
  <c r="AA115" i="18"/>
  <c r="W115" i="18"/>
  <c r="S115" i="18"/>
  <c r="AB114" i="18"/>
  <c r="X114" i="18"/>
  <c r="T114" i="18"/>
  <c r="AC113" i="18"/>
  <c r="Y113" i="18"/>
  <c r="U113" i="18"/>
  <c r="AD112" i="18"/>
  <c r="Z112" i="18"/>
  <c r="V112" i="18"/>
  <c r="AE111" i="18"/>
  <c r="AA111" i="18"/>
  <c r="W111" i="18"/>
  <c r="S111" i="18"/>
  <c r="AB110" i="18"/>
  <c r="X110" i="18"/>
  <c r="T110" i="18"/>
  <c r="AC109" i="18"/>
  <c r="Y109" i="18"/>
  <c r="U109" i="18"/>
  <c r="AD108" i="18"/>
  <c r="Z108" i="18"/>
  <c r="V108" i="18"/>
  <c r="AE107" i="18"/>
  <c r="AA107" i="18"/>
  <c r="W107" i="18"/>
  <c r="S107" i="18"/>
  <c r="AB106" i="18"/>
  <c r="X106" i="18"/>
  <c r="T106" i="18"/>
  <c r="AC105" i="18"/>
  <c r="Y105" i="18"/>
  <c r="U105" i="18"/>
  <c r="AD104" i="18"/>
  <c r="Z104" i="18"/>
  <c r="V104" i="18"/>
  <c r="AE103" i="18"/>
  <c r="AA103" i="18"/>
  <c r="W103" i="18"/>
  <c r="S103" i="18"/>
  <c r="AB102" i="18"/>
  <c r="X102" i="18"/>
  <c r="T102" i="18"/>
  <c r="AC101" i="18"/>
  <c r="Y101" i="18"/>
  <c r="U101" i="18"/>
  <c r="AD100" i="18"/>
  <c r="Z100" i="18"/>
  <c r="V100" i="18"/>
  <c r="AE99" i="18"/>
  <c r="AA99" i="18"/>
  <c r="W99" i="18"/>
  <c r="S99" i="18"/>
  <c r="AB98" i="18"/>
  <c r="X98" i="18"/>
  <c r="T98" i="18"/>
  <c r="AC97" i="18"/>
  <c r="Y97" i="18"/>
  <c r="U97" i="18"/>
  <c r="AD96" i="18"/>
  <c r="Z96" i="18"/>
  <c r="V96" i="18"/>
  <c r="AE95" i="18"/>
  <c r="AA95" i="18"/>
  <c r="W95" i="18"/>
  <c r="S95" i="18"/>
  <c r="AB94" i="18"/>
  <c r="X94" i="18"/>
  <c r="T94" i="18"/>
  <c r="AC93" i="18"/>
  <c r="Y93" i="18"/>
  <c r="U93" i="18"/>
  <c r="AD92" i="18"/>
  <c r="Z92" i="18"/>
  <c r="V92" i="18"/>
  <c r="AE91" i="18"/>
  <c r="AA91" i="18"/>
  <c r="W91" i="18"/>
  <c r="S91" i="18"/>
  <c r="AB90" i="18"/>
  <c r="X90" i="18"/>
  <c r="T90" i="18"/>
  <c r="AC89" i="18"/>
  <c r="Y89" i="18"/>
  <c r="U89" i="18"/>
  <c r="AD88" i="18"/>
  <c r="Z88" i="18"/>
  <c r="V88" i="18"/>
  <c r="AE87" i="18"/>
  <c r="AA87" i="18"/>
  <c r="W87" i="18"/>
  <c r="S87" i="18"/>
  <c r="AB86" i="18"/>
  <c r="X86" i="18"/>
  <c r="T86" i="18"/>
  <c r="AC85" i="18"/>
  <c r="Y85" i="18"/>
  <c r="U85" i="18"/>
  <c r="AD84" i="18"/>
  <c r="Z84" i="18"/>
  <c r="V84" i="18"/>
  <c r="AE83" i="18"/>
  <c r="AA83" i="18"/>
  <c r="X190" i="18"/>
  <c r="Z180" i="18"/>
  <c r="AB170" i="18"/>
  <c r="S151" i="18"/>
  <c r="U144" i="18"/>
  <c r="V139" i="18"/>
  <c r="W134" i="18"/>
  <c r="X129" i="18"/>
  <c r="AC126" i="18"/>
  <c r="W124" i="18"/>
  <c r="AD121" i="18"/>
  <c r="U120" i="18"/>
  <c r="AE118" i="18"/>
  <c r="AB117" i="18"/>
  <c r="Y116" i="18"/>
  <c r="V115" i="18"/>
  <c r="S114" i="18"/>
  <c r="AC112" i="18"/>
  <c r="Z111" i="18"/>
  <c r="W110" i="18"/>
  <c r="T109" i="18"/>
  <c r="AD107" i="18"/>
  <c r="AA106" i="18"/>
  <c r="X105" i="18"/>
  <c r="U104" i="18"/>
  <c r="AE102" i="18"/>
  <c r="AB101" i="18"/>
  <c r="Y100" i="18"/>
  <c r="V99" i="18"/>
  <c r="S98" i="18"/>
  <c r="AC96" i="18"/>
  <c r="Z95" i="18"/>
  <c r="W94" i="18"/>
  <c r="T93" i="18"/>
  <c r="AD91" i="18"/>
  <c r="AA90" i="18"/>
  <c r="X89" i="18"/>
  <c r="U88" i="18"/>
  <c r="T87" i="18"/>
  <c r="Y86" i="18"/>
  <c r="AD85" i="18"/>
  <c r="V85" i="18"/>
  <c r="AA84" i="18"/>
  <c r="S84" i="18"/>
  <c r="Y83" i="18"/>
  <c r="U83" i="18"/>
  <c r="AD82" i="18"/>
  <c r="Z82" i="18"/>
  <c r="V82" i="18"/>
  <c r="AE81" i="18"/>
  <c r="AA81" i="18"/>
  <c r="W81" i="18"/>
  <c r="S81" i="18"/>
  <c r="AB80" i="18"/>
  <c r="X80" i="18"/>
  <c r="T80" i="18"/>
  <c r="AC79" i="18"/>
  <c r="Y79" i="18"/>
  <c r="U79" i="18"/>
  <c r="AD78" i="18"/>
  <c r="Z78" i="18"/>
  <c r="V78" i="18"/>
  <c r="AE77" i="18"/>
  <c r="AA77" i="18"/>
  <c r="W77" i="18"/>
  <c r="S77" i="18"/>
  <c r="AB76" i="18"/>
  <c r="X76" i="18"/>
  <c r="T76" i="18"/>
  <c r="AC75" i="18"/>
  <c r="Y75" i="18"/>
  <c r="U75" i="18"/>
  <c r="AD74" i="18"/>
  <c r="Z74" i="18"/>
  <c r="V74" i="18"/>
  <c r="AE73" i="18"/>
  <c r="AA73" i="18"/>
  <c r="W73" i="18"/>
  <c r="S73" i="18"/>
  <c r="AB72" i="18"/>
  <c r="X72" i="18"/>
  <c r="T72" i="18"/>
  <c r="AC71" i="18"/>
  <c r="Y71" i="18"/>
  <c r="U71" i="18"/>
  <c r="AD70" i="18"/>
  <c r="Z70" i="18"/>
  <c r="V70" i="18"/>
  <c r="AE69" i="18"/>
  <c r="AA69" i="18"/>
  <c r="W69" i="18"/>
  <c r="S69" i="18"/>
  <c r="AB68" i="18"/>
  <c r="X68" i="18"/>
  <c r="T68" i="18"/>
  <c r="AC67" i="18"/>
  <c r="Y67" i="18"/>
  <c r="U67" i="18"/>
  <c r="AD66" i="18"/>
  <c r="Z66" i="18"/>
  <c r="V66" i="18"/>
  <c r="AE65" i="18"/>
  <c r="AA65" i="18"/>
  <c r="W65" i="18"/>
  <c r="S65" i="18"/>
  <c r="AB64" i="18"/>
  <c r="X64" i="18"/>
  <c r="T64" i="18"/>
  <c r="AC62" i="18"/>
  <c r="Y62" i="18"/>
  <c r="U62" i="18"/>
  <c r="AD61" i="18"/>
  <c r="Z61" i="18"/>
  <c r="V61" i="18"/>
  <c r="AE60" i="18"/>
  <c r="AA60" i="18"/>
  <c r="W60" i="18"/>
  <c r="S60" i="18"/>
  <c r="AB59" i="18"/>
  <c r="X59" i="18"/>
  <c r="T59" i="18"/>
  <c r="AC58" i="18"/>
  <c r="Y58" i="18"/>
  <c r="U58" i="18"/>
  <c r="AD57" i="18"/>
  <c r="Z57" i="18"/>
  <c r="V57" i="18"/>
  <c r="AE56" i="18"/>
  <c r="AA56" i="18"/>
  <c r="W56" i="18"/>
  <c r="S56" i="18"/>
  <c r="AB55" i="18"/>
  <c r="X55" i="18"/>
  <c r="T55" i="18"/>
  <c r="AC54" i="18"/>
  <c r="Y54" i="18"/>
  <c r="U54" i="18"/>
  <c r="AD53" i="18"/>
  <c r="Z53" i="18"/>
  <c r="V53" i="18"/>
  <c r="AE52" i="18"/>
  <c r="AA52" i="18"/>
  <c r="W52" i="18"/>
  <c r="S52" i="18"/>
  <c r="AB51" i="18"/>
  <c r="X51" i="18"/>
  <c r="T51" i="18"/>
  <c r="AC50" i="18"/>
  <c r="Y50" i="18"/>
  <c r="U50" i="18"/>
  <c r="AD49" i="18"/>
  <c r="Z49" i="18"/>
  <c r="V49" i="18"/>
  <c r="AE48" i="18"/>
  <c r="AA48" i="18"/>
  <c r="W48" i="18"/>
  <c r="S48" i="18"/>
  <c r="AB47" i="18"/>
  <c r="X47" i="18"/>
  <c r="T47" i="18"/>
  <c r="AC46" i="18"/>
  <c r="Y46" i="18"/>
  <c r="U46" i="18"/>
  <c r="AD45" i="18"/>
  <c r="Z45" i="18"/>
  <c r="V45" i="18"/>
  <c r="AE44" i="18"/>
  <c r="AA44" i="18"/>
  <c r="W44" i="18"/>
  <c r="S44" i="18"/>
  <c r="AB43" i="18"/>
  <c r="X43" i="18"/>
  <c r="T43" i="18"/>
  <c r="AC42" i="18"/>
  <c r="Y42" i="18"/>
  <c r="U42" i="18"/>
  <c r="AD41" i="18"/>
  <c r="Z41" i="18"/>
  <c r="V41" i="18"/>
  <c r="AE40" i="18"/>
  <c r="AA40" i="18"/>
  <c r="W40" i="18"/>
  <c r="S40" i="18"/>
  <c r="AB39" i="18"/>
  <c r="X39" i="18"/>
  <c r="T39" i="18"/>
  <c r="AC38" i="18"/>
  <c r="Y38" i="18"/>
  <c r="U38" i="18"/>
  <c r="AD37" i="18"/>
  <c r="Z37" i="18"/>
  <c r="V37" i="18"/>
  <c r="AE36" i="18"/>
  <c r="AA36" i="18"/>
  <c r="W36" i="18"/>
  <c r="S36" i="18"/>
  <c r="AB35" i="18"/>
  <c r="X35" i="18"/>
  <c r="T35" i="18"/>
  <c r="AC34" i="18"/>
  <c r="Y34" i="18"/>
  <c r="U34" i="18"/>
  <c r="AD33" i="18"/>
  <c r="Z33" i="18"/>
  <c r="V33" i="18"/>
  <c r="AE31" i="18"/>
  <c r="AA31" i="18"/>
  <c r="W31" i="18"/>
  <c r="S31" i="18"/>
  <c r="AB30" i="18"/>
  <c r="X30" i="18"/>
  <c r="T30" i="18"/>
  <c r="AC29" i="18"/>
  <c r="Y29" i="18"/>
  <c r="U29" i="18"/>
  <c r="AD28" i="18"/>
  <c r="Z28" i="18"/>
  <c r="V28" i="18"/>
  <c r="AE27" i="18"/>
  <c r="AA27" i="18"/>
  <c r="W27" i="18"/>
  <c r="S27" i="18"/>
  <c r="AB26" i="18"/>
  <c r="X26" i="18"/>
  <c r="T26" i="18"/>
  <c r="AC25" i="18"/>
  <c r="Y25" i="18"/>
  <c r="U25" i="18"/>
  <c r="AD24" i="18"/>
  <c r="Z24" i="18"/>
  <c r="V24" i="18"/>
  <c r="AE23" i="18"/>
  <c r="AA23" i="18"/>
  <c r="W23" i="18"/>
  <c r="S23" i="18"/>
  <c r="AB22" i="18"/>
  <c r="X22" i="18"/>
  <c r="T22" i="18"/>
  <c r="AC21" i="18"/>
  <c r="Y21" i="18"/>
  <c r="U21" i="18"/>
  <c r="AD20" i="18"/>
  <c r="Z20" i="18"/>
  <c r="V20" i="18"/>
  <c r="AE19" i="18"/>
  <c r="AA19" i="18"/>
  <c r="W19" i="18"/>
  <c r="S19" i="18"/>
  <c r="AB18" i="18"/>
  <c r="X18" i="18"/>
  <c r="T18" i="18"/>
  <c r="AC17" i="18"/>
  <c r="Y17" i="18"/>
  <c r="U17" i="18"/>
  <c r="AD16" i="18"/>
  <c r="Z16" i="18"/>
  <c r="V16" i="18"/>
  <c r="AE15" i="18"/>
  <c r="AA15" i="18"/>
  <c r="W15" i="18"/>
  <c r="S15" i="18"/>
  <c r="AB14" i="18"/>
  <c r="X14" i="18"/>
  <c r="T14" i="18"/>
  <c r="AC13" i="18"/>
  <c r="Y13" i="18"/>
  <c r="U13" i="18"/>
  <c r="AD12" i="18"/>
  <c r="Z12" i="18"/>
  <c r="V12" i="18"/>
  <c r="AE11" i="18"/>
  <c r="AA11" i="18"/>
  <c r="W11" i="18"/>
  <c r="S11" i="18"/>
  <c r="AB10" i="18"/>
  <c r="X10" i="18"/>
  <c r="T10" i="18"/>
  <c r="AC9" i="18"/>
  <c r="V9" i="18"/>
  <c r="Z9" i="18"/>
  <c r="S193" i="18"/>
  <c r="Y153" i="18"/>
  <c r="Z135" i="18"/>
  <c r="X127" i="18"/>
  <c r="Y120" i="18"/>
  <c r="AC116" i="18"/>
  <c r="T113" i="18"/>
  <c r="AD111" i="18"/>
  <c r="AE106" i="18"/>
  <c r="V103" i="18"/>
  <c r="Z99" i="18"/>
  <c r="T97" i="18"/>
  <c r="X93" i="18"/>
  <c r="AE90" i="18"/>
  <c r="V87" i="18"/>
  <c r="X85" i="18"/>
  <c r="Z83" i="18"/>
  <c r="AA82" i="18"/>
  <c r="S82" i="18"/>
  <c r="T81" i="18"/>
  <c r="U80" i="18"/>
  <c r="Z79" i="18"/>
  <c r="AA78" i="18"/>
  <c r="AB77" i="18"/>
  <c r="T77" i="18"/>
  <c r="U76" i="18"/>
  <c r="Z75" i="18"/>
  <c r="AA74" i="18"/>
  <c r="AB73" i="18"/>
  <c r="Y72" i="18"/>
  <c r="Z71" i="18"/>
  <c r="W70" i="18"/>
  <c r="X69" i="18"/>
  <c r="Y68" i="18"/>
  <c r="Z67" i="18"/>
  <c r="AA66" i="18"/>
  <c r="X65" i="18"/>
  <c r="Y64" i="18"/>
  <c r="AD62" i="18"/>
  <c r="AE61" i="18"/>
  <c r="W61" i="18"/>
  <c r="T60" i="18"/>
  <c r="U59" i="18"/>
  <c r="V58" i="18"/>
  <c r="W57" i="18"/>
  <c r="AB56" i="18"/>
  <c r="Y55" i="18"/>
  <c r="Z54" i="18"/>
  <c r="AA53" i="18"/>
  <c r="AB52" i="18"/>
  <c r="AC51" i="18"/>
  <c r="AD50" i="18"/>
  <c r="AE49" i="18"/>
  <c r="S49" i="18"/>
  <c r="X48" i="18"/>
  <c r="Y47" i="18"/>
  <c r="R82" i="18"/>
  <c r="C82" i="18" s="1"/>
  <c r="C271" i="5" s="1"/>
  <c r="C459" i="5" s="1"/>
  <c r="AE187" i="18"/>
  <c r="T178" i="18"/>
  <c r="V168" i="18"/>
  <c r="Z148" i="18"/>
  <c r="AE142" i="18"/>
  <c r="S138" i="18"/>
  <c r="T133" i="18"/>
  <c r="AA128" i="18"/>
  <c r="U126" i="18"/>
  <c r="AB123" i="18"/>
  <c r="V121" i="18"/>
  <c r="AD119" i="18"/>
  <c r="AA118" i="18"/>
  <c r="X117" i="18"/>
  <c r="U116" i="18"/>
  <c r="AE114" i="18"/>
  <c r="AB113" i="18"/>
  <c r="Y112" i="18"/>
  <c r="V111" i="18"/>
  <c r="S110" i="18"/>
  <c r="AC108" i="18"/>
  <c r="Z107" i="18"/>
  <c r="W106" i="18"/>
  <c r="T105" i="18"/>
  <c r="AD103" i="18"/>
  <c r="AA102" i="18"/>
  <c r="X101" i="18"/>
  <c r="U100" i="18"/>
  <c r="AE98" i="18"/>
  <c r="AB97" i="18"/>
  <c r="Y96" i="18"/>
  <c r="V95" i="18"/>
  <c r="S94" i="18"/>
  <c r="AC92" i="18"/>
  <c r="Z91" i="18"/>
  <c r="W90" i="18"/>
  <c r="T89" i="18"/>
  <c r="AD87" i="18"/>
  <c r="AE86" i="18"/>
  <c r="W86" i="18"/>
  <c r="AB85" i="18"/>
  <c r="T85" i="18"/>
  <c r="Y84" i="18"/>
  <c r="AD83" i="18"/>
  <c r="X83" i="18"/>
  <c r="T83" i="18"/>
  <c r="AC82" i="18"/>
  <c r="Y82" i="18"/>
  <c r="U82" i="18"/>
  <c r="AD81" i="18"/>
  <c r="Z81" i="18"/>
  <c r="V81" i="18"/>
  <c r="AE80" i="18"/>
  <c r="AA80" i="18"/>
  <c r="W80" i="18"/>
  <c r="S80" i="18"/>
  <c r="AB79" i="18"/>
  <c r="X79" i="18"/>
  <c r="T79" i="18"/>
  <c r="AC78" i="18"/>
  <c r="Y78" i="18"/>
  <c r="U78" i="18"/>
  <c r="AD77" i="18"/>
  <c r="Z77" i="18"/>
  <c r="V77" i="18"/>
  <c r="AE76" i="18"/>
  <c r="AA76" i="18"/>
  <c r="W76" i="18"/>
  <c r="S76" i="18"/>
  <c r="AB75" i="18"/>
  <c r="X75" i="18"/>
  <c r="T75" i="18"/>
  <c r="AC74" i="18"/>
  <c r="Y74" i="18"/>
  <c r="U74" i="18"/>
  <c r="AD73" i="18"/>
  <c r="Z73" i="18"/>
  <c r="V73" i="18"/>
  <c r="AE72" i="18"/>
  <c r="AA72" i="18"/>
  <c r="W72" i="18"/>
  <c r="S72" i="18"/>
  <c r="AB71" i="18"/>
  <c r="X71" i="18"/>
  <c r="T71" i="18"/>
  <c r="AC70" i="18"/>
  <c r="Y70" i="18"/>
  <c r="U70" i="18"/>
  <c r="AD69" i="18"/>
  <c r="Z69" i="18"/>
  <c r="V69" i="18"/>
  <c r="AE68" i="18"/>
  <c r="AA68" i="18"/>
  <c r="W68" i="18"/>
  <c r="S68" i="18"/>
  <c r="AB67" i="18"/>
  <c r="X67" i="18"/>
  <c r="T67" i="18"/>
  <c r="AC66" i="18"/>
  <c r="Y66" i="18"/>
  <c r="U66" i="18"/>
  <c r="AD65" i="18"/>
  <c r="Z65" i="18"/>
  <c r="V65" i="18"/>
  <c r="AE64" i="18"/>
  <c r="AA64" i="18"/>
  <c r="W64" i="18"/>
  <c r="S64" i="18"/>
  <c r="AB62" i="18"/>
  <c r="X62" i="18"/>
  <c r="T62" i="18"/>
  <c r="AC61" i="18"/>
  <c r="Y61" i="18"/>
  <c r="U61" i="18"/>
  <c r="AD60" i="18"/>
  <c r="Z60" i="18"/>
  <c r="V60" i="18"/>
  <c r="AE59" i="18"/>
  <c r="AA59" i="18"/>
  <c r="W59" i="18"/>
  <c r="S59" i="18"/>
  <c r="AB58" i="18"/>
  <c r="X58" i="18"/>
  <c r="T58" i="18"/>
  <c r="AC57" i="18"/>
  <c r="Y57" i="18"/>
  <c r="U57" i="18"/>
  <c r="AD56" i="18"/>
  <c r="Z56" i="18"/>
  <c r="V56" i="18"/>
  <c r="AE55" i="18"/>
  <c r="AA55" i="18"/>
  <c r="W55" i="18"/>
  <c r="S55" i="18"/>
  <c r="AB54" i="18"/>
  <c r="X54" i="18"/>
  <c r="T54" i="18"/>
  <c r="AC53" i="18"/>
  <c r="Y53" i="18"/>
  <c r="U53" i="18"/>
  <c r="AD52" i="18"/>
  <c r="Z52" i="18"/>
  <c r="V52" i="18"/>
  <c r="AE51" i="18"/>
  <c r="AA51" i="18"/>
  <c r="W51" i="18"/>
  <c r="S51" i="18"/>
  <c r="AB50" i="18"/>
  <c r="X50" i="18"/>
  <c r="T50" i="18"/>
  <c r="AC49" i="18"/>
  <c r="Y49" i="18"/>
  <c r="U49" i="18"/>
  <c r="AD48" i="18"/>
  <c r="Z48" i="18"/>
  <c r="V48" i="18"/>
  <c r="AE47" i="18"/>
  <c r="AA47" i="18"/>
  <c r="W47" i="18"/>
  <c r="S47" i="18"/>
  <c r="AB46" i="18"/>
  <c r="X46" i="18"/>
  <c r="T46" i="18"/>
  <c r="AC45" i="18"/>
  <c r="Y45" i="18"/>
  <c r="U45" i="18"/>
  <c r="AD44" i="18"/>
  <c r="Z44" i="18"/>
  <c r="V44" i="18"/>
  <c r="AE43" i="18"/>
  <c r="AA43" i="18"/>
  <c r="W43" i="18"/>
  <c r="S43" i="18"/>
  <c r="AB42" i="18"/>
  <c r="X42" i="18"/>
  <c r="T42" i="18"/>
  <c r="AC41" i="18"/>
  <c r="Y41" i="18"/>
  <c r="U41" i="18"/>
  <c r="AD40" i="18"/>
  <c r="Z40" i="18"/>
  <c r="V40" i="18"/>
  <c r="AE39" i="18"/>
  <c r="AA39" i="18"/>
  <c r="W39" i="18"/>
  <c r="S39" i="18"/>
  <c r="AB38" i="18"/>
  <c r="X38" i="18"/>
  <c r="T38" i="18"/>
  <c r="AC37" i="18"/>
  <c r="Y37" i="18"/>
  <c r="U37" i="18"/>
  <c r="AD36" i="18"/>
  <c r="Z36" i="18"/>
  <c r="V36" i="18"/>
  <c r="AE35" i="18"/>
  <c r="AA35" i="18"/>
  <c r="W35" i="18"/>
  <c r="S35" i="18"/>
  <c r="AB34" i="18"/>
  <c r="X34" i="18"/>
  <c r="T34" i="18"/>
  <c r="AC33" i="18"/>
  <c r="Y33" i="18"/>
  <c r="U33" i="18"/>
  <c r="AD31" i="18"/>
  <c r="Z31" i="18"/>
  <c r="V31" i="18"/>
  <c r="AE30" i="18"/>
  <c r="AA30" i="18"/>
  <c r="W30" i="18"/>
  <c r="S30" i="18"/>
  <c r="AB29" i="18"/>
  <c r="X29" i="18"/>
  <c r="T29" i="18"/>
  <c r="AC28" i="18"/>
  <c r="Y28" i="18"/>
  <c r="U28" i="18"/>
  <c r="AD27" i="18"/>
  <c r="Z27" i="18"/>
  <c r="V27" i="18"/>
  <c r="AE26" i="18"/>
  <c r="AA26" i="18"/>
  <c r="W26" i="18"/>
  <c r="S26" i="18"/>
  <c r="AB25" i="18"/>
  <c r="X25" i="18"/>
  <c r="T25" i="18"/>
  <c r="AC24" i="18"/>
  <c r="Y24" i="18"/>
  <c r="U24" i="18"/>
  <c r="AD23" i="18"/>
  <c r="Z23" i="18"/>
  <c r="V23" i="18"/>
  <c r="AE22" i="18"/>
  <c r="AA22" i="18"/>
  <c r="W22" i="18"/>
  <c r="S22" i="18"/>
  <c r="AB21" i="18"/>
  <c r="X21" i="18"/>
  <c r="T21" i="18"/>
  <c r="AC20" i="18"/>
  <c r="Y20" i="18"/>
  <c r="U20" i="18"/>
  <c r="AD19" i="18"/>
  <c r="Z19" i="18"/>
  <c r="V19" i="18"/>
  <c r="AE18" i="18"/>
  <c r="AA18" i="18"/>
  <c r="W18" i="18"/>
  <c r="S18" i="18"/>
  <c r="AB17" i="18"/>
  <c r="X17" i="18"/>
  <c r="T17" i="18"/>
  <c r="AC16" i="18"/>
  <c r="Y16" i="18"/>
  <c r="U16" i="18"/>
  <c r="AD15" i="18"/>
  <c r="Z15" i="18"/>
  <c r="V15" i="18"/>
  <c r="AE14" i="18"/>
  <c r="AA14" i="18"/>
  <c r="W14" i="18"/>
  <c r="S14" i="18"/>
  <c r="AB13" i="18"/>
  <c r="X13" i="18"/>
  <c r="T13" i="18"/>
  <c r="AC12" i="18"/>
  <c r="Y12" i="18"/>
  <c r="U12" i="18"/>
  <c r="AD11" i="18"/>
  <c r="Z11" i="18"/>
  <c r="V11" i="18"/>
  <c r="AE10" i="18"/>
  <c r="AA10" i="18"/>
  <c r="W10" i="18"/>
  <c r="S10" i="18"/>
  <c r="AB9" i="18"/>
  <c r="W9" i="18"/>
  <c r="S9" i="18"/>
  <c r="S183" i="18"/>
  <c r="Y140" i="18"/>
  <c r="AE124" i="18"/>
  <c r="V119" i="18"/>
  <c r="Z115" i="18"/>
  <c r="X109" i="18"/>
  <c r="AB105" i="18"/>
  <c r="S102" i="18"/>
  <c r="W98" i="18"/>
  <c r="AA94" i="18"/>
  <c r="AB89" i="18"/>
  <c r="AA86" i="18"/>
  <c r="AC84" i="18"/>
  <c r="AE82" i="18"/>
  <c r="AB81" i="18"/>
  <c r="AC80" i="18"/>
  <c r="AD79" i="18"/>
  <c r="AE78" i="18"/>
  <c r="S78" i="18"/>
  <c r="Y76" i="18"/>
  <c r="V75" i="18"/>
  <c r="S74" i="18"/>
  <c r="T73" i="18"/>
  <c r="AD71" i="18"/>
  <c r="S70" i="18"/>
  <c r="AC68" i="18"/>
  <c r="AD67" i="18"/>
  <c r="AE66" i="18"/>
  <c r="S66" i="18"/>
  <c r="T65" i="18"/>
  <c r="Z62" i="18"/>
  <c r="AA61" i="18"/>
  <c r="AB60" i="18"/>
  <c r="AC59" i="18"/>
  <c r="AD58" i="18"/>
  <c r="AE57" i="18"/>
  <c r="S57" i="18"/>
  <c r="T56" i="18"/>
  <c r="U55" i="18"/>
  <c r="V54" i="18"/>
  <c r="S53" i="18"/>
  <c r="T52" i="18"/>
  <c r="U51" i="18"/>
  <c r="Z50" i="18"/>
  <c r="AA49" i="18"/>
  <c r="AB48" i="18"/>
  <c r="AC47" i="18"/>
  <c r="AD46" i="18"/>
  <c r="P40" i="18"/>
  <c r="B40" i="18" s="1"/>
  <c r="B229" i="5" s="1"/>
  <c r="B417" i="5" s="1"/>
  <c r="Y185" i="18"/>
  <c r="AA175" i="18"/>
  <c r="AE155" i="18"/>
  <c r="AA146" i="18"/>
  <c r="AB141" i="18"/>
  <c r="AC136" i="18"/>
  <c r="AD131" i="18"/>
  <c r="S128" i="18"/>
  <c r="Z125" i="18"/>
  <c r="T123" i="18"/>
  <c r="AC120" i="18"/>
  <c r="Z119" i="18"/>
  <c r="W118" i="18"/>
  <c r="T117" i="18"/>
  <c r="AD115" i="18"/>
  <c r="AA114" i="18"/>
  <c r="X113" i="18"/>
  <c r="U112" i="18"/>
  <c r="AE110" i="18"/>
  <c r="AB109" i="18"/>
  <c r="Y108" i="18"/>
  <c r="V107" i="18"/>
  <c r="S106" i="18"/>
  <c r="AC104" i="18"/>
  <c r="Z103" i="18"/>
  <c r="W102" i="18"/>
  <c r="T101" i="18"/>
  <c r="AD99" i="18"/>
  <c r="AA98" i="18"/>
  <c r="X97" i="18"/>
  <c r="U96" i="18"/>
  <c r="AE94" i="18"/>
  <c r="AB93" i="18"/>
  <c r="Y92" i="18"/>
  <c r="V91" i="18"/>
  <c r="S90" i="18"/>
  <c r="AC88" i="18"/>
  <c r="Z87" i="18"/>
  <c r="AC86" i="18"/>
  <c r="U86" i="18"/>
  <c r="Z85" i="18"/>
  <c r="AE84" i="18"/>
  <c r="W84" i="18"/>
  <c r="AB83" i="18"/>
  <c r="W83" i="18"/>
  <c r="S83" i="18"/>
  <c r="AB82" i="18"/>
  <c r="X82" i="18"/>
  <c r="T82" i="18"/>
  <c r="AC81" i="18"/>
  <c r="Y81" i="18"/>
  <c r="U81" i="18"/>
  <c r="AD80" i="18"/>
  <c r="Z80" i="18"/>
  <c r="V80" i="18"/>
  <c r="AE79" i="18"/>
  <c r="AA79" i="18"/>
  <c r="W79" i="18"/>
  <c r="S79" i="18"/>
  <c r="AB78" i="18"/>
  <c r="X78" i="18"/>
  <c r="T78" i="18"/>
  <c r="AC77" i="18"/>
  <c r="Y77" i="18"/>
  <c r="U77" i="18"/>
  <c r="AD76" i="18"/>
  <c r="Z76" i="18"/>
  <c r="V76" i="18"/>
  <c r="AE75" i="18"/>
  <c r="AA75" i="18"/>
  <c r="W75" i="18"/>
  <c r="S75" i="18"/>
  <c r="AB74" i="18"/>
  <c r="X74" i="18"/>
  <c r="T74" i="18"/>
  <c r="AC73" i="18"/>
  <c r="Y73" i="18"/>
  <c r="U73" i="18"/>
  <c r="AD72" i="18"/>
  <c r="Z72" i="18"/>
  <c r="V72" i="18"/>
  <c r="AE71" i="18"/>
  <c r="AA71" i="18"/>
  <c r="W71" i="18"/>
  <c r="S71" i="18"/>
  <c r="AB70" i="18"/>
  <c r="X70" i="18"/>
  <c r="T70" i="18"/>
  <c r="AC69" i="18"/>
  <c r="Y69" i="18"/>
  <c r="U69" i="18"/>
  <c r="AD68" i="18"/>
  <c r="Z68" i="18"/>
  <c r="V68" i="18"/>
  <c r="AE67" i="18"/>
  <c r="AA67" i="18"/>
  <c r="W67" i="18"/>
  <c r="S67" i="18"/>
  <c r="AB66" i="18"/>
  <c r="X66" i="18"/>
  <c r="T66" i="18"/>
  <c r="AC65" i="18"/>
  <c r="Y65" i="18"/>
  <c r="U65" i="18"/>
  <c r="AD64" i="18"/>
  <c r="Z64" i="18"/>
  <c r="V64" i="18"/>
  <c r="AE62" i="18"/>
  <c r="AA62" i="18"/>
  <c r="W62" i="18"/>
  <c r="S62" i="18"/>
  <c r="AB61" i="18"/>
  <c r="X61" i="18"/>
  <c r="T61" i="18"/>
  <c r="AC60" i="18"/>
  <c r="Y60" i="18"/>
  <c r="U60" i="18"/>
  <c r="AD59" i="18"/>
  <c r="Z59" i="18"/>
  <c r="V59" i="18"/>
  <c r="AE58" i="18"/>
  <c r="AA58" i="18"/>
  <c r="W58" i="18"/>
  <c r="S58" i="18"/>
  <c r="AB57" i="18"/>
  <c r="X57" i="18"/>
  <c r="T57" i="18"/>
  <c r="AC56" i="18"/>
  <c r="Y56" i="18"/>
  <c r="U56" i="18"/>
  <c r="AD55" i="18"/>
  <c r="Z55" i="18"/>
  <c r="V55" i="18"/>
  <c r="AE54" i="18"/>
  <c r="AA54" i="18"/>
  <c r="W54" i="18"/>
  <c r="S54" i="18"/>
  <c r="AB53" i="18"/>
  <c r="X53" i="18"/>
  <c r="T53" i="18"/>
  <c r="AC52" i="18"/>
  <c r="Y52" i="18"/>
  <c r="U52" i="18"/>
  <c r="AD51" i="18"/>
  <c r="Z51" i="18"/>
  <c r="V51" i="18"/>
  <c r="AE50" i="18"/>
  <c r="AA50" i="18"/>
  <c r="W50" i="18"/>
  <c r="S50" i="18"/>
  <c r="AB49" i="18"/>
  <c r="X49" i="18"/>
  <c r="T49" i="18"/>
  <c r="AC48" i="18"/>
  <c r="Y48" i="18"/>
  <c r="U48" i="18"/>
  <c r="AD47" i="18"/>
  <c r="Z47" i="18"/>
  <c r="V47" i="18"/>
  <c r="AE46" i="18"/>
  <c r="AA46" i="18"/>
  <c r="W46" i="18"/>
  <c r="S46" i="18"/>
  <c r="AB45" i="18"/>
  <c r="X45" i="18"/>
  <c r="T45" i="18"/>
  <c r="AC44" i="18"/>
  <c r="Y44" i="18"/>
  <c r="U44" i="18"/>
  <c r="AD43" i="18"/>
  <c r="Z43" i="18"/>
  <c r="V43" i="18"/>
  <c r="AE42" i="18"/>
  <c r="AA42" i="18"/>
  <c r="W42" i="18"/>
  <c r="S42" i="18"/>
  <c r="AB41" i="18"/>
  <c r="X41" i="18"/>
  <c r="T41" i="18"/>
  <c r="AC40" i="18"/>
  <c r="Y40" i="18"/>
  <c r="U40" i="18"/>
  <c r="AD39" i="18"/>
  <c r="Z39" i="18"/>
  <c r="V39" i="18"/>
  <c r="AE38" i="18"/>
  <c r="AA38" i="18"/>
  <c r="W38" i="18"/>
  <c r="S38" i="18"/>
  <c r="AB37" i="18"/>
  <c r="X37" i="18"/>
  <c r="T37" i="18"/>
  <c r="AC36" i="18"/>
  <c r="Y36" i="18"/>
  <c r="U36" i="18"/>
  <c r="AD35" i="18"/>
  <c r="Z35" i="18"/>
  <c r="V35" i="18"/>
  <c r="AE34" i="18"/>
  <c r="AA34" i="18"/>
  <c r="W34" i="18"/>
  <c r="S34" i="18"/>
  <c r="AB33" i="18"/>
  <c r="X33" i="18"/>
  <c r="T33" i="18"/>
  <c r="AC31" i="18"/>
  <c r="Y31" i="18"/>
  <c r="U31" i="18"/>
  <c r="AD30" i="18"/>
  <c r="Z30" i="18"/>
  <c r="V30" i="18"/>
  <c r="AE29" i="18"/>
  <c r="AA29" i="18"/>
  <c r="W29" i="18"/>
  <c r="S29" i="18"/>
  <c r="AB28" i="18"/>
  <c r="X28" i="18"/>
  <c r="T28" i="18"/>
  <c r="AC27" i="18"/>
  <c r="Y27" i="18"/>
  <c r="U27" i="18"/>
  <c r="AD26" i="18"/>
  <c r="Z26" i="18"/>
  <c r="V26" i="18"/>
  <c r="AE25" i="18"/>
  <c r="AA25" i="18"/>
  <c r="W25" i="18"/>
  <c r="S25" i="18"/>
  <c r="AB24" i="18"/>
  <c r="X24" i="18"/>
  <c r="T24" i="18"/>
  <c r="AC23" i="18"/>
  <c r="Y23" i="18"/>
  <c r="U23" i="18"/>
  <c r="AD22" i="18"/>
  <c r="Z22" i="18"/>
  <c r="V22" i="18"/>
  <c r="AE21" i="18"/>
  <c r="AA21" i="18"/>
  <c r="W21" i="18"/>
  <c r="S21" i="18"/>
  <c r="AB20" i="18"/>
  <c r="X20" i="18"/>
  <c r="T20" i="18"/>
  <c r="AC19" i="18"/>
  <c r="Y19" i="18"/>
  <c r="U19" i="18"/>
  <c r="AD18" i="18"/>
  <c r="Z18" i="18"/>
  <c r="V18" i="18"/>
  <c r="AE17" i="18"/>
  <c r="AA17" i="18"/>
  <c r="W17" i="18"/>
  <c r="S17" i="18"/>
  <c r="AB16" i="18"/>
  <c r="X16" i="18"/>
  <c r="T16" i="18"/>
  <c r="AC15" i="18"/>
  <c r="Y15" i="18"/>
  <c r="U15" i="18"/>
  <c r="AD14" i="18"/>
  <c r="Z14" i="18"/>
  <c r="V14" i="18"/>
  <c r="AE13" i="18"/>
  <c r="AA13" i="18"/>
  <c r="W13" i="18"/>
  <c r="S13" i="18"/>
  <c r="AB12" i="18"/>
  <c r="X12" i="18"/>
  <c r="T12" i="18"/>
  <c r="AC11" i="18"/>
  <c r="Y11" i="18"/>
  <c r="U11" i="18"/>
  <c r="AD10" i="18"/>
  <c r="Z10" i="18"/>
  <c r="V10" i="18"/>
  <c r="AE9" i="18"/>
  <c r="T9" i="18"/>
  <c r="X9" i="18"/>
  <c r="U173" i="18"/>
  <c r="X145" i="18"/>
  <c r="AA130" i="18"/>
  <c r="Y122" i="18"/>
  <c r="S118" i="18"/>
  <c r="W114" i="18"/>
  <c r="AA110" i="18"/>
  <c r="U108" i="18"/>
  <c r="Y104" i="18"/>
  <c r="AC100" i="18"/>
  <c r="AD95" i="18"/>
  <c r="U92" i="18"/>
  <c r="Y88" i="18"/>
  <c r="S86" i="18"/>
  <c r="U84" i="18"/>
  <c r="V83" i="18"/>
  <c r="W82" i="18"/>
  <c r="X81" i="18"/>
  <c r="Y80" i="18"/>
  <c r="V79" i="18"/>
  <c r="W78" i="18"/>
  <c r="X77" i="18"/>
  <c r="AC76" i="18"/>
  <c r="AD75" i="18"/>
  <c r="AE74" i="18"/>
  <c r="W74" i="18"/>
  <c r="X73" i="18"/>
  <c r="AC72" i="18"/>
  <c r="U72" i="18"/>
  <c r="V71" i="18"/>
  <c r="AE70" i="18"/>
  <c r="AA70" i="18"/>
  <c r="AB69" i="18"/>
  <c r="T69" i="18"/>
  <c r="U68" i="18"/>
  <c r="V67" i="18"/>
  <c r="W66" i="18"/>
  <c r="AB65" i="18"/>
  <c r="AC64" i="18"/>
  <c r="U64" i="18"/>
  <c r="V62" i="18"/>
  <c r="S61" i="18"/>
  <c r="X60" i="18"/>
  <c r="Y59" i="18"/>
  <c r="Z58" i="18"/>
  <c r="AA57" i="18"/>
  <c r="X56" i="18"/>
  <c r="AC55" i="18"/>
  <c r="AD54" i="18"/>
  <c r="AE53" i="18"/>
  <c r="W53" i="18"/>
  <c r="X52" i="18"/>
  <c r="Y51" i="18"/>
  <c r="V50" i="18"/>
  <c r="W49" i="18"/>
  <c r="T48" i="18"/>
  <c r="U47" i="18"/>
  <c r="V46" i="18"/>
  <c r="Z46" i="18"/>
  <c r="S45" i="18"/>
  <c r="AC43" i="18"/>
  <c r="Z42" i="18"/>
  <c r="W41" i="18"/>
  <c r="T40" i="18"/>
  <c r="AD38" i="18"/>
  <c r="AA37" i="18"/>
  <c r="X36" i="18"/>
  <c r="U35" i="18"/>
  <c r="AE33" i="18"/>
  <c r="AB31" i="18"/>
  <c r="Y30" i="18"/>
  <c r="V29" i="18"/>
  <c r="S28" i="18"/>
  <c r="AC26" i="18"/>
  <c r="Z25" i="18"/>
  <c r="W24" i="18"/>
  <c r="T23" i="18"/>
  <c r="AD21" i="18"/>
  <c r="AA20" i="18"/>
  <c r="X19" i="18"/>
  <c r="U18" i="18"/>
  <c r="AE16" i="18"/>
  <c r="AB15" i="18"/>
  <c r="Y14" i="18"/>
  <c r="V13" i="18"/>
  <c r="S12" i="18"/>
  <c r="AC10" i="18"/>
  <c r="U9" i="18"/>
  <c r="AE45" i="18"/>
  <c r="AB44" i="18"/>
  <c r="Y43" i="18"/>
  <c r="V42" i="18"/>
  <c r="S41" i="18"/>
  <c r="AC39" i="18"/>
  <c r="Z38" i="18"/>
  <c r="W37" i="18"/>
  <c r="T36" i="18"/>
  <c r="AD34" i="18"/>
  <c r="AA33" i="18"/>
  <c r="X31" i="18"/>
  <c r="U30" i="18"/>
  <c r="AE28" i="18"/>
  <c r="AB27" i="18"/>
  <c r="Y26" i="18"/>
  <c r="V25" i="18"/>
  <c r="S24" i="18"/>
  <c r="AC22" i="18"/>
  <c r="Z21" i="18"/>
  <c r="W20" i="18"/>
  <c r="T19" i="18"/>
  <c r="AD17" i="18"/>
  <c r="AA16" i="18"/>
  <c r="X15" i="18"/>
  <c r="U14" i="18"/>
  <c r="AE12" i="18"/>
  <c r="AB11" i="18"/>
  <c r="Y10" i="18"/>
  <c r="Y9" i="18"/>
  <c r="AA45" i="18"/>
  <c r="X44" i="18"/>
  <c r="U43" i="18"/>
  <c r="AE41" i="18"/>
  <c r="AB40" i="18"/>
  <c r="Y39" i="18"/>
  <c r="V38" i="18"/>
  <c r="S37" i="18"/>
  <c r="AC35" i="18"/>
  <c r="Z34" i="18"/>
  <c r="W33" i="18"/>
  <c r="T31" i="18"/>
  <c r="AD29" i="18"/>
  <c r="AA28" i="18"/>
  <c r="X27" i="18"/>
  <c r="U26" i="18"/>
  <c r="AE24" i="18"/>
  <c r="AB23" i="18"/>
  <c r="Y22" i="18"/>
  <c r="V21" i="18"/>
  <c r="S20" i="18"/>
  <c r="AC18" i="18"/>
  <c r="Z17" i="18"/>
  <c r="W16" i="18"/>
  <c r="T15" i="18"/>
  <c r="AD13" i="18"/>
  <c r="AA12" i="18"/>
  <c r="X11" i="18"/>
  <c r="U10" i="18"/>
  <c r="W45" i="18"/>
  <c r="T44" i="18"/>
  <c r="AD42" i="18"/>
  <c r="AA41" i="18"/>
  <c r="X40" i="18"/>
  <c r="U39" i="18"/>
  <c r="AE37" i="18"/>
  <c r="AB36" i="18"/>
  <c r="Y35" i="18"/>
  <c r="V34" i="18"/>
  <c r="S33" i="18"/>
  <c r="AC30" i="18"/>
  <c r="Z29" i="18"/>
  <c r="W28" i="18"/>
  <c r="T27" i="18"/>
  <c r="AD25" i="18"/>
  <c r="AA24" i="18"/>
  <c r="X23" i="18"/>
  <c r="U22" i="18"/>
  <c r="AE20" i="18"/>
  <c r="AB19" i="18"/>
  <c r="Y18" i="18"/>
  <c r="V17" i="18"/>
  <c r="S16" i="18"/>
  <c r="AC14" i="18"/>
  <c r="Z13" i="18"/>
  <c r="W12" i="18"/>
  <c r="T11" i="18"/>
  <c r="AD9" i="18"/>
  <c r="L87" i="18"/>
  <c r="L92" i="18"/>
  <c r="L76" i="18"/>
  <c r="CJ183" i="18"/>
  <c r="X29" i="4"/>
  <c r="X34" i="4" s="1"/>
  <c r="U31" i="4"/>
  <c r="U34" i="4"/>
  <c r="U32" i="4"/>
  <c r="H112" i="20"/>
  <c r="F217" i="14"/>
  <c r="L77" i="18"/>
  <c r="L94" i="18"/>
  <c r="L95" i="18"/>
  <c r="G192" i="15"/>
  <c r="H192" i="15" s="1"/>
  <c r="J99" i="20" s="1"/>
  <c r="G204" i="15"/>
  <c r="H204" i="15" s="1"/>
  <c r="J111" i="20" s="1"/>
  <c r="H107" i="20"/>
  <c r="G200" i="15"/>
  <c r="H200" i="15" s="1"/>
  <c r="J107" i="20" s="1"/>
  <c r="H109" i="20"/>
  <c r="G202" i="15"/>
  <c r="H202" i="15" s="1"/>
  <c r="J109" i="20" s="1"/>
  <c r="H111" i="20"/>
  <c r="G201" i="15"/>
  <c r="H201" i="15" s="1"/>
  <c r="J108" i="20" s="1"/>
  <c r="G196" i="15"/>
  <c r="H196" i="15" s="1"/>
  <c r="J103" i="20" s="1"/>
  <c r="G198" i="15"/>
  <c r="H198" i="15" s="1"/>
  <c r="J105" i="20" s="1"/>
  <c r="J57" i="2"/>
  <c r="N57" i="2" s="1"/>
  <c r="F30" i="6" s="1"/>
  <c r="R30" i="6" s="1"/>
  <c r="G203" i="15"/>
  <c r="H203" i="15" s="1"/>
  <c r="J110" i="20" s="1"/>
  <c r="G191" i="15"/>
  <c r="H191" i="15" s="1"/>
  <c r="J98" i="20" s="1"/>
  <c r="G193" i="15"/>
  <c r="H193" i="15" s="1"/>
  <c r="J100" i="20" s="1"/>
  <c r="G195" i="15"/>
  <c r="H195" i="15" s="1"/>
  <c r="J102" i="20" s="1"/>
  <c r="G197" i="15"/>
  <c r="H197" i="15" s="1"/>
  <c r="J104" i="20" s="1"/>
  <c r="G199" i="15"/>
  <c r="H199" i="15" s="1"/>
  <c r="J106" i="20" s="1"/>
  <c r="H101" i="20"/>
  <c r="H97" i="20"/>
  <c r="G190" i="15"/>
  <c r="H190" i="15" s="1"/>
  <c r="J97" i="20" s="1"/>
  <c r="L12" i="18"/>
  <c r="F249" i="14"/>
  <c r="F245" i="14"/>
  <c r="F248" i="14"/>
  <c r="F247" i="14"/>
  <c r="W193" i="5"/>
  <c r="F246" i="14"/>
  <c r="K127" i="18"/>
  <c r="F261" i="8"/>
  <c r="F106" i="14"/>
  <c r="F105" i="14"/>
  <c r="W180" i="5"/>
  <c r="F108" i="14"/>
  <c r="F104" i="14"/>
  <c r="F107" i="14"/>
  <c r="F42" i="14"/>
  <c r="W176" i="5"/>
  <c r="F40" i="14"/>
  <c r="F39" i="14"/>
  <c r="F41" i="14"/>
  <c r="F43" i="14"/>
  <c r="F97" i="10"/>
  <c r="F64" i="10"/>
  <c r="F98" i="10"/>
  <c r="F66" i="10"/>
  <c r="F100" i="10"/>
  <c r="F101" i="10"/>
  <c r="J95" i="15"/>
  <c r="J89" i="3"/>
  <c r="E81" i="17"/>
  <c r="D63" i="16"/>
  <c r="I96" i="15"/>
  <c r="N206" i="15" s="1"/>
  <c r="R207" i="15" s="1"/>
  <c r="E82" i="17"/>
  <c r="E86" i="17"/>
  <c r="N118" i="20"/>
  <c r="O11" i="6"/>
  <c r="F373" i="8"/>
  <c r="O12" i="6"/>
  <c r="H28" i="6"/>
  <c r="K132" i="8"/>
  <c r="F186" i="8"/>
  <c r="H100" i="20"/>
  <c r="H102" i="20"/>
  <c r="K103" i="8"/>
  <c r="H108" i="20"/>
  <c r="S8" i="6"/>
  <c r="B191" i="18"/>
  <c r="B380" i="5" s="1"/>
  <c r="B568" i="5" s="1"/>
  <c r="B189" i="18"/>
  <c r="B378" i="5" s="1"/>
  <c r="B566" i="5" s="1"/>
  <c r="B175" i="18"/>
  <c r="B364" i="5" s="1"/>
  <c r="B552" i="5" s="1"/>
  <c r="B177" i="18"/>
  <c r="B366" i="5" s="1"/>
  <c r="B554" i="5" s="1"/>
  <c r="B145" i="18"/>
  <c r="B334" i="5" s="1"/>
  <c r="B522" i="5" s="1"/>
  <c r="B121" i="18"/>
  <c r="B310" i="5" s="1"/>
  <c r="B498" i="5" s="1"/>
  <c r="B108" i="18"/>
  <c r="B297" i="5" s="1"/>
  <c r="B485" i="5" s="1"/>
  <c r="B106" i="18"/>
  <c r="B295" i="5" s="1"/>
  <c r="B483" i="5" s="1"/>
  <c r="B54" i="18"/>
  <c r="B243" i="5" s="1"/>
  <c r="B431" i="5" s="1"/>
  <c r="B21" i="18"/>
  <c r="B210" i="5" s="1"/>
  <c r="B398" i="5" s="1"/>
  <c r="K79" i="8"/>
  <c r="F246" i="8"/>
  <c r="J49" i="2"/>
  <c r="K94" i="8"/>
  <c r="K383" i="8"/>
  <c r="K118" i="8"/>
  <c r="M165" i="8"/>
  <c r="F382" i="8"/>
  <c r="H106" i="20"/>
  <c r="I68" i="6"/>
  <c r="K81" i="8"/>
  <c r="K96" i="8"/>
  <c r="K111" i="8"/>
  <c r="K120" i="8"/>
  <c r="K135" i="8"/>
  <c r="M158" i="8"/>
  <c r="M167" i="8"/>
  <c r="F189" i="8"/>
  <c r="F249" i="8"/>
  <c r="F263" i="8"/>
  <c r="F375" i="8"/>
  <c r="F151" i="11"/>
  <c r="O10" i="6"/>
  <c r="O15" i="6"/>
  <c r="I29" i="6"/>
  <c r="I52" i="6"/>
  <c r="J71" i="6"/>
  <c r="I105" i="6"/>
  <c r="K84" i="8"/>
  <c r="K98" i="8"/>
  <c r="K113" i="8"/>
  <c r="K128" i="8"/>
  <c r="K137" i="8"/>
  <c r="M160" i="8"/>
  <c r="F191" i="8"/>
  <c r="F242" i="8"/>
  <c r="F251" i="8"/>
  <c r="F266" i="8"/>
  <c r="F377" i="8"/>
  <c r="O14" i="6"/>
  <c r="O17" i="6"/>
  <c r="H32" i="6"/>
  <c r="J55" i="6"/>
  <c r="H81" i="6"/>
  <c r="O81" i="6" s="1"/>
  <c r="I109" i="6"/>
  <c r="H49" i="6"/>
  <c r="O49" i="6" s="1"/>
  <c r="J87" i="6"/>
  <c r="K77" i="8"/>
  <c r="K86" i="8"/>
  <c r="K101" i="8"/>
  <c r="K115" i="8"/>
  <c r="K130" i="8"/>
  <c r="M163" i="8"/>
  <c r="F184" i="8"/>
  <c r="F193" i="8"/>
  <c r="F244" i="8"/>
  <c r="F259" i="8"/>
  <c r="F268" i="8"/>
  <c r="F380" i="8"/>
  <c r="O13" i="6"/>
  <c r="O16" i="6"/>
  <c r="J26" i="6"/>
  <c r="J39" i="6"/>
  <c r="H65" i="6"/>
  <c r="O65" i="6" s="1"/>
  <c r="I84" i="6"/>
  <c r="F153" i="11"/>
  <c r="F78" i="8"/>
  <c r="F80" i="8"/>
  <c r="F83" i="8"/>
  <c r="F85" i="8"/>
  <c r="F87" i="8"/>
  <c r="F95" i="8"/>
  <c r="F97" i="8"/>
  <c r="F100" i="8"/>
  <c r="F102" i="8"/>
  <c r="F104" i="8"/>
  <c r="F112" i="8"/>
  <c r="F114" i="8"/>
  <c r="F117" i="8"/>
  <c r="F119" i="8"/>
  <c r="F121" i="8"/>
  <c r="F129" i="8"/>
  <c r="F131" i="8"/>
  <c r="F134" i="8"/>
  <c r="F136" i="8"/>
  <c r="F138" i="8"/>
  <c r="F157" i="8"/>
  <c r="F159" i="8"/>
  <c r="F161" i="8"/>
  <c r="F164" i="8"/>
  <c r="F166" i="8"/>
  <c r="K184" i="8"/>
  <c r="K186" i="8"/>
  <c r="K189" i="8"/>
  <c r="K191" i="8"/>
  <c r="K193" i="8"/>
  <c r="K242" i="8"/>
  <c r="K244" i="8"/>
  <c r="K246" i="8"/>
  <c r="K249" i="8"/>
  <c r="K251" i="8"/>
  <c r="K259" i="8"/>
  <c r="K261" i="8"/>
  <c r="K263" i="8"/>
  <c r="K266" i="8"/>
  <c r="K268" i="8"/>
  <c r="K373" i="8"/>
  <c r="K375" i="8"/>
  <c r="K377" i="8"/>
  <c r="K380" i="8"/>
  <c r="K382" i="8"/>
  <c r="H27" i="6"/>
  <c r="I28" i="6"/>
  <c r="J29" i="6"/>
  <c r="I33" i="6"/>
  <c r="I40" i="6"/>
  <c r="J43" i="6"/>
  <c r="H53" i="6"/>
  <c r="I56" i="6"/>
  <c r="J59" i="6"/>
  <c r="H69" i="6"/>
  <c r="I72" i="6"/>
  <c r="J75" i="6"/>
  <c r="H85" i="6"/>
  <c r="I88" i="6"/>
  <c r="J91" i="6"/>
  <c r="I106" i="6"/>
  <c r="I110" i="6"/>
  <c r="F149" i="11"/>
  <c r="K78" i="8"/>
  <c r="K80" i="8"/>
  <c r="K83" i="8"/>
  <c r="K85" i="8"/>
  <c r="K87" i="8"/>
  <c r="K95" i="8"/>
  <c r="K97" i="8"/>
  <c r="K100" i="8"/>
  <c r="K102" i="8"/>
  <c r="K104" i="8"/>
  <c r="K112" i="8"/>
  <c r="K114" i="8"/>
  <c r="K117" i="8"/>
  <c r="K119" i="8"/>
  <c r="K121" i="8"/>
  <c r="K129" i="8"/>
  <c r="K131" i="8"/>
  <c r="K134" i="8"/>
  <c r="K136" i="8"/>
  <c r="K138" i="8"/>
  <c r="M157" i="8"/>
  <c r="M159" i="8"/>
  <c r="M161" i="8"/>
  <c r="M164" i="8"/>
  <c r="M166" i="8"/>
  <c r="F183" i="8"/>
  <c r="F185" i="8"/>
  <c r="F187" i="8"/>
  <c r="F190" i="8"/>
  <c r="F192" i="8"/>
  <c r="F243" i="8"/>
  <c r="F245" i="8"/>
  <c r="F248" i="8"/>
  <c r="F250" i="8"/>
  <c r="F252" i="8"/>
  <c r="F260" i="8"/>
  <c r="F262" i="8"/>
  <c r="F265" i="8"/>
  <c r="F267" i="8"/>
  <c r="F269" i="8"/>
  <c r="F374" i="8"/>
  <c r="F376" i="8"/>
  <c r="F379" i="8"/>
  <c r="F381" i="8"/>
  <c r="F383" i="8"/>
  <c r="F150" i="11"/>
  <c r="F152" i="11"/>
  <c r="O18" i="6"/>
  <c r="H26" i="6"/>
  <c r="I27" i="6"/>
  <c r="J28" i="6"/>
  <c r="I30" i="6"/>
  <c r="J34" i="6"/>
  <c r="H41" i="6"/>
  <c r="I44" i="6"/>
  <c r="J47" i="6"/>
  <c r="H57" i="6"/>
  <c r="I60" i="6"/>
  <c r="J63" i="6"/>
  <c r="H73" i="6"/>
  <c r="I76" i="6"/>
  <c r="J79" i="6"/>
  <c r="H89" i="6"/>
  <c r="I103" i="6"/>
  <c r="I107" i="6"/>
  <c r="F77" i="8"/>
  <c r="F79" i="8"/>
  <c r="F81" i="8"/>
  <c r="F84" i="8"/>
  <c r="F86" i="8"/>
  <c r="F94" i="8"/>
  <c r="F96" i="8"/>
  <c r="F98" i="8"/>
  <c r="F101" i="8"/>
  <c r="F103" i="8"/>
  <c r="F111" i="8"/>
  <c r="F113" i="8"/>
  <c r="F115" i="8"/>
  <c r="F118" i="8"/>
  <c r="F120" i="8"/>
  <c r="F128" i="8"/>
  <c r="F130" i="8"/>
  <c r="F132" i="8"/>
  <c r="F135" i="8"/>
  <c r="F137" i="8"/>
  <c r="F158" i="8"/>
  <c r="F160" i="8"/>
  <c r="F163" i="8"/>
  <c r="F165" i="8"/>
  <c r="F167" i="8"/>
  <c r="K183" i="8"/>
  <c r="K185" i="8"/>
  <c r="K187" i="8"/>
  <c r="K190" i="8"/>
  <c r="K192" i="8"/>
  <c r="K243" i="8"/>
  <c r="K245" i="8"/>
  <c r="K248" i="8"/>
  <c r="K250" i="8"/>
  <c r="K252" i="8"/>
  <c r="K260" i="8"/>
  <c r="K262" i="8"/>
  <c r="K265" i="8"/>
  <c r="K267" i="8"/>
  <c r="K269" i="8"/>
  <c r="K374" i="8"/>
  <c r="K376" i="8"/>
  <c r="K379" i="8"/>
  <c r="K381" i="8"/>
  <c r="H111" i="6"/>
  <c r="H110" i="6"/>
  <c r="H109" i="6"/>
  <c r="H108" i="6"/>
  <c r="H107" i="6"/>
  <c r="H106" i="6"/>
  <c r="H105" i="6"/>
  <c r="H104" i="6"/>
  <c r="H103" i="6"/>
  <c r="I91" i="6"/>
  <c r="J90" i="6"/>
  <c r="H88" i="6"/>
  <c r="I87" i="6"/>
  <c r="J86" i="6"/>
  <c r="H84" i="6"/>
  <c r="I83" i="6"/>
  <c r="J82" i="6"/>
  <c r="H80" i="6"/>
  <c r="I79" i="6"/>
  <c r="J78" i="6"/>
  <c r="H76" i="6"/>
  <c r="I75" i="6"/>
  <c r="J74" i="6"/>
  <c r="H72" i="6"/>
  <c r="I71" i="6"/>
  <c r="J70" i="6"/>
  <c r="H68" i="6"/>
  <c r="I67" i="6"/>
  <c r="J66" i="6"/>
  <c r="H64" i="6"/>
  <c r="I63" i="6"/>
  <c r="J62" i="6"/>
  <c r="H60" i="6"/>
  <c r="I59" i="6"/>
  <c r="J58" i="6"/>
  <c r="H56" i="6"/>
  <c r="I55" i="6"/>
  <c r="J54" i="6"/>
  <c r="H52" i="6"/>
  <c r="I51" i="6"/>
  <c r="J50" i="6"/>
  <c r="H48" i="6"/>
  <c r="I47" i="6"/>
  <c r="J46" i="6"/>
  <c r="H44" i="6"/>
  <c r="I43" i="6"/>
  <c r="J42" i="6"/>
  <c r="H40" i="6"/>
  <c r="I39" i="6"/>
  <c r="J38" i="6"/>
  <c r="I34" i="6"/>
  <c r="H33" i="6"/>
  <c r="J31" i="6"/>
  <c r="O111" i="6"/>
  <c r="O110" i="6"/>
  <c r="O109" i="6"/>
  <c r="O108" i="6"/>
  <c r="O107" i="6"/>
  <c r="O106" i="6"/>
  <c r="O105" i="6"/>
  <c r="O104" i="6"/>
  <c r="O103" i="6"/>
  <c r="H91" i="6"/>
  <c r="I90" i="6"/>
  <c r="J89" i="6"/>
  <c r="H87" i="6"/>
  <c r="I86" i="6"/>
  <c r="J85" i="6"/>
  <c r="H83" i="6"/>
  <c r="I82" i="6"/>
  <c r="J81" i="6"/>
  <c r="H79" i="6"/>
  <c r="I78" i="6"/>
  <c r="J77" i="6"/>
  <c r="H75" i="6"/>
  <c r="I74" i="6"/>
  <c r="J73" i="6"/>
  <c r="H71" i="6"/>
  <c r="I70" i="6"/>
  <c r="J69" i="6"/>
  <c r="H67" i="6"/>
  <c r="I66" i="6"/>
  <c r="J65" i="6"/>
  <c r="H63" i="6"/>
  <c r="I62" i="6"/>
  <c r="J61" i="6"/>
  <c r="H59" i="6"/>
  <c r="I58" i="6"/>
  <c r="J57" i="6"/>
  <c r="H55" i="6"/>
  <c r="I54" i="6"/>
  <c r="J53" i="6"/>
  <c r="H51" i="6"/>
  <c r="I50" i="6"/>
  <c r="J49" i="6"/>
  <c r="H47" i="6"/>
  <c r="I46" i="6"/>
  <c r="J45" i="6"/>
  <c r="H43" i="6"/>
  <c r="I42" i="6"/>
  <c r="J41" i="6"/>
  <c r="H39" i="6"/>
  <c r="I38" i="6"/>
  <c r="H34" i="6"/>
  <c r="J32" i="6"/>
  <c r="I31" i="6"/>
  <c r="H30" i="6"/>
  <c r="J111" i="6"/>
  <c r="J110" i="6"/>
  <c r="J109" i="6"/>
  <c r="J108" i="6"/>
  <c r="J107" i="6"/>
  <c r="J106" i="6"/>
  <c r="J105" i="6"/>
  <c r="J104" i="6"/>
  <c r="J103" i="6"/>
  <c r="H90" i="6"/>
  <c r="I89" i="6"/>
  <c r="J88" i="6"/>
  <c r="H86" i="6"/>
  <c r="I85" i="6"/>
  <c r="J84" i="6"/>
  <c r="H82" i="6"/>
  <c r="I81" i="6"/>
  <c r="J80" i="6"/>
  <c r="H78" i="6"/>
  <c r="I77" i="6"/>
  <c r="J76" i="6"/>
  <c r="H74" i="6"/>
  <c r="I73" i="6"/>
  <c r="J72" i="6"/>
  <c r="H70" i="6"/>
  <c r="I69" i="6"/>
  <c r="J68" i="6"/>
  <c r="H66" i="6"/>
  <c r="I65" i="6"/>
  <c r="J64" i="6"/>
  <c r="H62" i="6"/>
  <c r="I61" i="6"/>
  <c r="J60" i="6"/>
  <c r="H58" i="6"/>
  <c r="I57" i="6"/>
  <c r="J56" i="6"/>
  <c r="H54" i="6"/>
  <c r="I53" i="6"/>
  <c r="J52" i="6"/>
  <c r="H50" i="6"/>
  <c r="I49" i="6"/>
  <c r="J48" i="6"/>
  <c r="H46" i="6"/>
  <c r="I45" i="6"/>
  <c r="J44" i="6"/>
  <c r="H42" i="6"/>
  <c r="I41" i="6"/>
  <c r="J40" i="6"/>
  <c r="H38" i="6"/>
  <c r="J33" i="6"/>
  <c r="I32" i="6"/>
  <c r="H31" i="6"/>
  <c r="I26" i="6"/>
  <c r="J27" i="6"/>
  <c r="H29" i="6"/>
  <c r="J30" i="6"/>
  <c r="H45" i="6"/>
  <c r="I48" i="6"/>
  <c r="J51" i="6"/>
  <c r="H61" i="6"/>
  <c r="I64" i="6"/>
  <c r="J67" i="6"/>
  <c r="H77" i="6"/>
  <c r="I80" i="6"/>
  <c r="J83" i="6"/>
  <c r="I104" i="6"/>
  <c r="I108" i="6"/>
  <c r="L38" i="18"/>
  <c r="T131" i="5"/>
  <c r="L129" i="18"/>
  <c r="F191" i="13"/>
  <c r="F192" i="13"/>
  <c r="W167" i="5"/>
  <c r="F193" i="13"/>
  <c r="F190" i="13"/>
  <c r="F194" i="13"/>
  <c r="Y34" i="4"/>
  <c r="Y33" i="4"/>
  <c r="W29" i="4"/>
  <c r="V31" i="4"/>
  <c r="V34" i="4"/>
  <c r="V32" i="4"/>
  <c r="I233" i="15"/>
  <c r="I229" i="15"/>
  <c r="I225" i="15"/>
  <c r="I221" i="15"/>
  <c r="I217" i="15"/>
  <c r="I232" i="15"/>
  <c r="I228" i="15"/>
  <c r="I224" i="15"/>
  <c r="I220" i="15"/>
  <c r="I234" i="15"/>
  <c r="I231" i="15"/>
  <c r="I227" i="15"/>
  <c r="I223" i="15"/>
  <c r="I219" i="15"/>
  <c r="I230" i="15"/>
  <c r="I226" i="15"/>
  <c r="I222" i="15"/>
  <c r="I218" i="15"/>
  <c r="H28" i="4"/>
  <c r="H37" i="4"/>
  <c r="K136" i="18"/>
  <c r="K137" i="18"/>
  <c r="K134" i="18"/>
  <c r="K41" i="18"/>
  <c r="L26" i="18"/>
  <c r="L51" i="18"/>
  <c r="L31" i="18"/>
  <c r="K52" i="18"/>
  <c r="L53" i="18"/>
  <c r="L58" i="18"/>
  <c r="L37" i="18"/>
  <c r="L41" i="18"/>
  <c r="K12" i="18"/>
  <c r="L27" i="18"/>
  <c r="K29" i="18"/>
  <c r="K92" i="18"/>
  <c r="K23" i="18"/>
  <c r="K194" i="18"/>
  <c r="K130" i="18"/>
  <c r="M7" i="20"/>
  <c r="G236" i="15"/>
  <c r="H236" i="15" s="1"/>
  <c r="G235" i="15"/>
  <c r="H235" i="15" s="1"/>
  <c r="I235" i="15" s="1"/>
  <c r="K127" i="20" s="1"/>
  <c r="N125" i="20" s="1"/>
  <c r="L24" i="11"/>
  <c r="L25" i="11"/>
  <c r="L26" i="11"/>
  <c r="L23" i="11"/>
  <c r="J54" i="2"/>
  <c r="N292" i="9" s="1"/>
  <c r="G33" i="20"/>
  <c r="I127" i="6"/>
  <c r="L66" i="2"/>
  <c r="O51" i="8" s="1"/>
  <c r="E77" i="17"/>
  <c r="F126" i="6"/>
  <c r="J47" i="2"/>
  <c r="C63" i="2"/>
  <c r="J122" i="14" s="1"/>
  <c r="G130" i="14" s="1"/>
  <c r="O61" i="2"/>
  <c r="J64" i="2"/>
  <c r="O56" i="2"/>
  <c r="F33" i="6"/>
  <c r="O62" i="2"/>
  <c r="U29" i="6"/>
  <c r="L29" i="6"/>
  <c r="R29" i="6"/>
  <c r="O29" i="6"/>
  <c r="AE8" i="18"/>
  <c r="Y8" i="18"/>
  <c r="F31" i="6"/>
  <c r="O60" i="2"/>
  <c r="L32" i="6"/>
  <c r="O32" i="6"/>
  <c r="U32" i="6"/>
  <c r="R32" i="6"/>
  <c r="S25" i="6"/>
  <c r="L63" i="11"/>
  <c r="G16" i="20"/>
  <c r="P34" i="15" l="1"/>
  <c r="J42" i="15"/>
  <c r="J34" i="15"/>
  <c r="L34" i="15"/>
  <c r="Q34" i="15"/>
  <c r="Q36" i="15" s="1"/>
  <c r="J14" i="6" s="1"/>
  <c r="M34" i="15"/>
  <c r="M36" i="15" s="1"/>
  <c r="P59" i="15"/>
  <c r="P60" i="15" s="1"/>
  <c r="I18" i="6" s="1"/>
  <c r="L59" i="15"/>
  <c r="L60" i="15" s="1"/>
  <c r="I59" i="15"/>
  <c r="I60" i="15" s="1"/>
  <c r="N59" i="15"/>
  <c r="N60" i="15" s="1"/>
  <c r="P40" i="15"/>
  <c r="P42" i="15" s="1"/>
  <c r="I15" i="6" s="1"/>
  <c r="I40" i="15"/>
  <c r="N40" i="15"/>
  <c r="N42" i="15" s="1"/>
  <c r="P16" i="15"/>
  <c r="L16" i="15"/>
  <c r="N34" i="15"/>
  <c r="O34" i="15"/>
  <c r="O36" i="15" s="1"/>
  <c r="H14" i="6" s="1"/>
  <c r="K34" i="15"/>
  <c r="K36" i="15" s="1"/>
  <c r="P35" i="15"/>
  <c r="P36" i="15" s="1"/>
  <c r="I14" i="6" s="1"/>
  <c r="L35" i="15"/>
  <c r="L36" i="15" s="1"/>
  <c r="X33" i="4"/>
  <c r="M59" i="15"/>
  <c r="M60" i="15" s="1"/>
  <c r="K59" i="15"/>
  <c r="K60" i="15" s="1"/>
  <c r="N36" i="15"/>
  <c r="L40" i="15"/>
  <c r="L42" i="15" s="1"/>
  <c r="M11" i="15"/>
  <c r="M40" i="15"/>
  <c r="K40" i="15"/>
  <c r="K42" i="15" s="1"/>
  <c r="N29" i="15"/>
  <c r="O29" i="15"/>
  <c r="K29" i="15"/>
  <c r="Q23" i="15"/>
  <c r="N23" i="15"/>
  <c r="K23" i="15"/>
  <c r="J23" i="15"/>
  <c r="O23" i="15"/>
  <c r="X32" i="4"/>
  <c r="Q59" i="15"/>
  <c r="O59" i="15"/>
  <c r="O60" i="15" s="1"/>
  <c r="H18" i="6" s="1"/>
  <c r="Q40" i="15"/>
  <c r="Q42" i="15" s="1"/>
  <c r="J15" i="6" s="1"/>
  <c r="N53" i="15"/>
  <c r="O53" i="15"/>
  <c r="K53" i="15"/>
  <c r="W118" i="5"/>
  <c r="F67" i="10"/>
  <c r="F68" i="10"/>
  <c r="CA8" i="22"/>
  <c r="BM8" i="22" s="1"/>
  <c r="CD8" i="22"/>
  <c r="J292" i="9"/>
  <c r="G300" i="9" s="1"/>
  <c r="F292" i="9" s="1"/>
  <c r="F293" i="9" s="1"/>
  <c r="F15" i="10"/>
  <c r="F45" i="10"/>
  <c r="F44" i="10"/>
  <c r="F47" i="10"/>
  <c r="W116" i="5"/>
  <c r="F43" i="10"/>
  <c r="F46" i="10"/>
  <c r="W113" i="5"/>
  <c r="Z113" i="5" s="1"/>
  <c r="AD113" i="5" s="1"/>
  <c r="F16" i="10"/>
  <c r="F18" i="10"/>
  <c r="F17" i="10"/>
  <c r="H284" i="5"/>
  <c r="F47" i="13"/>
  <c r="F46" i="13"/>
  <c r="F45" i="13"/>
  <c r="W152" i="5"/>
  <c r="F49" i="13"/>
  <c r="F48" i="13"/>
  <c r="F122" i="14"/>
  <c r="F127" i="14" s="1"/>
  <c r="P10" i="15"/>
  <c r="P12" i="15" s="1"/>
  <c r="I10" i="6" s="1"/>
  <c r="L10" i="15"/>
  <c r="L12" i="15" s="1"/>
  <c r="O10" i="15"/>
  <c r="O12" i="15" s="1"/>
  <c r="H10" i="6" s="1"/>
  <c r="K10" i="15"/>
  <c r="K12" i="15" s="1"/>
  <c r="N10" i="15"/>
  <c r="N12" i="15" s="1"/>
  <c r="M10" i="15"/>
  <c r="M12" i="15" s="1"/>
  <c r="J10" i="15"/>
  <c r="J12" i="15" s="1"/>
  <c r="Q10" i="15"/>
  <c r="Q12" i="15" s="1"/>
  <c r="J10" i="6" s="1"/>
  <c r="I10" i="15"/>
  <c r="I12" i="15" s="1"/>
  <c r="F45" i="20"/>
  <c r="F47" i="20" s="1"/>
  <c r="J63" i="11"/>
  <c r="Q52" i="15"/>
  <c r="Q54" i="15" s="1"/>
  <c r="J17" i="6" s="1"/>
  <c r="M52" i="15"/>
  <c r="M54" i="15" s="1"/>
  <c r="I52" i="15"/>
  <c r="I54" i="15" s="1"/>
  <c r="P52" i="15"/>
  <c r="P54" i="15" s="1"/>
  <c r="I17" i="6" s="1"/>
  <c r="L52" i="15"/>
  <c r="L54" i="15" s="1"/>
  <c r="O52" i="15"/>
  <c r="K52" i="15"/>
  <c r="N52" i="15"/>
  <c r="N54" i="15" s="1"/>
  <c r="J52" i="15"/>
  <c r="J54" i="15" s="1"/>
  <c r="Q28" i="15"/>
  <c r="Q30" i="15" s="1"/>
  <c r="J13" i="6" s="1"/>
  <c r="M28" i="15"/>
  <c r="M30" i="15" s="1"/>
  <c r="I28" i="15"/>
  <c r="I30" i="15" s="1"/>
  <c r="P28" i="15"/>
  <c r="P30" i="15" s="1"/>
  <c r="I13" i="6" s="1"/>
  <c r="L28" i="15"/>
  <c r="L30" i="15" s="1"/>
  <c r="O28" i="15"/>
  <c r="O30" i="15" s="1"/>
  <c r="H13" i="6" s="1"/>
  <c r="K28" i="15"/>
  <c r="K30" i="15" s="1"/>
  <c r="N28" i="15"/>
  <c r="J28" i="15"/>
  <c r="J30" i="15" s="1"/>
  <c r="J36" i="15"/>
  <c r="P22" i="15"/>
  <c r="P24" i="15" s="1"/>
  <c r="I12" i="6" s="1"/>
  <c r="L22" i="15"/>
  <c r="L24" i="15" s="1"/>
  <c r="O22" i="15"/>
  <c r="K22" i="15"/>
  <c r="K24" i="15" s="1"/>
  <c r="N22" i="15"/>
  <c r="N24" i="15" s="1"/>
  <c r="J22" i="15"/>
  <c r="J24" i="15" s="1"/>
  <c r="I22" i="15"/>
  <c r="I24" i="15" s="1"/>
  <c r="Q22" i="15"/>
  <c r="M22" i="15"/>
  <c r="M24" i="15" s="1"/>
  <c r="Q47" i="15"/>
  <c r="Q48" i="15" s="1"/>
  <c r="J16" i="6" s="1"/>
  <c r="M47" i="15"/>
  <c r="M48" i="15" s="1"/>
  <c r="I47" i="15"/>
  <c r="I48" i="15" s="1"/>
  <c r="P47" i="15"/>
  <c r="P48" i="15" s="1"/>
  <c r="I16" i="6" s="1"/>
  <c r="L47" i="15"/>
  <c r="L48" i="15" s="1"/>
  <c r="O47" i="15"/>
  <c r="O48" i="15" s="1"/>
  <c r="H16" i="6" s="1"/>
  <c r="K47" i="15"/>
  <c r="N47" i="15"/>
  <c r="N48" i="15" s="1"/>
  <c r="J47" i="15"/>
  <c r="J48" i="15" s="1"/>
  <c r="I42" i="15"/>
  <c r="P17" i="15"/>
  <c r="L17" i="15"/>
  <c r="L18" i="15" s="1"/>
  <c r="J17" i="15"/>
  <c r="J18" i="15" s="1"/>
  <c r="O17" i="15"/>
  <c r="O18" i="15" s="1"/>
  <c r="H11" i="6" s="1"/>
  <c r="K17" i="15"/>
  <c r="K18" i="15" s="1"/>
  <c r="N17" i="15"/>
  <c r="N18" i="15" s="1"/>
  <c r="M17" i="15"/>
  <c r="M18" i="15" s="1"/>
  <c r="I17" i="15"/>
  <c r="Q17" i="15"/>
  <c r="Q18" i="15" s="1"/>
  <c r="J11" i="6" s="1"/>
  <c r="Q60" i="15"/>
  <c r="J18" i="6" s="1"/>
  <c r="K48" i="15"/>
  <c r="I18" i="15"/>
  <c r="M42" i="15"/>
  <c r="H117" i="20"/>
  <c r="T113" i="20"/>
  <c r="N49" i="2"/>
  <c r="F27" i="6" s="1"/>
  <c r="R27" i="6" s="1"/>
  <c r="O30" i="6"/>
  <c r="L30" i="6"/>
  <c r="U30" i="6"/>
  <c r="O57" i="2"/>
  <c r="L16" i="18"/>
  <c r="K125" i="18"/>
  <c r="N47" i="2"/>
  <c r="F26" i="6" s="1"/>
  <c r="E87" i="17"/>
  <c r="O95" i="15"/>
  <c r="U96" i="15" s="1"/>
  <c r="J90" i="3"/>
  <c r="N188" i="15"/>
  <c r="J120" i="6"/>
  <c r="H113" i="20"/>
  <c r="U7" i="6"/>
  <c r="F13" i="6" s="1"/>
  <c r="L49" i="6"/>
  <c r="L65" i="6"/>
  <c r="J113" i="20"/>
  <c r="N64" i="2"/>
  <c r="O64" i="2" s="1"/>
  <c r="I236" i="15"/>
  <c r="L127" i="20" s="1"/>
  <c r="P125" i="20" s="1"/>
  <c r="I120" i="6"/>
  <c r="L81" i="6"/>
  <c r="O46" i="6"/>
  <c r="L46" i="6"/>
  <c r="O39" i="6"/>
  <c r="L39" i="6"/>
  <c r="O78" i="6"/>
  <c r="L78" i="6"/>
  <c r="O55" i="6"/>
  <c r="L55" i="6"/>
  <c r="O64" i="6"/>
  <c r="L64" i="6"/>
  <c r="O42" i="6"/>
  <c r="L42" i="6"/>
  <c r="O58" i="6"/>
  <c r="L58" i="6"/>
  <c r="O74" i="6"/>
  <c r="L74" i="6"/>
  <c r="O90" i="6"/>
  <c r="L90" i="6"/>
  <c r="O51" i="6"/>
  <c r="L51" i="6"/>
  <c r="O67" i="6"/>
  <c r="L67" i="6"/>
  <c r="O83" i="6"/>
  <c r="L83" i="6"/>
  <c r="O44" i="6"/>
  <c r="L44" i="6"/>
  <c r="O60" i="6"/>
  <c r="L60" i="6"/>
  <c r="O76" i="6"/>
  <c r="L76" i="6"/>
  <c r="L41" i="6"/>
  <c r="O41" i="6"/>
  <c r="O87" i="6"/>
  <c r="L87" i="6"/>
  <c r="L45" i="6"/>
  <c r="O45" i="6"/>
  <c r="O38" i="6"/>
  <c r="L38" i="6"/>
  <c r="O54" i="6"/>
  <c r="L54" i="6"/>
  <c r="O70" i="6"/>
  <c r="L70" i="6"/>
  <c r="O86" i="6"/>
  <c r="L86" i="6"/>
  <c r="O47" i="6"/>
  <c r="L47" i="6"/>
  <c r="O63" i="6"/>
  <c r="L63" i="6"/>
  <c r="O79" i="6"/>
  <c r="L79" i="6"/>
  <c r="O40" i="6"/>
  <c r="L40" i="6"/>
  <c r="O56" i="6"/>
  <c r="L56" i="6"/>
  <c r="O72" i="6"/>
  <c r="L72" i="6"/>
  <c r="O88" i="6"/>
  <c r="L88" i="6"/>
  <c r="L57" i="6"/>
  <c r="O57" i="6"/>
  <c r="L53" i="6"/>
  <c r="O53" i="6"/>
  <c r="L77" i="6"/>
  <c r="O77" i="6"/>
  <c r="O62" i="6"/>
  <c r="L62" i="6"/>
  <c r="O71" i="6"/>
  <c r="L71" i="6"/>
  <c r="O48" i="6"/>
  <c r="L48" i="6"/>
  <c r="O80" i="6"/>
  <c r="L80" i="6"/>
  <c r="L89" i="6"/>
  <c r="O89" i="6"/>
  <c r="L61" i="6"/>
  <c r="O61" i="6"/>
  <c r="O50" i="6"/>
  <c r="L50" i="6"/>
  <c r="O66" i="6"/>
  <c r="L66" i="6"/>
  <c r="O82" i="6"/>
  <c r="L82" i="6"/>
  <c r="O43" i="6"/>
  <c r="L43" i="6"/>
  <c r="O59" i="6"/>
  <c r="L59" i="6"/>
  <c r="O75" i="6"/>
  <c r="L75" i="6"/>
  <c r="O91" i="6"/>
  <c r="L91" i="6"/>
  <c r="O52" i="6"/>
  <c r="L52" i="6"/>
  <c r="O68" i="6"/>
  <c r="L68" i="6"/>
  <c r="O84" i="6"/>
  <c r="L84" i="6"/>
  <c r="L73" i="6"/>
  <c r="O73" i="6"/>
  <c r="L85" i="6"/>
  <c r="O85" i="6"/>
  <c r="L69" i="6"/>
  <c r="O69" i="6"/>
  <c r="W34" i="4"/>
  <c r="W33" i="4"/>
  <c r="W32" i="4"/>
  <c r="J15" i="20"/>
  <c r="G35" i="20"/>
  <c r="N54" i="2"/>
  <c r="J66" i="2"/>
  <c r="C19" i="2"/>
  <c r="S24" i="6"/>
  <c r="O31" i="6"/>
  <c r="L31" i="6"/>
  <c r="R31" i="6" s="1"/>
  <c r="U31" i="6"/>
  <c r="U33" i="6"/>
  <c r="O33" i="6"/>
  <c r="L33" i="6"/>
  <c r="R33" i="6"/>
  <c r="N30" i="15" l="1"/>
  <c r="O24" i="15"/>
  <c r="H12" i="6" s="1"/>
  <c r="K54" i="15"/>
  <c r="P18" i="15"/>
  <c r="I11" i="6" s="1"/>
  <c r="O54" i="15"/>
  <c r="H17" i="6" s="1"/>
  <c r="Q24" i="15"/>
  <c r="J12" i="6" s="1"/>
  <c r="J312" i="9"/>
  <c r="N312" i="9"/>
  <c r="G320" i="9" s="1"/>
  <c r="F312" i="9" s="1"/>
  <c r="O274" i="9"/>
  <c r="F124" i="14"/>
  <c r="F123" i="14"/>
  <c r="F125" i="14"/>
  <c r="W181" i="5"/>
  <c r="F126" i="14"/>
  <c r="F54" i="20"/>
  <c r="F56" i="20" s="1"/>
  <c r="CA7" i="22"/>
  <c r="BW7" i="22"/>
  <c r="BS7" i="22"/>
  <c r="BZ7" i="22"/>
  <c r="BV7" i="22"/>
  <c r="BY7" i="22"/>
  <c r="BU7" i="22"/>
  <c r="BX7" i="22"/>
  <c r="BT7" i="22"/>
  <c r="BR7" i="22"/>
  <c r="H16" i="20"/>
  <c r="H15" i="20"/>
  <c r="H118" i="20"/>
  <c r="J93" i="20" s="1"/>
  <c r="P93" i="20"/>
  <c r="H118" i="6" s="1"/>
  <c r="H32" i="20"/>
  <c r="H33" i="20"/>
  <c r="O47" i="2"/>
  <c r="O49" i="2"/>
  <c r="O27" i="6"/>
  <c r="L27" i="6"/>
  <c r="U27" i="6"/>
  <c r="K64" i="2"/>
  <c r="E17" i="21"/>
  <c r="O66" i="2"/>
  <c r="G21" i="11"/>
  <c r="R209" i="15"/>
  <c r="R190" i="15"/>
  <c r="L97" i="20" s="1"/>
  <c r="R194" i="15"/>
  <c r="L101" i="20" s="1"/>
  <c r="R198" i="15"/>
  <c r="L105" i="20" s="1"/>
  <c r="R202" i="15"/>
  <c r="L109" i="20" s="1"/>
  <c r="R197" i="15"/>
  <c r="L104" i="20" s="1"/>
  <c r="R191" i="15"/>
  <c r="L98" i="20" s="1"/>
  <c r="R195" i="15"/>
  <c r="L102" i="20" s="1"/>
  <c r="R199" i="15"/>
  <c r="L106" i="20" s="1"/>
  <c r="R203" i="15"/>
  <c r="L110" i="20" s="1"/>
  <c r="R193" i="15"/>
  <c r="L100" i="20" s="1"/>
  <c r="R205" i="15"/>
  <c r="L112" i="20" s="1"/>
  <c r="R192" i="15"/>
  <c r="L99" i="20" s="1"/>
  <c r="R196" i="15"/>
  <c r="L103" i="20" s="1"/>
  <c r="R200" i="15"/>
  <c r="L107" i="20" s="1"/>
  <c r="R204" i="15"/>
  <c r="L111" i="20" s="1"/>
  <c r="R201" i="15"/>
  <c r="L108" i="20" s="1"/>
  <c r="F11" i="6"/>
  <c r="F44" i="6" s="1"/>
  <c r="K56" i="2"/>
  <c r="I274" i="9"/>
  <c r="F15" i="6"/>
  <c r="F108" i="6" s="1"/>
  <c r="F18" i="6"/>
  <c r="F111" i="6" s="1"/>
  <c r="F17" i="6"/>
  <c r="F110" i="6" s="1"/>
  <c r="O85" i="9"/>
  <c r="F10" i="6"/>
  <c r="F16" i="6"/>
  <c r="F109" i="6" s="1"/>
  <c r="F34" i="6"/>
  <c r="O34" i="6" s="1"/>
  <c r="U34" i="6" s="1"/>
  <c r="F12" i="6"/>
  <c r="F50" i="6" s="1"/>
  <c r="K49" i="2"/>
  <c r="F14" i="6"/>
  <c r="F107" i="6" s="1"/>
  <c r="D62" i="16"/>
  <c r="J126" i="6"/>
  <c r="R208" i="15"/>
  <c r="J121" i="6" s="1"/>
  <c r="H34" i="20"/>
  <c r="F118" i="6"/>
  <c r="H120" i="6"/>
  <c r="I126" i="6"/>
  <c r="K66" i="2"/>
  <c r="K62" i="2"/>
  <c r="M131" i="9"/>
  <c r="K47" i="20"/>
  <c r="V45" i="20" s="1"/>
  <c r="W44" i="20" s="1"/>
  <c r="X44" i="20" s="1"/>
  <c r="K60" i="2"/>
  <c r="F28" i="6"/>
  <c r="O54" i="2"/>
  <c r="K61" i="2"/>
  <c r="K57" i="2"/>
  <c r="E17" i="4"/>
  <c r="L274" i="9"/>
  <c r="K47" i="2"/>
  <c r="K54" i="2"/>
  <c r="M183" i="9"/>
  <c r="D6" i="16"/>
  <c r="E6" i="16" s="1"/>
  <c r="Z7" i="18"/>
  <c r="X7" i="18"/>
  <c r="AB7" i="18"/>
  <c r="AA7" i="18"/>
  <c r="V7" i="18"/>
  <c r="M51" i="8"/>
  <c r="D6" i="17"/>
  <c r="E6" i="17" s="1"/>
  <c r="E78" i="17" s="1"/>
  <c r="W7" i="18"/>
  <c r="U7" i="18"/>
  <c r="T7" i="18"/>
  <c r="Y7" i="18"/>
  <c r="S7" i="18"/>
  <c r="F56" i="6"/>
  <c r="F106" i="6"/>
  <c r="O33" i="11"/>
  <c r="O26" i="6"/>
  <c r="U26" i="6" s="1"/>
  <c r="G282" i="9" l="1"/>
  <c r="F274" i="9" s="1"/>
  <c r="G27" i="11"/>
  <c r="G26" i="11"/>
  <c r="BJ7" i="22"/>
  <c r="AS7" i="22"/>
  <c r="AU7" i="22"/>
  <c r="BL7" i="22"/>
  <c r="CC7" i="22"/>
  <c r="AP7" i="22"/>
  <c r="BG7" i="22"/>
  <c r="AN7" i="22"/>
  <c r="BE7" i="22"/>
  <c r="M194" i="22"/>
  <c r="G194" i="22" s="1"/>
  <c r="M193" i="22"/>
  <c r="G193" i="22" s="1"/>
  <c r="I192" i="22" s="1"/>
  <c r="M89" i="22"/>
  <c r="G89" i="22" s="1"/>
  <c r="M180" i="22"/>
  <c r="G180" i="22" s="1"/>
  <c r="M175" i="22"/>
  <c r="G175" i="22" s="1"/>
  <c r="M170" i="22"/>
  <c r="G170" i="22" s="1"/>
  <c r="M117" i="22"/>
  <c r="G117" i="22" s="1"/>
  <c r="M135" i="22"/>
  <c r="G135" i="22" s="1"/>
  <c r="M107" i="22"/>
  <c r="G107" i="22" s="1"/>
  <c r="M90" i="22"/>
  <c r="G90" i="22" s="1"/>
  <c r="M103" i="22"/>
  <c r="G103" i="22" s="1"/>
  <c r="M82" i="22"/>
  <c r="G82" i="22" s="1"/>
  <c r="M37" i="22"/>
  <c r="G37" i="22" s="1"/>
  <c r="I36" i="22" s="1"/>
  <c r="M38" i="22"/>
  <c r="G38" i="22" s="1"/>
  <c r="M12" i="22"/>
  <c r="G12" i="22" s="1"/>
  <c r="I11" i="22" s="1"/>
  <c r="M19" i="22"/>
  <c r="G19" i="22" s="1"/>
  <c r="M27" i="22"/>
  <c r="G27" i="22" s="1"/>
  <c r="M191" i="22"/>
  <c r="G191" i="22" s="1"/>
  <c r="M116" i="22"/>
  <c r="G116" i="22" s="1"/>
  <c r="M167" i="22"/>
  <c r="G167" i="22" s="1"/>
  <c r="M156" i="22"/>
  <c r="G156" i="22" s="1"/>
  <c r="M111" i="22"/>
  <c r="G111" i="22" s="1"/>
  <c r="M124" i="22"/>
  <c r="G124" i="22" s="1"/>
  <c r="M93" i="22"/>
  <c r="G93" i="22" s="1"/>
  <c r="M84" i="22"/>
  <c r="G84" i="22" s="1"/>
  <c r="M54" i="22"/>
  <c r="G54" i="22" s="1"/>
  <c r="M26" i="22"/>
  <c r="G26" i="22" s="1"/>
  <c r="M20" i="22"/>
  <c r="G20" i="22" s="1"/>
  <c r="M178" i="22"/>
  <c r="G178" i="22" s="1"/>
  <c r="I177" i="22" s="1"/>
  <c r="M165" i="22"/>
  <c r="G165" i="22" s="1"/>
  <c r="M127" i="22"/>
  <c r="G127" i="22" s="1"/>
  <c r="I126" i="22" s="1"/>
  <c r="M99" i="22"/>
  <c r="G99" i="22" s="1"/>
  <c r="M75" i="22"/>
  <c r="G75" i="22" s="1"/>
  <c r="M68" i="22"/>
  <c r="G68" i="22" s="1"/>
  <c r="M42" i="22"/>
  <c r="G42" i="22" s="1"/>
  <c r="M29" i="22"/>
  <c r="G29" i="22" s="1"/>
  <c r="BD7" i="22"/>
  <c r="M18" i="22"/>
  <c r="G18" i="22" s="1"/>
  <c r="M16" i="22"/>
  <c r="G16" i="22" s="1"/>
  <c r="M48" i="22"/>
  <c r="G48" i="22" s="1"/>
  <c r="AM7" i="22"/>
  <c r="M192" i="22"/>
  <c r="G192" i="22" s="1"/>
  <c r="M144" i="22"/>
  <c r="G144" i="22" s="1"/>
  <c r="M172" i="22"/>
  <c r="G172" i="22" s="1"/>
  <c r="M161" i="22"/>
  <c r="G161" i="22" s="1"/>
  <c r="M160" i="22"/>
  <c r="G160" i="22" s="1"/>
  <c r="M131" i="22"/>
  <c r="G131" i="22" s="1"/>
  <c r="M97" i="22"/>
  <c r="G97" i="22" s="1"/>
  <c r="M138" i="22"/>
  <c r="G138" i="22" s="1"/>
  <c r="M113" i="22"/>
  <c r="G113" i="22" s="1"/>
  <c r="M59" i="22"/>
  <c r="G59" i="22" s="1"/>
  <c r="M72" i="22"/>
  <c r="G72" i="22" s="1"/>
  <c r="M78" i="22"/>
  <c r="G78" i="22" s="1"/>
  <c r="M43" i="22"/>
  <c r="G43" i="22" s="1"/>
  <c r="M14" i="22"/>
  <c r="G14" i="22" s="1"/>
  <c r="M179" i="22"/>
  <c r="G179" i="22" s="1"/>
  <c r="M31" i="22"/>
  <c r="G31" i="22" s="1"/>
  <c r="M17" i="22"/>
  <c r="G17" i="22" s="1"/>
  <c r="M49" i="22"/>
  <c r="G49" i="22" s="1"/>
  <c r="M76" i="22"/>
  <c r="G76" i="22" s="1"/>
  <c r="M101" i="22"/>
  <c r="G101" i="22" s="1"/>
  <c r="M152" i="22"/>
  <c r="G152" i="22" s="1"/>
  <c r="M104" i="22"/>
  <c r="G104" i="22" s="1"/>
  <c r="M149" i="22"/>
  <c r="G149" i="22" s="1"/>
  <c r="I148" i="22" s="1"/>
  <c r="M184" i="22"/>
  <c r="G184" i="22" s="1"/>
  <c r="M52" i="22"/>
  <c r="G52" i="22" s="1"/>
  <c r="M88" i="22"/>
  <c r="G88" i="22" s="1"/>
  <c r="M164" i="22"/>
  <c r="G164" i="22" s="1"/>
  <c r="M147" i="22"/>
  <c r="G147" i="22" s="1"/>
  <c r="M166" i="22"/>
  <c r="G166" i="22" s="1"/>
  <c r="M182" i="22"/>
  <c r="G182" i="22" s="1"/>
  <c r="M128" i="22"/>
  <c r="G128" i="22" s="1"/>
  <c r="M34" i="22"/>
  <c r="G34" i="22" s="1"/>
  <c r="M56" i="22"/>
  <c r="G56" i="22" s="1"/>
  <c r="M87" i="22"/>
  <c r="G87" i="22" s="1"/>
  <c r="M122" i="22"/>
  <c r="G122" i="22" s="1"/>
  <c r="M177" i="22"/>
  <c r="G177" i="22" s="1"/>
  <c r="M142" i="22"/>
  <c r="G142" i="22" s="1"/>
  <c r="M28" i="22"/>
  <c r="G28" i="22" s="1"/>
  <c r="M40" i="22"/>
  <c r="G40" i="22" s="1"/>
  <c r="M80" i="22"/>
  <c r="G80" i="22" s="1"/>
  <c r="I79" i="22" s="1"/>
  <c r="M98" i="22"/>
  <c r="G98" i="22" s="1"/>
  <c r="M126" i="22"/>
  <c r="G126" i="22" s="1"/>
  <c r="M137" i="22"/>
  <c r="G137" i="22" s="1"/>
  <c r="M151" i="22"/>
  <c r="G151" i="22" s="1"/>
  <c r="M110" i="22"/>
  <c r="G110" i="22" s="1"/>
  <c r="M169" i="22"/>
  <c r="G169" i="22" s="1"/>
  <c r="I168" i="22" s="1"/>
  <c r="M74" i="22"/>
  <c r="G74" i="22" s="1"/>
  <c r="M190" i="22"/>
  <c r="G190" i="22" s="1"/>
  <c r="M108" i="22"/>
  <c r="G108" i="22" s="1"/>
  <c r="M134" i="22"/>
  <c r="G134" i="22" s="1"/>
  <c r="M11" i="22"/>
  <c r="G11" i="22" s="1"/>
  <c r="M33" i="22"/>
  <c r="G33" i="22" s="1"/>
  <c r="I32" i="22" s="1"/>
  <c r="M51" i="22"/>
  <c r="G51" i="22" s="1"/>
  <c r="M32" i="22"/>
  <c r="G32" i="22" s="1"/>
  <c r="M86" i="22"/>
  <c r="G86" i="22" s="1"/>
  <c r="M129" i="22"/>
  <c r="G129" i="22" s="1"/>
  <c r="M146" i="22"/>
  <c r="G146" i="22" s="1"/>
  <c r="M168" i="22"/>
  <c r="G168" i="22" s="1"/>
  <c r="M112" i="22"/>
  <c r="G112" i="22" s="1"/>
  <c r="M45" i="22"/>
  <c r="G45" i="22" s="1"/>
  <c r="I44" i="22" s="1"/>
  <c r="M100" i="22"/>
  <c r="G100" i="22" s="1"/>
  <c r="M105" i="22"/>
  <c r="G105" i="22" s="1"/>
  <c r="M157" i="22"/>
  <c r="G157" i="22" s="1"/>
  <c r="M186" i="22"/>
  <c r="G186" i="22" s="1"/>
  <c r="M162" i="22"/>
  <c r="G162" i="22" s="1"/>
  <c r="M50" i="22"/>
  <c r="G50" i="22" s="1"/>
  <c r="I49" i="22" s="1"/>
  <c r="M61" i="22"/>
  <c r="G61" i="22" s="1"/>
  <c r="M154" i="22"/>
  <c r="G154" i="22" s="1"/>
  <c r="M102" i="22"/>
  <c r="G102" i="22" s="1"/>
  <c r="I101" i="22" s="1"/>
  <c r="M187" i="22"/>
  <c r="G187" i="22" s="1"/>
  <c r="M44" i="22"/>
  <c r="G44" i="22" s="1"/>
  <c r="M47" i="22"/>
  <c r="G47" i="22" s="1"/>
  <c r="M39" i="22"/>
  <c r="G39" i="22" s="1"/>
  <c r="M73" i="22"/>
  <c r="G73" i="22" s="1"/>
  <c r="M70" i="22"/>
  <c r="G70" i="22" s="1"/>
  <c r="M136" i="22"/>
  <c r="G136" i="22" s="1"/>
  <c r="M153" i="22"/>
  <c r="G153" i="22" s="1"/>
  <c r="M176" i="22"/>
  <c r="G176" i="22" s="1"/>
  <c r="M183" i="22"/>
  <c r="G183" i="22" s="1"/>
  <c r="M120" i="22"/>
  <c r="G120" i="22" s="1"/>
  <c r="M163" i="22"/>
  <c r="G163" i="22" s="1"/>
  <c r="M188" i="22"/>
  <c r="G188" i="22" s="1"/>
  <c r="M155" i="22"/>
  <c r="G155" i="22" s="1"/>
  <c r="M64" i="22"/>
  <c r="G64" i="22" s="1"/>
  <c r="M130" i="22"/>
  <c r="G130" i="22" s="1"/>
  <c r="I129" i="22" s="1"/>
  <c r="M21" i="22"/>
  <c r="G21" i="22" s="1"/>
  <c r="M9" i="22"/>
  <c r="G9" i="22" s="1"/>
  <c r="M30" i="22"/>
  <c r="G30" i="22" s="1"/>
  <c r="M55" i="22"/>
  <c r="G55" i="22" s="1"/>
  <c r="I54" i="22" s="1"/>
  <c r="M79" i="22"/>
  <c r="G79" i="22" s="1"/>
  <c r="M159" i="22"/>
  <c r="G159" i="22" s="1"/>
  <c r="I158" i="22" s="1"/>
  <c r="M150" i="22"/>
  <c r="G150" i="22" s="1"/>
  <c r="M35" i="22"/>
  <c r="G35" i="22" s="1"/>
  <c r="M46" i="22"/>
  <c r="G46" i="22" s="1"/>
  <c r="M91" i="22"/>
  <c r="G91" i="22" s="1"/>
  <c r="M121" i="22"/>
  <c r="G121" i="22" s="1"/>
  <c r="M139" i="22"/>
  <c r="G139" i="22" s="1"/>
  <c r="I138" i="22" s="1"/>
  <c r="M143" i="22"/>
  <c r="G143" i="22" s="1"/>
  <c r="I142" i="22" s="1"/>
  <c r="M171" i="22"/>
  <c r="G171" i="22" s="1"/>
  <c r="M145" i="22"/>
  <c r="G145" i="22" s="1"/>
  <c r="M125" i="22"/>
  <c r="G125" i="22" s="1"/>
  <c r="I124" i="22" s="1"/>
  <c r="M60" i="22"/>
  <c r="G60" i="22" s="1"/>
  <c r="M62" i="22"/>
  <c r="G62" i="22" s="1"/>
  <c r="M140" i="22"/>
  <c r="G140" i="22" s="1"/>
  <c r="I139" i="22" s="1"/>
  <c r="M132" i="22"/>
  <c r="G132" i="22" s="1"/>
  <c r="M109" i="22"/>
  <c r="G109" i="22" s="1"/>
  <c r="M15" i="22"/>
  <c r="G15" i="22" s="1"/>
  <c r="I14" i="22" s="1"/>
  <c r="M36" i="22"/>
  <c r="G36" i="22" s="1"/>
  <c r="M53" i="22"/>
  <c r="G53" i="22" s="1"/>
  <c r="M77" i="22"/>
  <c r="G77" i="22" s="1"/>
  <c r="M69" i="22"/>
  <c r="G69" i="22" s="1"/>
  <c r="I68" i="22" s="1"/>
  <c r="M71" i="22"/>
  <c r="G71" i="22" s="1"/>
  <c r="M92" i="22"/>
  <c r="G92" i="22" s="1"/>
  <c r="M114" i="22"/>
  <c r="G114" i="22" s="1"/>
  <c r="I112" i="22" s="1"/>
  <c r="M189" i="22"/>
  <c r="G189" i="22" s="1"/>
  <c r="I188" i="22" s="1"/>
  <c r="M185" i="22"/>
  <c r="G185" i="22" s="1"/>
  <c r="I184" i="22" s="1"/>
  <c r="M24" i="22"/>
  <c r="G24" i="22" s="1"/>
  <c r="M148" i="22"/>
  <c r="G148" i="22" s="1"/>
  <c r="M118" i="22"/>
  <c r="G118" i="22" s="1"/>
  <c r="I117" i="22" s="1"/>
  <c r="M13" i="22"/>
  <c r="G13" i="22" s="1"/>
  <c r="M41" i="22"/>
  <c r="G41" i="22" s="1"/>
  <c r="I40" i="22" s="1"/>
  <c r="M63" i="22"/>
  <c r="G63" i="22" s="1"/>
  <c r="M57" i="22"/>
  <c r="G57" i="22" s="1"/>
  <c r="M141" i="22"/>
  <c r="G141" i="22" s="1"/>
  <c r="M96" i="22"/>
  <c r="G96" i="22" s="1"/>
  <c r="M23" i="22"/>
  <c r="G23" i="22" s="1"/>
  <c r="M119" i="22"/>
  <c r="G119" i="22" s="1"/>
  <c r="M95" i="22"/>
  <c r="G95" i="22" s="1"/>
  <c r="M65" i="22"/>
  <c r="G65" i="22" s="1"/>
  <c r="I64" i="22" s="1"/>
  <c r="M94" i="22"/>
  <c r="G94" i="22" s="1"/>
  <c r="I93" i="22" s="1"/>
  <c r="M158" i="22"/>
  <c r="G158" i="22" s="1"/>
  <c r="M81" i="22"/>
  <c r="G81" i="22" s="1"/>
  <c r="M58" i="22"/>
  <c r="G58" i="22" s="1"/>
  <c r="M66" i="22"/>
  <c r="G66" i="22" s="1"/>
  <c r="M115" i="22"/>
  <c r="G115" i="22" s="1"/>
  <c r="I114" i="22" s="1"/>
  <c r="D115" i="22" s="1"/>
  <c r="M10" i="22"/>
  <c r="G10" i="22" s="1"/>
  <c r="M83" i="22"/>
  <c r="G83" i="22" s="1"/>
  <c r="I82" i="22" s="1"/>
  <c r="M85" i="22"/>
  <c r="G85" i="22" s="1"/>
  <c r="M133" i="22"/>
  <c r="G133" i="22" s="1"/>
  <c r="M123" i="22"/>
  <c r="G123" i="22" s="1"/>
  <c r="M106" i="22"/>
  <c r="G106" i="22" s="1"/>
  <c r="I105" i="22" s="1"/>
  <c r="M67" i="22"/>
  <c r="G67" i="22" s="1"/>
  <c r="M181" i="22"/>
  <c r="G181" i="22" s="1"/>
  <c r="M25" i="22"/>
  <c r="G25" i="22" s="1"/>
  <c r="M22" i="22"/>
  <c r="G22" i="22" s="1"/>
  <c r="I21" i="22" s="1"/>
  <c r="M173" i="22"/>
  <c r="G173" i="22" s="1"/>
  <c r="M174" i="22"/>
  <c r="G174" i="22" s="1"/>
  <c r="CB7" i="22"/>
  <c r="BK7" i="22"/>
  <c r="E7" i="22"/>
  <c r="D7" i="22" s="1"/>
  <c r="AT7" i="22"/>
  <c r="AR7" i="22"/>
  <c r="BI7" i="22"/>
  <c r="AO7" i="22"/>
  <c r="BF7" i="22"/>
  <c r="BH7" i="22"/>
  <c r="AQ7" i="22"/>
  <c r="CD7" i="22"/>
  <c r="AY7" i="22" s="1"/>
  <c r="AV7" i="22"/>
  <c r="BM7" i="22"/>
  <c r="F125" i="6"/>
  <c r="F122" i="6"/>
  <c r="T96" i="20"/>
  <c r="F86" i="6"/>
  <c r="F90" i="6" s="1"/>
  <c r="H35" i="20"/>
  <c r="L47" i="20"/>
  <c r="V46" i="20" s="1"/>
  <c r="W45" i="20" s="1"/>
  <c r="X45" i="20" s="1"/>
  <c r="N47" i="20"/>
  <c r="V48" i="20" s="1"/>
  <c r="M47" i="20"/>
  <c r="V47" i="20" s="1"/>
  <c r="F74" i="6"/>
  <c r="F77" i="6" s="1"/>
  <c r="F104" i="6"/>
  <c r="F62" i="6"/>
  <c r="F63" i="6" s="1"/>
  <c r="G25" i="11"/>
  <c r="J127" i="6"/>
  <c r="M160" i="18"/>
  <c r="G160" i="18" s="1"/>
  <c r="M164" i="18"/>
  <c r="G164" i="18" s="1"/>
  <c r="M163" i="18"/>
  <c r="G163" i="18" s="1"/>
  <c r="M161" i="18"/>
  <c r="G161" i="18" s="1"/>
  <c r="M165" i="18"/>
  <c r="M159" i="18"/>
  <c r="G159" i="18" s="1"/>
  <c r="M158" i="18"/>
  <c r="AF158" i="5" s="1"/>
  <c r="M162" i="18"/>
  <c r="G162" i="18" s="1"/>
  <c r="F68" i="6"/>
  <c r="F69" i="6" s="1"/>
  <c r="M32" i="18"/>
  <c r="AF32" i="5" s="1"/>
  <c r="M73" i="18"/>
  <c r="AF73" i="5" s="1"/>
  <c r="M114" i="18"/>
  <c r="AF114" i="5" s="1"/>
  <c r="M70" i="18"/>
  <c r="AF70" i="5" s="1"/>
  <c r="M115" i="18"/>
  <c r="AF115" i="5" s="1"/>
  <c r="M182" i="18"/>
  <c r="M72" i="18"/>
  <c r="M71" i="18"/>
  <c r="AF71" i="5" s="1"/>
  <c r="G23" i="11"/>
  <c r="G24" i="11"/>
  <c r="F105" i="6"/>
  <c r="F80" i="6"/>
  <c r="F81" i="6" s="1"/>
  <c r="L34" i="6"/>
  <c r="R34" i="6" s="1"/>
  <c r="O67" i="2"/>
  <c r="C21" i="2" s="1"/>
  <c r="D12" i="21" s="1"/>
  <c r="L113" i="20"/>
  <c r="J118" i="6" s="1"/>
  <c r="R35" i="6"/>
  <c r="O24" i="6"/>
  <c r="O133" i="6" s="1"/>
  <c r="D9" i="16" s="1"/>
  <c r="S40" i="21" s="1"/>
  <c r="K35" i="20"/>
  <c r="N35" i="20"/>
  <c r="V35" i="20" s="1"/>
  <c r="M35" i="20"/>
  <c r="V34" i="20" s="1"/>
  <c r="J33" i="11"/>
  <c r="F33" i="11" s="1"/>
  <c r="J35" i="20"/>
  <c r="F317" i="9"/>
  <c r="F103" i="6"/>
  <c r="L35" i="20"/>
  <c r="F38" i="6"/>
  <c r="F39" i="6" s="1"/>
  <c r="U35" i="6"/>
  <c r="W96" i="5"/>
  <c r="F316" i="9"/>
  <c r="F313" i="9"/>
  <c r="F314" i="9"/>
  <c r="F315" i="9"/>
  <c r="D59" i="16"/>
  <c r="F295" i="9"/>
  <c r="W95" i="5"/>
  <c r="F296" i="9"/>
  <c r="F297" i="9"/>
  <c r="O28" i="6"/>
  <c r="L28" i="6"/>
  <c r="R28" i="6" s="1"/>
  <c r="U28" i="6"/>
  <c r="F294" i="9"/>
  <c r="AE7" i="18"/>
  <c r="AA12" i="6"/>
  <c r="E80" i="17"/>
  <c r="AD7" i="18"/>
  <c r="M192" i="18"/>
  <c r="AF192" i="5" s="1"/>
  <c r="M184" i="18"/>
  <c r="AF184" i="5" s="1"/>
  <c r="M175" i="18"/>
  <c r="AF175" i="5" s="1"/>
  <c r="M166" i="18"/>
  <c r="AF166" i="5" s="1"/>
  <c r="M151" i="18"/>
  <c r="AF151" i="5" s="1"/>
  <c r="M193" i="18"/>
  <c r="M185" i="18"/>
  <c r="AF185" i="5" s="1"/>
  <c r="M181" i="18"/>
  <c r="M135" i="18"/>
  <c r="AF135" i="5" s="1"/>
  <c r="M116" i="18"/>
  <c r="AF116" i="5" s="1"/>
  <c r="M107" i="18"/>
  <c r="AF107" i="5" s="1"/>
  <c r="M141" i="18"/>
  <c r="M128" i="18"/>
  <c r="AF128" i="5" s="1"/>
  <c r="M177" i="18"/>
  <c r="AF177" i="5" s="1"/>
  <c r="M149" i="18"/>
  <c r="AF149" i="5" s="1"/>
  <c r="M118" i="18"/>
  <c r="M143" i="18"/>
  <c r="AF143" i="5" s="1"/>
  <c r="M97" i="18"/>
  <c r="AF97" i="5" s="1"/>
  <c r="M90" i="18"/>
  <c r="AF90" i="5" s="1"/>
  <c r="M80" i="18"/>
  <c r="AF80" i="5" s="1"/>
  <c r="M152" i="18"/>
  <c r="M102" i="18"/>
  <c r="AF102" i="5" s="1"/>
  <c r="M123" i="18"/>
  <c r="M98" i="18"/>
  <c r="M89" i="18"/>
  <c r="AF89" i="5" s="1"/>
  <c r="M82" i="18"/>
  <c r="AF82" i="5" s="1"/>
  <c r="M77" i="18"/>
  <c r="AF77" i="5" s="1"/>
  <c r="M67" i="18"/>
  <c r="AF67" i="5" s="1"/>
  <c r="M138" i="18"/>
  <c r="AF138" i="5" s="1"/>
  <c r="M53" i="18"/>
  <c r="AF53" i="5" s="1"/>
  <c r="M38" i="18"/>
  <c r="AF38" i="5" s="1"/>
  <c r="M31" i="18"/>
  <c r="AF31" i="5" s="1"/>
  <c r="M24" i="18"/>
  <c r="AF24" i="5" s="1"/>
  <c r="M14" i="18"/>
  <c r="AF14" i="5" s="1"/>
  <c r="M9" i="18"/>
  <c r="AF9" i="5" s="1"/>
  <c r="M60" i="18"/>
  <c r="AF60" i="5" s="1"/>
  <c r="M50" i="18"/>
  <c r="AF50" i="5" s="1"/>
  <c r="M49" i="18"/>
  <c r="AF49" i="5" s="1"/>
  <c r="M62" i="18"/>
  <c r="AF62" i="5" s="1"/>
  <c r="M15" i="18"/>
  <c r="AF15" i="5" s="1"/>
  <c r="M46" i="18"/>
  <c r="AF46" i="5" s="1"/>
  <c r="M20" i="18"/>
  <c r="AF20" i="5" s="1"/>
  <c r="M19" i="18"/>
  <c r="M186" i="18"/>
  <c r="M153" i="18"/>
  <c r="M142" i="18"/>
  <c r="AF142" i="5" s="1"/>
  <c r="M109" i="18"/>
  <c r="AF109" i="5" s="1"/>
  <c r="M122" i="18"/>
  <c r="AF122" i="5" s="1"/>
  <c r="M176" i="18"/>
  <c r="M83" i="18"/>
  <c r="AF83" i="5" s="1"/>
  <c r="M127" i="18"/>
  <c r="AF127" i="5" s="1"/>
  <c r="M84" i="18"/>
  <c r="AF84" i="5" s="1"/>
  <c r="M179" i="18"/>
  <c r="AF179" i="5" s="1"/>
  <c r="M34" i="18"/>
  <c r="AF34" i="5" s="1"/>
  <c r="M10" i="18"/>
  <c r="AF10" i="5" s="1"/>
  <c r="M59" i="18"/>
  <c r="AF59" i="5" s="1"/>
  <c r="M54" i="18"/>
  <c r="AF54" i="5" s="1"/>
  <c r="M191" i="18"/>
  <c r="AF191" i="5" s="1"/>
  <c r="M183" i="18"/>
  <c r="AF183" i="5" s="1"/>
  <c r="M172" i="18"/>
  <c r="AF172" i="5" s="1"/>
  <c r="M157" i="18"/>
  <c r="M150" i="18"/>
  <c r="AF150" i="5" s="1"/>
  <c r="M190" i="18"/>
  <c r="M173" i="18"/>
  <c r="AF173" i="5" s="1"/>
  <c r="M154" i="18"/>
  <c r="AF154" i="5" s="1"/>
  <c r="M121" i="18"/>
  <c r="AF121" i="5" s="1"/>
  <c r="M112" i="18"/>
  <c r="AF112" i="5" s="1"/>
  <c r="M168" i="18"/>
  <c r="AF168" i="5" s="1"/>
  <c r="M136" i="18"/>
  <c r="AF136" i="5" s="1"/>
  <c r="M126" i="18"/>
  <c r="AF126" i="5" s="1"/>
  <c r="M174" i="18"/>
  <c r="AF174" i="5" s="1"/>
  <c r="M139" i="18"/>
  <c r="AF139" i="5" s="1"/>
  <c r="M113" i="18"/>
  <c r="M104" i="18"/>
  <c r="AF104" i="5" s="1"/>
  <c r="M95" i="18"/>
  <c r="AF95" i="5" s="1"/>
  <c r="M87" i="18"/>
  <c r="AF87" i="5" s="1"/>
  <c r="M76" i="18"/>
  <c r="AF76" i="5" s="1"/>
  <c r="M134" i="18"/>
  <c r="AF134" i="5" s="1"/>
  <c r="M101" i="18"/>
  <c r="AF101" i="5" s="1"/>
  <c r="M108" i="18"/>
  <c r="AF108" i="5" s="1"/>
  <c r="M96" i="18"/>
  <c r="AF96" i="5" s="1"/>
  <c r="M88" i="18"/>
  <c r="AF88" i="5" s="1"/>
  <c r="M81" i="18"/>
  <c r="AF81" i="5" s="1"/>
  <c r="M75" i="18"/>
  <c r="AF75" i="5" s="1"/>
  <c r="M45" i="18"/>
  <c r="AF45" i="5" s="1"/>
  <c r="M63" i="18"/>
  <c r="AF63" i="5" s="1"/>
  <c r="M52" i="18"/>
  <c r="AF52" i="5" s="1"/>
  <c r="M36" i="18"/>
  <c r="AF36" i="5" s="1"/>
  <c r="M30" i="18"/>
  <c r="AF30" i="5" s="1"/>
  <c r="M22" i="18"/>
  <c r="M13" i="18"/>
  <c r="AF13" i="5" s="1"/>
  <c r="M131" i="18"/>
  <c r="AF131" i="5" s="1"/>
  <c r="M56" i="18"/>
  <c r="AF56" i="5" s="1"/>
  <c r="M43" i="18"/>
  <c r="AF43" i="5" s="1"/>
  <c r="M47" i="18"/>
  <c r="AF47" i="5" s="1"/>
  <c r="M33" i="18"/>
  <c r="AF33" i="5" s="1"/>
  <c r="M140" i="18"/>
  <c r="AF140" i="5" s="1"/>
  <c r="M40" i="18"/>
  <c r="AF40" i="5" s="1"/>
  <c r="M17" i="18"/>
  <c r="AF17" i="5" s="1"/>
  <c r="M12" i="18"/>
  <c r="AF12" i="5" s="1"/>
  <c r="M194" i="18"/>
  <c r="AF194" i="5" s="1"/>
  <c r="M169" i="18"/>
  <c r="AF169" i="5" s="1"/>
  <c r="M147" i="18"/>
  <c r="AF147" i="5" s="1"/>
  <c r="M137" i="18"/>
  <c r="AF137" i="5" s="1"/>
  <c r="M146" i="18"/>
  <c r="AF146" i="5" s="1"/>
  <c r="M167" i="18"/>
  <c r="AF167" i="5" s="1"/>
  <c r="M99" i="18"/>
  <c r="AF99" i="5" s="1"/>
  <c r="M100" i="18"/>
  <c r="AF100" i="5" s="1"/>
  <c r="M78" i="18"/>
  <c r="AF78" i="5" s="1"/>
  <c r="M57" i="18"/>
  <c r="AF57" i="5" s="1"/>
  <c r="M26" i="18"/>
  <c r="AF26" i="5" s="1"/>
  <c r="M61" i="18"/>
  <c r="AF61" i="5" s="1"/>
  <c r="M64" i="18"/>
  <c r="AF64" i="5" s="1"/>
  <c r="M23" i="18"/>
  <c r="AF23" i="5" s="1"/>
  <c r="M189" i="18"/>
  <c r="AF189" i="5" s="1"/>
  <c r="M180" i="18"/>
  <c r="M171" i="18"/>
  <c r="AF171" i="5" s="1"/>
  <c r="M155" i="18"/>
  <c r="AF155" i="5" s="1"/>
  <c r="M148" i="18"/>
  <c r="AF148" i="5" s="1"/>
  <c r="M188" i="18"/>
  <c r="AF188" i="5" s="1"/>
  <c r="M144" i="18"/>
  <c r="M145" i="18"/>
  <c r="AF145" i="5" s="1"/>
  <c r="M119" i="18"/>
  <c r="M111" i="18"/>
  <c r="AF111" i="5" s="1"/>
  <c r="M156" i="18"/>
  <c r="AF156" i="5" s="1"/>
  <c r="M132" i="18"/>
  <c r="AF132" i="5" s="1"/>
  <c r="M125" i="18"/>
  <c r="AF125" i="5" s="1"/>
  <c r="M170" i="18"/>
  <c r="AF170" i="5" s="1"/>
  <c r="M133" i="18"/>
  <c r="AF133" i="5" s="1"/>
  <c r="M110" i="18"/>
  <c r="AF110" i="5" s="1"/>
  <c r="M103" i="18"/>
  <c r="AF103" i="5" s="1"/>
  <c r="M93" i="18"/>
  <c r="AF93" i="5" s="1"/>
  <c r="M85" i="18"/>
  <c r="AF85" i="5" s="1"/>
  <c r="M74" i="18"/>
  <c r="AF74" i="5" s="1"/>
  <c r="M124" i="18"/>
  <c r="AF124" i="5" s="1"/>
  <c r="M130" i="18"/>
  <c r="AF130" i="5" s="1"/>
  <c r="M105" i="18"/>
  <c r="AF105" i="5" s="1"/>
  <c r="M94" i="18"/>
  <c r="M86" i="18"/>
  <c r="AF86" i="5" s="1"/>
  <c r="M79" i="18"/>
  <c r="AF79" i="5" s="1"/>
  <c r="M44" i="18"/>
  <c r="AF44" i="5" s="1"/>
  <c r="M58" i="18"/>
  <c r="AF58" i="5" s="1"/>
  <c r="M48" i="18"/>
  <c r="AF48" i="5" s="1"/>
  <c r="M35" i="18"/>
  <c r="AF35" i="5" s="1"/>
  <c r="M28" i="18"/>
  <c r="AF28" i="5" s="1"/>
  <c r="M18" i="18"/>
  <c r="AF18" i="5" s="1"/>
  <c r="M11" i="18"/>
  <c r="AF11" i="5" s="1"/>
  <c r="M65" i="18"/>
  <c r="AF65" i="5" s="1"/>
  <c r="M55" i="18"/>
  <c r="AF55" i="5" s="1"/>
  <c r="M69" i="18"/>
  <c r="AF69" i="5" s="1"/>
  <c r="M27" i="18"/>
  <c r="AF27" i="5" s="1"/>
  <c r="M29" i="18"/>
  <c r="AF29" i="5" s="1"/>
  <c r="M66" i="18"/>
  <c r="AF66" i="5" s="1"/>
  <c r="M37" i="18"/>
  <c r="AF37" i="5" s="1"/>
  <c r="M42" i="18"/>
  <c r="AF42" i="5" s="1"/>
  <c r="M39" i="18"/>
  <c r="AF39" i="5" s="1"/>
  <c r="M178" i="18"/>
  <c r="AF178" i="5" s="1"/>
  <c r="M187" i="18"/>
  <c r="AF187" i="5" s="1"/>
  <c r="M117" i="18"/>
  <c r="AF117" i="5" s="1"/>
  <c r="M129" i="18"/>
  <c r="AF129" i="5" s="1"/>
  <c r="M120" i="18"/>
  <c r="AF120" i="5" s="1"/>
  <c r="M92" i="18"/>
  <c r="AF92" i="5" s="1"/>
  <c r="M106" i="18"/>
  <c r="AF106" i="5" s="1"/>
  <c r="M91" i="18"/>
  <c r="AF91" i="5" s="1"/>
  <c r="M68" i="18"/>
  <c r="AF68" i="5" s="1"/>
  <c r="M41" i="18"/>
  <c r="AF41" i="5" s="1"/>
  <c r="M16" i="18"/>
  <c r="AF16" i="5" s="1"/>
  <c r="M51" i="18"/>
  <c r="AF51" i="5" s="1"/>
  <c r="M21" i="18"/>
  <c r="AF21" i="5" s="1"/>
  <c r="M25" i="18"/>
  <c r="AF25" i="5" s="1"/>
  <c r="AC7" i="18"/>
  <c r="E7" i="18"/>
  <c r="F76" i="6"/>
  <c r="F55" i="6"/>
  <c r="F53" i="6"/>
  <c r="F51" i="6"/>
  <c r="F54" i="6"/>
  <c r="F52" i="6"/>
  <c r="F49" i="6"/>
  <c r="F47" i="6"/>
  <c r="F45" i="6"/>
  <c r="F48" i="6"/>
  <c r="F46" i="6"/>
  <c r="F61" i="6"/>
  <c r="F59" i="6"/>
  <c r="F57" i="6"/>
  <c r="F60" i="6"/>
  <c r="F58" i="6"/>
  <c r="F75" i="6" l="1"/>
  <c r="I48" i="22"/>
  <c r="O118" i="6"/>
  <c r="F70" i="6"/>
  <c r="O121" i="6"/>
  <c r="L121" i="6"/>
  <c r="F79" i="6"/>
  <c r="I35" i="22"/>
  <c r="D47" i="22" s="1"/>
  <c r="I121" i="22"/>
  <c r="D172" i="22" s="1"/>
  <c r="O120" i="6"/>
  <c r="L120" i="6"/>
  <c r="AF186" i="5"/>
  <c r="J171" i="14"/>
  <c r="J170" i="14" s="1"/>
  <c r="F78" i="6"/>
  <c r="I62" i="22"/>
  <c r="D78" i="22" s="1"/>
  <c r="I59" i="22"/>
  <c r="D60" i="22" s="1"/>
  <c r="I78" i="22"/>
  <c r="D93" i="22" s="1"/>
  <c r="AF153" i="5"/>
  <c r="J60" i="13"/>
  <c r="J59" i="13" s="1"/>
  <c r="I172" i="22"/>
  <c r="D183" i="22" s="1"/>
  <c r="F73" i="6"/>
  <c r="F71" i="6"/>
  <c r="BB46" i="22"/>
  <c r="F66" i="6"/>
  <c r="I122" i="22"/>
  <c r="D123" i="22" s="1"/>
  <c r="BB123" i="22" s="1"/>
  <c r="I20" i="22"/>
  <c r="D21" i="22" s="1"/>
  <c r="I63" i="22"/>
  <c r="D74" i="22" s="1"/>
  <c r="F65" i="6"/>
  <c r="D95" i="22"/>
  <c r="D94" i="22"/>
  <c r="D96" i="22"/>
  <c r="D98" i="22"/>
  <c r="D97" i="22"/>
  <c r="D117" i="22"/>
  <c r="D114" i="22"/>
  <c r="D116" i="22"/>
  <c r="D113" i="22"/>
  <c r="D144" i="22"/>
  <c r="D143" i="22"/>
  <c r="D89" i="22"/>
  <c r="D50" i="22"/>
  <c r="D53" i="22"/>
  <c r="D51" i="22"/>
  <c r="D52" i="22"/>
  <c r="D170" i="22"/>
  <c r="D169" i="22"/>
  <c r="D171" i="22"/>
  <c r="D59" i="22"/>
  <c r="D49" i="22"/>
  <c r="D54" i="22"/>
  <c r="D127" i="22"/>
  <c r="D128" i="22"/>
  <c r="D12" i="22"/>
  <c r="D13" i="22"/>
  <c r="D22" i="22"/>
  <c r="D23" i="22"/>
  <c r="D26" i="22"/>
  <c r="D25" i="22"/>
  <c r="D24" i="22"/>
  <c r="D28" i="22"/>
  <c r="D29" i="22"/>
  <c r="D27" i="22"/>
  <c r="D108" i="22"/>
  <c r="D111" i="22"/>
  <c r="D109" i="22"/>
  <c r="D106" i="22"/>
  <c r="D107" i="22"/>
  <c r="D110" i="22"/>
  <c r="D84" i="22"/>
  <c r="D83" i="22"/>
  <c r="D88" i="22"/>
  <c r="D85" i="22"/>
  <c r="D86" i="22"/>
  <c r="D87" i="22"/>
  <c r="D65" i="22"/>
  <c r="D67" i="22"/>
  <c r="D66" i="22"/>
  <c r="D41" i="22"/>
  <c r="D42" i="22"/>
  <c r="D43" i="22"/>
  <c r="I131" i="22"/>
  <c r="D125" i="22"/>
  <c r="D126" i="22"/>
  <c r="D142" i="22"/>
  <c r="D139" i="22"/>
  <c r="I9" i="22"/>
  <c r="D56" i="22"/>
  <c r="D58" i="22"/>
  <c r="D57" i="22"/>
  <c r="D55" i="22"/>
  <c r="D131" i="22"/>
  <c r="D130" i="22"/>
  <c r="D102" i="22"/>
  <c r="D103" i="22"/>
  <c r="I145" i="22"/>
  <c r="I151" i="22"/>
  <c r="I89" i="22"/>
  <c r="D193" i="22"/>
  <c r="D194" i="22"/>
  <c r="AW7" i="22"/>
  <c r="N31" i="22"/>
  <c r="H31" i="22" s="1"/>
  <c r="N37" i="22"/>
  <c r="H37" i="22" s="1"/>
  <c r="J36" i="22" s="1"/>
  <c r="N32" i="22"/>
  <c r="H32" i="22" s="1"/>
  <c r="N10" i="22"/>
  <c r="H10" i="22" s="1"/>
  <c r="N20" i="22"/>
  <c r="H20" i="22" s="1"/>
  <c r="N179" i="22"/>
  <c r="H179" i="22" s="1"/>
  <c r="N136" i="22"/>
  <c r="H136" i="22" s="1"/>
  <c r="N126" i="22"/>
  <c r="H126" i="22" s="1"/>
  <c r="N53" i="22"/>
  <c r="H53" i="22" s="1"/>
  <c r="N133" i="22"/>
  <c r="H133" i="22" s="1"/>
  <c r="N162" i="22"/>
  <c r="H162" i="22" s="1"/>
  <c r="N151" i="22"/>
  <c r="H151" i="22" s="1"/>
  <c r="N114" i="22"/>
  <c r="H114" i="22" s="1"/>
  <c r="N88" i="22"/>
  <c r="H88" i="22" s="1"/>
  <c r="N75" i="22"/>
  <c r="H75" i="22" s="1"/>
  <c r="N14" i="22"/>
  <c r="H14" i="22" s="1"/>
  <c r="N13" i="22"/>
  <c r="H13" i="22" s="1"/>
  <c r="N186" i="22"/>
  <c r="H186" i="22" s="1"/>
  <c r="N11" i="22"/>
  <c r="H11" i="22" s="1"/>
  <c r="N140" i="22"/>
  <c r="H140" i="22" s="1"/>
  <c r="J139" i="22" s="1"/>
  <c r="N130" i="22"/>
  <c r="H130" i="22" s="1"/>
  <c r="J129" i="22" s="1"/>
  <c r="N73" i="22"/>
  <c r="H73" i="22" s="1"/>
  <c r="N79" i="22"/>
  <c r="H79" i="22" s="1"/>
  <c r="N16" i="22"/>
  <c r="H16" i="22" s="1"/>
  <c r="N35" i="22"/>
  <c r="H35" i="22" s="1"/>
  <c r="N61" i="22"/>
  <c r="H61" i="22" s="1"/>
  <c r="N59" i="22"/>
  <c r="H59" i="22" s="1"/>
  <c r="N58" i="22"/>
  <c r="H58" i="22" s="1"/>
  <c r="N146" i="22"/>
  <c r="H146" i="22" s="1"/>
  <c r="N181" i="22"/>
  <c r="H181" i="22" s="1"/>
  <c r="N66" i="22"/>
  <c r="H66" i="22" s="1"/>
  <c r="N45" i="22"/>
  <c r="H45" i="22" s="1"/>
  <c r="J44" i="22" s="1"/>
  <c r="N26" i="22"/>
  <c r="H26" i="22" s="1"/>
  <c r="N70" i="22"/>
  <c r="H70" i="22" s="1"/>
  <c r="N91" i="22"/>
  <c r="H91" i="22" s="1"/>
  <c r="N56" i="22"/>
  <c r="H56" i="22" s="1"/>
  <c r="N84" i="22"/>
  <c r="H84" i="22" s="1"/>
  <c r="N23" i="22"/>
  <c r="H23" i="22" s="1"/>
  <c r="N39" i="22"/>
  <c r="H39" i="22" s="1"/>
  <c r="N85" i="22"/>
  <c r="H85" i="22" s="1"/>
  <c r="N131" i="22"/>
  <c r="H131" i="22" s="1"/>
  <c r="N106" i="22"/>
  <c r="H106" i="22" s="1"/>
  <c r="J105" i="22" s="1"/>
  <c r="N41" i="22"/>
  <c r="H41" i="22" s="1"/>
  <c r="J40" i="22" s="1"/>
  <c r="N159" i="22"/>
  <c r="H159" i="22" s="1"/>
  <c r="J158" i="22" s="1"/>
  <c r="N55" i="22"/>
  <c r="H55" i="22" s="1"/>
  <c r="J54" i="22" s="1"/>
  <c r="N15" i="22"/>
  <c r="H15" i="22" s="1"/>
  <c r="J14" i="22" s="1"/>
  <c r="N42" i="22"/>
  <c r="H42" i="22" s="1"/>
  <c r="N34" i="22"/>
  <c r="H34" i="22" s="1"/>
  <c r="N173" i="22"/>
  <c r="H173" i="22" s="1"/>
  <c r="N48" i="22"/>
  <c r="H48" i="22" s="1"/>
  <c r="N40" i="22"/>
  <c r="H40" i="22" s="1"/>
  <c r="N76" i="22"/>
  <c r="H76" i="22" s="1"/>
  <c r="N81" i="22"/>
  <c r="H81" i="22" s="1"/>
  <c r="N158" i="22"/>
  <c r="H158" i="22" s="1"/>
  <c r="N25" i="22"/>
  <c r="H25" i="22" s="1"/>
  <c r="N38" i="22"/>
  <c r="H38" i="22" s="1"/>
  <c r="N89" i="22"/>
  <c r="H89" i="22" s="1"/>
  <c r="N86" i="22"/>
  <c r="H86" i="22" s="1"/>
  <c r="N123" i="22"/>
  <c r="H123" i="22" s="1"/>
  <c r="N95" i="22"/>
  <c r="H95" i="22" s="1"/>
  <c r="N139" i="22"/>
  <c r="H139" i="22" s="1"/>
  <c r="N149" i="22"/>
  <c r="H149" i="22" s="1"/>
  <c r="J148" i="22" s="1"/>
  <c r="N21" i="22"/>
  <c r="H21" i="22" s="1"/>
  <c r="N54" i="22"/>
  <c r="H54" i="22" s="1"/>
  <c r="N124" i="22"/>
  <c r="H124" i="22" s="1"/>
  <c r="N117" i="22"/>
  <c r="H117" i="22" s="1"/>
  <c r="N101" i="22"/>
  <c r="H101" i="22" s="1"/>
  <c r="N155" i="22"/>
  <c r="H155" i="22" s="1"/>
  <c r="N180" i="22"/>
  <c r="H180" i="22" s="1"/>
  <c r="N28" i="22"/>
  <c r="H28" i="22" s="1"/>
  <c r="N36" i="22"/>
  <c r="H36" i="22" s="1"/>
  <c r="N71" i="22"/>
  <c r="H71" i="22" s="1"/>
  <c r="N103" i="22"/>
  <c r="H103" i="22" s="1"/>
  <c r="N109" i="22"/>
  <c r="H109" i="22" s="1"/>
  <c r="N152" i="22"/>
  <c r="H152" i="22" s="1"/>
  <c r="N125" i="22"/>
  <c r="H125" i="22" s="1"/>
  <c r="J124" i="22" s="1"/>
  <c r="N167" i="22"/>
  <c r="H167" i="22" s="1"/>
  <c r="N193" i="22"/>
  <c r="H193" i="22" s="1"/>
  <c r="J192" i="22" s="1"/>
  <c r="N82" i="22"/>
  <c r="H82" i="22" s="1"/>
  <c r="N102" i="22"/>
  <c r="H102" i="22" s="1"/>
  <c r="J101" i="22" s="1"/>
  <c r="N119" i="22"/>
  <c r="H119" i="22" s="1"/>
  <c r="N49" i="22"/>
  <c r="H49" i="22" s="1"/>
  <c r="N63" i="22"/>
  <c r="H63" i="22" s="1"/>
  <c r="N113" i="22"/>
  <c r="H113" i="22" s="1"/>
  <c r="N116" i="22"/>
  <c r="H116" i="22" s="1"/>
  <c r="N128" i="22"/>
  <c r="H128" i="22" s="1"/>
  <c r="N168" i="22"/>
  <c r="H168" i="22" s="1"/>
  <c r="N19" i="22"/>
  <c r="H19" i="22" s="1"/>
  <c r="N33" i="22"/>
  <c r="H33" i="22" s="1"/>
  <c r="J32" i="22" s="1"/>
  <c r="N47" i="22"/>
  <c r="H47" i="22" s="1"/>
  <c r="N57" i="22"/>
  <c r="H57" i="22" s="1"/>
  <c r="N90" i="22"/>
  <c r="H90" i="22" s="1"/>
  <c r="N104" i="22"/>
  <c r="H104" i="22" s="1"/>
  <c r="N69" i="22"/>
  <c r="H69" i="22" s="1"/>
  <c r="J68" i="22" s="1"/>
  <c r="N87" i="22"/>
  <c r="H87" i="22" s="1"/>
  <c r="N105" i="22"/>
  <c r="H105" i="22" s="1"/>
  <c r="N161" i="22"/>
  <c r="H161" i="22" s="1"/>
  <c r="N192" i="22"/>
  <c r="H192" i="22" s="1"/>
  <c r="N187" i="22"/>
  <c r="H187" i="22" s="1"/>
  <c r="N80" i="22"/>
  <c r="H80" i="22" s="1"/>
  <c r="J79" i="22" s="1"/>
  <c r="N148" i="22"/>
  <c r="H148" i="22" s="1"/>
  <c r="N138" i="22"/>
  <c r="H138" i="22" s="1"/>
  <c r="N169" i="22"/>
  <c r="H169" i="22" s="1"/>
  <c r="J168" i="22" s="1"/>
  <c r="N164" i="22"/>
  <c r="H164" i="22" s="1"/>
  <c r="N50" i="22"/>
  <c r="H50" i="22" s="1"/>
  <c r="J49" i="22" s="1"/>
  <c r="N60" i="22"/>
  <c r="H60" i="22" s="1"/>
  <c r="J59" i="22" s="1"/>
  <c r="N143" i="22"/>
  <c r="H143" i="22" s="1"/>
  <c r="J142" i="22" s="1"/>
  <c r="N154" i="22"/>
  <c r="H154" i="22" s="1"/>
  <c r="N129" i="22"/>
  <c r="H129" i="22" s="1"/>
  <c r="N163" i="22"/>
  <c r="H163" i="22" s="1"/>
  <c r="N62" i="22"/>
  <c r="H62" i="22" s="1"/>
  <c r="N67" i="22"/>
  <c r="H67" i="22" s="1"/>
  <c r="N135" i="22"/>
  <c r="H135" i="22" s="1"/>
  <c r="N137" i="22"/>
  <c r="H137" i="22" s="1"/>
  <c r="N118" i="22"/>
  <c r="H118" i="22" s="1"/>
  <c r="J117" i="22" s="1"/>
  <c r="N44" i="22"/>
  <c r="H44" i="22" s="1"/>
  <c r="N108" i="22"/>
  <c r="H108" i="22" s="1"/>
  <c r="N172" i="22"/>
  <c r="H172" i="22" s="1"/>
  <c r="N188" i="22"/>
  <c r="H188" i="22" s="1"/>
  <c r="N51" i="22"/>
  <c r="H51" i="22" s="1"/>
  <c r="N121" i="22"/>
  <c r="H121" i="22" s="1"/>
  <c r="N112" i="22"/>
  <c r="H112" i="22" s="1"/>
  <c r="N156" i="22"/>
  <c r="H156" i="22" s="1"/>
  <c r="N166" i="22"/>
  <c r="H166" i="22" s="1"/>
  <c r="N171" i="22"/>
  <c r="H171" i="22" s="1"/>
  <c r="N29" i="22"/>
  <c r="H29" i="22" s="1"/>
  <c r="N18" i="22"/>
  <c r="H18" i="22" s="1"/>
  <c r="N46" i="22"/>
  <c r="H46" i="22" s="1"/>
  <c r="N72" i="22"/>
  <c r="H72" i="22" s="1"/>
  <c r="N100" i="22"/>
  <c r="H100" i="22" s="1"/>
  <c r="N141" i="22"/>
  <c r="H141" i="22" s="1"/>
  <c r="N142" i="22"/>
  <c r="H142" i="22" s="1"/>
  <c r="N122" i="22"/>
  <c r="H122" i="22" s="1"/>
  <c r="N176" i="22"/>
  <c r="H176" i="22" s="1"/>
  <c r="N185" i="22"/>
  <c r="H185" i="22" s="1"/>
  <c r="J184" i="22" s="1"/>
  <c r="N96" i="22"/>
  <c r="H96" i="22" s="1"/>
  <c r="N111" i="22"/>
  <c r="H111" i="22" s="1"/>
  <c r="N134" i="22"/>
  <c r="H134" i="22" s="1"/>
  <c r="N93" i="22"/>
  <c r="H93" i="22" s="1"/>
  <c r="N144" i="22"/>
  <c r="H144" i="22" s="1"/>
  <c r="N189" i="22"/>
  <c r="H189" i="22" s="1"/>
  <c r="J188" i="22" s="1"/>
  <c r="N68" i="22"/>
  <c r="H68" i="22" s="1"/>
  <c r="N92" i="22"/>
  <c r="H92" i="22" s="1"/>
  <c r="N78" i="22"/>
  <c r="H78" i="22" s="1"/>
  <c r="N160" i="22"/>
  <c r="H160" i="22" s="1"/>
  <c r="N174" i="22"/>
  <c r="H174" i="22" s="1"/>
  <c r="N175" i="22"/>
  <c r="H175" i="22" s="1"/>
  <c r="N157" i="22"/>
  <c r="H157" i="22" s="1"/>
  <c r="N183" i="22"/>
  <c r="H183" i="22" s="1"/>
  <c r="N17" i="22"/>
  <c r="H17" i="22" s="1"/>
  <c r="N30" i="22"/>
  <c r="H30" i="22" s="1"/>
  <c r="N52" i="22"/>
  <c r="H52" i="22" s="1"/>
  <c r="N64" i="22"/>
  <c r="H64" i="22" s="1"/>
  <c r="N65" i="22"/>
  <c r="H65" i="22" s="1"/>
  <c r="J64" i="22" s="1"/>
  <c r="N145" i="22"/>
  <c r="H145" i="22" s="1"/>
  <c r="N94" i="22"/>
  <c r="H94" i="22" s="1"/>
  <c r="J93" i="22" s="1"/>
  <c r="N170" i="22"/>
  <c r="H170" i="22" s="1"/>
  <c r="N153" i="22"/>
  <c r="H153" i="22" s="1"/>
  <c r="N177" i="22"/>
  <c r="H177" i="22" s="1"/>
  <c r="N194" i="22"/>
  <c r="H194" i="22" s="1"/>
  <c r="N83" i="22"/>
  <c r="H83" i="22" s="1"/>
  <c r="J82" i="22" s="1"/>
  <c r="N74" i="22"/>
  <c r="H74" i="22" s="1"/>
  <c r="N165" i="22"/>
  <c r="H165" i="22" s="1"/>
  <c r="N24" i="22"/>
  <c r="H24" i="22" s="1"/>
  <c r="N115" i="22"/>
  <c r="H115" i="22" s="1"/>
  <c r="J114" i="22" s="1"/>
  <c r="E115" i="22" s="1"/>
  <c r="N132" i="22"/>
  <c r="H132" i="22" s="1"/>
  <c r="N127" i="22"/>
  <c r="H127" i="22" s="1"/>
  <c r="J126" i="22" s="1"/>
  <c r="N110" i="22"/>
  <c r="H110" i="22" s="1"/>
  <c r="N12" i="22"/>
  <c r="H12" i="22" s="1"/>
  <c r="J11" i="22" s="1"/>
  <c r="N43" i="22"/>
  <c r="H43" i="22" s="1"/>
  <c r="N77" i="22"/>
  <c r="H77" i="22" s="1"/>
  <c r="N97" i="22"/>
  <c r="H97" i="22" s="1"/>
  <c r="N98" i="22"/>
  <c r="H98" i="22" s="1"/>
  <c r="N150" i="22"/>
  <c r="H150" i="22" s="1"/>
  <c r="N107" i="22"/>
  <c r="H107" i="22" s="1"/>
  <c r="N147" i="22"/>
  <c r="H147" i="22" s="1"/>
  <c r="N190" i="22"/>
  <c r="H190" i="22" s="1"/>
  <c r="N184" i="22"/>
  <c r="H184" i="22" s="1"/>
  <c r="N9" i="22"/>
  <c r="H9" i="22" s="1"/>
  <c r="N27" i="22"/>
  <c r="H27" i="22" s="1"/>
  <c r="N22" i="22"/>
  <c r="H22" i="22" s="1"/>
  <c r="J21" i="22" s="1"/>
  <c r="N182" i="22"/>
  <c r="H182" i="22" s="1"/>
  <c r="N178" i="22"/>
  <c r="H178" i="22" s="1"/>
  <c r="J177" i="22" s="1"/>
  <c r="D138" i="22"/>
  <c r="D185" i="22"/>
  <c r="D187" i="22"/>
  <c r="D186" i="22"/>
  <c r="D141" i="22"/>
  <c r="D140" i="22"/>
  <c r="D122" i="22"/>
  <c r="D32" i="22"/>
  <c r="D64" i="22"/>
  <c r="D45" i="22"/>
  <c r="D46" i="22"/>
  <c r="D33" i="22"/>
  <c r="D34" i="22"/>
  <c r="D80" i="22"/>
  <c r="D81" i="22"/>
  <c r="I146" i="22"/>
  <c r="I183" i="22"/>
  <c r="I100" i="22"/>
  <c r="V137" i="22"/>
  <c r="V102" i="22"/>
  <c r="V108" i="22"/>
  <c r="V122" i="22"/>
  <c r="V167" i="22"/>
  <c r="V183" i="22"/>
  <c r="V36" i="22"/>
  <c r="V106" i="22"/>
  <c r="V50" i="22"/>
  <c r="V178" i="22"/>
  <c r="V68" i="22"/>
  <c r="V145" i="22"/>
  <c r="V147" i="22"/>
  <c r="V141" i="22"/>
  <c r="V25" i="22"/>
  <c r="V158" i="22"/>
  <c r="V113" i="22"/>
  <c r="V103" i="22"/>
  <c r="V81" i="22"/>
  <c r="V56" i="22"/>
  <c r="V65" i="22"/>
  <c r="V127" i="22"/>
  <c r="V118" i="22"/>
  <c r="V169" i="22"/>
  <c r="V146" i="22"/>
  <c r="V101" i="22"/>
  <c r="V162" i="22"/>
  <c r="V21" i="22"/>
  <c r="V14" i="22"/>
  <c r="V19" i="22"/>
  <c r="V28" i="22"/>
  <c r="V24" i="22"/>
  <c r="V37" i="22"/>
  <c r="V51" i="22"/>
  <c r="V30" i="22"/>
  <c r="V57" i="22"/>
  <c r="V48" i="22"/>
  <c r="V71" i="22"/>
  <c r="V64" i="22"/>
  <c r="V82" i="22"/>
  <c r="V84" i="22"/>
  <c r="V97" i="22"/>
  <c r="V110" i="22"/>
  <c r="V117" i="22"/>
  <c r="V78" i="22"/>
  <c r="V121" i="22"/>
  <c r="V139" i="22"/>
  <c r="V152" i="22"/>
  <c r="V131" i="22"/>
  <c r="V163" i="22"/>
  <c r="V91" i="22"/>
  <c r="V138" i="22"/>
  <c r="V120" i="22"/>
  <c r="V96" i="22"/>
  <c r="V104" i="22"/>
  <c r="V53" i="22"/>
  <c r="V63" i="22"/>
  <c r="V107" i="22"/>
  <c r="V142" i="22"/>
  <c r="V135" i="22"/>
  <c r="V184" i="22"/>
  <c r="V41" i="22"/>
  <c r="V74" i="22"/>
  <c r="V153" i="22"/>
  <c r="V10" i="22"/>
  <c r="V23" i="22"/>
  <c r="V29" i="22"/>
  <c r="V43" i="22"/>
  <c r="V31" i="22"/>
  <c r="V40" i="22"/>
  <c r="V55" i="22"/>
  <c r="V46" i="22"/>
  <c r="V61" i="22"/>
  <c r="V69" i="22"/>
  <c r="V79" i="22"/>
  <c r="V89" i="22"/>
  <c r="V76" i="22"/>
  <c r="V92" i="22"/>
  <c r="V95" i="22"/>
  <c r="V115" i="22"/>
  <c r="V125" i="22"/>
  <c r="V111" i="22"/>
  <c r="V132" i="22"/>
  <c r="V150" i="22"/>
  <c r="V128" i="22"/>
  <c r="V155" i="22"/>
  <c r="V168" i="22"/>
  <c r="V130" i="22"/>
  <c r="V157" i="22"/>
  <c r="V161" i="22"/>
  <c r="V171" i="22"/>
  <c r="V188" i="22"/>
  <c r="V18" i="22"/>
  <c r="V20" i="22"/>
  <c r="V26" i="22"/>
  <c r="V47" i="22"/>
  <c r="V77" i="22"/>
  <c r="V126" i="22"/>
  <c r="V129" i="22"/>
  <c r="V180" i="22"/>
  <c r="V187" i="22"/>
  <c r="V192" i="22"/>
  <c r="V85" i="22"/>
  <c r="V34" i="22"/>
  <c r="V148" i="22"/>
  <c r="V176" i="22"/>
  <c r="V11" i="22"/>
  <c r="V42" i="22"/>
  <c r="V39" i="22"/>
  <c r="V33" i="22"/>
  <c r="V58" i="22"/>
  <c r="V86" i="22"/>
  <c r="V88" i="22"/>
  <c r="V112" i="22"/>
  <c r="V105" i="22"/>
  <c r="V60" i="22"/>
  <c r="V149" i="22"/>
  <c r="V119" i="22"/>
  <c r="V140" i="22"/>
  <c r="V182" i="22"/>
  <c r="V156" i="22"/>
  <c r="V189" i="22"/>
  <c r="V170" i="22"/>
  <c r="V164" i="22"/>
  <c r="V185" i="22"/>
  <c r="V67" i="22"/>
  <c r="V90" i="22"/>
  <c r="V144" i="22"/>
  <c r="V35" i="22"/>
  <c r="V72" i="22"/>
  <c r="V116" i="22"/>
  <c r="V151" i="22"/>
  <c r="V134" i="22"/>
  <c r="V186" i="22"/>
  <c r="V160" i="22"/>
  <c r="V172" i="22"/>
  <c r="V94" i="22"/>
  <c r="V98" i="22"/>
  <c r="V16" i="22"/>
  <c r="V15" i="22"/>
  <c r="V45" i="22"/>
  <c r="V49" i="22"/>
  <c r="V70" i="22"/>
  <c r="V93" i="22"/>
  <c r="V114" i="22"/>
  <c r="V159" i="22"/>
  <c r="V44" i="22"/>
  <c r="V194" i="22"/>
  <c r="V174" i="22"/>
  <c r="V38" i="22"/>
  <c r="V190" i="22"/>
  <c r="V17" i="22"/>
  <c r="V22" i="22"/>
  <c r="V27" i="22"/>
  <c r="V52" i="22"/>
  <c r="V59" i="22"/>
  <c r="V75" i="22"/>
  <c r="V66" i="22"/>
  <c r="V73" i="22"/>
  <c r="V123" i="22"/>
  <c r="V124" i="22"/>
  <c r="V99" i="22"/>
  <c r="V166" i="22"/>
  <c r="V143" i="22"/>
  <c r="V133" i="22"/>
  <c r="V191" i="22"/>
  <c r="V179" i="22"/>
  <c r="V154" i="22"/>
  <c r="V173" i="22"/>
  <c r="V177" i="22"/>
  <c r="V54" i="22"/>
  <c r="V62" i="22"/>
  <c r="V32" i="22"/>
  <c r="V83" i="22"/>
  <c r="V100" i="22"/>
  <c r="V136" i="22"/>
  <c r="V175" i="22"/>
  <c r="V109" i="22"/>
  <c r="V193" i="22"/>
  <c r="V165" i="22"/>
  <c r="V181" i="22"/>
  <c r="V87" i="22"/>
  <c r="V80" i="22"/>
  <c r="BB28" i="22"/>
  <c r="BB103" i="22"/>
  <c r="BB190" i="22"/>
  <c r="BB40" i="22"/>
  <c r="BB18" i="22"/>
  <c r="BB15" i="22"/>
  <c r="BB13" i="22"/>
  <c r="BB48" i="22"/>
  <c r="BB36" i="22"/>
  <c r="BB50" i="22"/>
  <c r="BB80" i="22"/>
  <c r="BB86" i="22"/>
  <c r="BB111" i="22"/>
  <c r="BB121" i="22"/>
  <c r="BB181" i="22"/>
  <c r="BB99" i="22"/>
  <c r="BB113" i="22"/>
  <c r="BB127" i="22"/>
  <c r="BB45" i="22"/>
  <c r="BB135" i="22"/>
  <c r="BB131" i="22"/>
  <c r="BB148" i="22"/>
  <c r="BB176" i="22"/>
  <c r="BB10" i="22"/>
  <c r="BB19" i="22"/>
  <c r="BB20" i="22"/>
  <c r="BB52" i="22"/>
  <c r="BB41" i="22"/>
  <c r="BB51" i="22"/>
  <c r="BB84" i="22"/>
  <c r="BB68" i="22"/>
  <c r="BB114" i="22"/>
  <c r="BB91" i="22"/>
  <c r="BB65" i="22"/>
  <c r="BB140" i="22"/>
  <c r="BB122" i="22"/>
  <c r="BB149" i="22"/>
  <c r="BB136" i="22"/>
  <c r="BB168" i="22"/>
  <c r="BB145" i="22"/>
  <c r="BB186" i="22"/>
  <c r="BB182" i="22"/>
  <c r="BB124" i="22"/>
  <c r="BB12" i="22"/>
  <c r="BB11" i="22"/>
  <c r="BB16" i="22"/>
  <c r="BB25" i="22"/>
  <c r="BB53" i="22"/>
  <c r="BB56" i="22"/>
  <c r="BB35" i="22"/>
  <c r="BB88" i="22"/>
  <c r="BB98" i="22"/>
  <c r="BB116" i="22"/>
  <c r="BB101" i="22"/>
  <c r="BB42" i="22"/>
  <c r="BB141" i="22"/>
  <c r="BB78" i="22"/>
  <c r="BB102" i="22"/>
  <c r="BB154" i="22"/>
  <c r="BB17" i="22"/>
  <c r="BB14" i="22"/>
  <c r="BB9" i="22"/>
  <c r="BB38" i="22"/>
  <c r="BB34" i="22"/>
  <c r="BB49" i="22"/>
  <c r="BB77" i="22"/>
  <c r="BB58" i="22"/>
  <c r="BB105" i="22"/>
  <c r="BB117" i="22"/>
  <c r="BB89" i="22"/>
  <c r="BB126" i="22"/>
  <c r="BB133" i="22"/>
  <c r="BB128" i="22"/>
  <c r="BB160" i="22"/>
  <c r="BB155" i="22"/>
  <c r="BB187" i="22"/>
  <c r="BB164" i="22"/>
  <c r="BB175" i="22"/>
  <c r="BB191" i="22"/>
  <c r="BB62" i="22"/>
  <c r="BB139" i="22"/>
  <c r="BB110" i="22"/>
  <c r="BB189" i="22"/>
  <c r="BB180" i="22"/>
  <c r="BB44" i="22"/>
  <c r="BB82" i="22"/>
  <c r="BB83" i="22"/>
  <c r="BB64" i="22"/>
  <c r="BB92" i="22"/>
  <c r="BB152" i="22"/>
  <c r="BB147" i="22"/>
  <c r="BB146" i="22"/>
  <c r="BB158" i="22"/>
  <c r="BB192" i="22"/>
  <c r="BB55" i="22"/>
  <c r="BB79" i="22"/>
  <c r="BB100" i="22"/>
  <c r="BB125" i="22"/>
  <c r="BB143" i="22"/>
  <c r="BB163" i="22"/>
  <c r="BB188" i="22"/>
  <c r="BB76" i="22"/>
  <c r="BB165" i="22"/>
  <c r="BB26" i="22"/>
  <c r="BB75" i="22"/>
  <c r="BB85" i="22"/>
  <c r="BB142" i="22"/>
  <c r="BB108" i="22"/>
  <c r="BB106" i="22"/>
  <c r="BB137" i="22"/>
  <c r="BB177" i="22"/>
  <c r="BB22" i="22"/>
  <c r="BB31" i="22"/>
  <c r="BB71" i="22"/>
  <c r="BB138" i="22"/>
  <c r="BB132" i="22"/>
  <c r="BB159" i="22"/>
  <c r="BB171" i="22"/>
  <c r="BB193" i="22"/>
  <c r="BB21" i="22"/>
  <c r="BB29" i="22"/>
  <c r="BB37" i="22"/>
  <c r="BB33" i="22"/>
  <c r="BB54" i="22"/>
  <c r="BB107" i="22"/>
  <c r="BB95" i="22"/>
  <c r="BB169" i="22"/>
  <c r="BB161" i="22"/>
  <c r="BB183" i="22"/>
  <c r="BB61" i="22"/>
  <c r="BB60" i="22"/>
  <c r="BB93" i="22"/>
  <c r="BB115" i="22"/>
  <c r="BB156" i="22"/>
  <c r="BB172" i="22"/>
  <c r="BB194" i="22"/>
  <c r="BB43" i="22"/>
  <c r="BB63" i="22"/>
  <c r="BB66" i="22"/>
  <c r="BB109" i="22"/>
  <c r="BB96" i="22"/>
  <c r="BB179" i="22"/>
  <c r="BB153" i="22"/>
  <c r="BB73" i="22"/>
  <c r="BB74" i="22"/>
  <c r="BB150" i="22"/>
  <c r="BB166" i="22"/>
  <c r="BB72" i="22"/>
  <c r="BB94" i="22"/>
  <c r="BB144" i="22"/>
  <c r="BB104" i="22"/>
  <c r="BB151" i="22"/>
  <c r="BB69" i="22"/>
  <c r="BB70" i="22"/>
  <c r="BB119" i="22"/>
  <c r="BB57" i="22"/>
  <c r="BB47" i="22"/>
  <c r="BB90" i="22"/>
  <c r="BB130" i="22"/>
  <c r="BB170" i="22"/>
  <c r="BB27" i="22"/>
  <c r="BB59" i="22"/>
  <c r="BB178" i="22"/>
  <c r="BB97" i="22"/>
  <c r="BB185" i="22"/>
  <c r="BB134" i="22"/>
  <c r="BB184" i="22"/>
  <c r="BB157" i="22"/>
  <c r="BB32" i="22"/>
  <c r="BB30" i="22"/>
  <c r="BB87" i="22"/>
  <c r="BB162" i="22"/>
  <c r="BB39" i="22"/>
  <c r="BB118" i="22"/>
  <c r="BB167" i="22"/>
  <c r="BB174" i="22"/>
  <c r="BB81" i="22"/>
  <c r="BB24" i="22"/>
  <c r="BB112" i="22"/>
  <c r="BB120" i="22"/>
  <c r="BB23" i="22"/>
  <c r="BB67" i="22"/>
  <c r="I74" i="22"/>
  <c r="D179" i="22"/>
  <c r="D181" i="22"/>
  <c r="D178" i="22"/>
  <c r="D180" i="22"/>
  <c r="D37" i="22"/>
  <c r="D38" i="22"/>
  <c r="D39" i="22"/>
  <c r="I174" i="22"/>
  <c r="AF72" i="5"/>
  <c r="J67" i="9"/>
  <c r="D118" i="22"/>
  <c r="D119" i="22"/>
  <c r="D190" i="22"/>
  <c r="D189" i="22"/>
  <c r="D191" i="22"/>
  <c r="D71" i="22"/>
  <c r="D70" i="22"/>
  <c r="D73" i="22"/>
  <c r="D69" i="22"/>
  <c r="D72" i="22"/>
  <c r="D15" i="22"/>
  <c r="D18" i="22"/>
  <c r="D16" i="22"/>
  <c r="D17" i="22"/>
  <c r="D161" i="22"/>
  <c r="D162" i="22"/>
  <c r="D164" i="22"/>
  <c r="D163" i="22"/>
  <c r="D160" i="22"/>
  <c r="D159" i="22"/>
  <c r="I8" i="22"/>
  <c r="I10" i="22"/>
  <c r="D150" i="22"/>
  <c r="D149" i="22"/>
  <c r="I166" i="22"/>
  <c r="N191" i="22"/>
  <c r="H191" i="22" s="1"/>
  <c r="AX7" i="22"/>
  <c r="F128" i="6"/>
  <c r="F87" i="6"/>
  <c r="L94" i="6" s="1"/>
  <c r="E15" i="16" s="1"/>
  <c r="F89" i="6"/>
  <c r="F91" i="6"/>
  <c r="F88" i="6"/>
  <c r="J125" i="6"/>
  <c r="W46" i="20"/>
  <c r="X46" i="20" s="1"/>
  <c r="AF164" i="5"/>
  <c r="F83" i="6"/>
  <c r="O66" i="11"/>
  <c r="V33" i="20"/>
  <c r="W33" i="20" s="1"/>
  <c r="X33" i="20" s="1"/>
  <c r="O64" i="11"/>
  <c r="V31" i="20"/>
  <c r="W47" i="20"/>
  <c r="X47" i="20" s="1"/>
  <c r="U42" i="20"/>
  <c r="W34" i="20"/>
  <c r="X34" i="20" s="1"/>
  <c r="O65" i="11"/>
  <c r="V32" i="20"/>
  <c r="F64" i="6"/>
  <c r="F67" i="6"/>
  <c r="AF159" i="5"/>
  <c r="F72" i="6"/>
  <c r="AF160" i="5"/>
  <c r="AF163" i="5"/>
  <c r="AF162" i="5"/>
  <c r="AF161" i="5"/>
  <c r="N159" i="18"/>
  <c r="H159" i="18" s="1"/>
  <c r="N163" i="18"/>
  <c r="H163" i="18" s="1"/>
  <c r="N160" i="18"/>
  <c r="H160" i="18" s="1"/>
  <c r="N164" i="18"/>
  <c r="H164" i="18" s="1"/>
  <c r="N161" i="18"/>
  <c r="H161" i="18" s="1"/>
  <c r="N165" i="18"/>
  <c r="H165" i="18" s="1"/>
  <c r="N158" i="18"/>
  <c r="N162" i="18"/>
  <c r="H162" i="18" s="1"/>
  <c r="I158" i="18"/>
  <c r="AF165" i="5"/>
  <c r="J168" i="13"/>
  <c r="J167" i="13" s="1"/>
  <c r="F82" i="6"/>
  <c r="F85" i="6"/>
  <c r="G182" i="18"/>
  <c r="AF182" i="5"/>
  <c r="F84" i="6"/>
  <c r="N32" i="18"/>
  <c r="N72" i="18"/>
  <c r="N71" i="18"/>
  <c r="N73" i="18"/>
  <c r="N182" i="18"/>
  <c r="H182" i="18" s="1"/>
  <c r="N114" i="18"/>
  <c r="N70" i="18"/>
  <c r="N115" i="18"/>
  <c r="J102" i="14"/>
  <c r="J101" i="14" s="1"/>
  <c r="AF180" i="5"/>
  <c r="J154" i="8"/>
  <c r="AF22" i="5"/>
  <c r="J243" i="14"/>
  <c r="O242" i="14" s="1"/>
  <c r="AF193" i="5"/>
  <c r="J95" i="10"/>
  <c r="AF119" i="5"/>
  <c r="J12" i="10"/>
  <c r="AF113" i="5"/>
  <c r="J112" i="13"/>
  <c r="W157" i="5" s="1"/>
  <c r="AF157" i="5"/>
  <c r="J37" i="14"/>
  <c r="J36" i="14" s="1"/>
  <c r="AF176" i="5"/>
  <c r="J43" i="13"/>
  <c r="J42" i="13" s="1"/>
  <c r="AF152" i="5"/>
  <c r="J273" i="9"/>
  <c r="AF94" i="5"/>
  <c r="J340" i="9"/>
  <c r="J339" i="9" s="1"/>
  <c r="AF98" i="5"/>
  <c r="AF118" i="5"/>
  <c r="J147" i="11"/>
  <c r="AF141" i="5"/>
  <c r="J121" i="14"/>
  <c r="J120" i="14" s="1"/>
  <c r="AF181" i="5"/>
  <c r="O147" i="11"/>
  <c r="AF144" i="5"/>
  <c r="J213" i="14"/>
  <c r="J212" i="14" s="1"/>
  <c r="AF190" i="5"/>
  <c r="J142" i="8"/>
  <c r="AF19" i="5"/>
  <c r="J20" i="11"/>
  <c r="AF123" i="5"/>
  <c r="J146" i="13"/>
  <c r="J145" i="13" s="1"/>
  <c r="O67" i="11"/>
  <c r="F43" i="6"/>
  <c r="O113" i="6"/>
  <c r="O134" i="6" s="1"/>
  <c r="D34" i="16" s="1"/>
  <c r="T40" i="21" s="1"/>
  <c r="D5" i="17"/>
  <c r="E5" i="17" s="1"/>
  <c r="D5" i="16"/>
  <c r="E5" i="16" s="1"/>
  <c r="D61" i="16"/>
  <c r="D12" i="4"/>
  <c r="J31" i="11"/>
  <c r="S40" i="4"/>
  <c r="H22" i="14"/>
  <c r="J32" i="11"/>
  <c r="O68" i="11"/>
  <c r="H18" i="20"/>
  <c r="F21" i="11" s="1"/>
  <c r="J11" i="11" s="1"/>
  <c r="F42" i="6"/>
  <c r="F40" i="6"/>
  <c r="F41" i="6"/>
  <c r="O35" i="6"/>
  <c r="D8" i="16" s="1"/>
  <c r="J311" i="9"/>
  <c r="J310" i="9" s="1"/>
  <c r="J291" i="9"/>
  <c r="J290" i="9" s="1"/>
  <c r="J13" i="8"/>
  <c r="L93" i="6"/>
  <c r="E14" i="16" s="1"/>
  <c r="O93" i="6"/>
  <c r="D14" i="16" s="1"/>
  <c r="O128" i="13"/>
  <c r="O127" i="13" s="1"/>
  <c r="O146" i="13"/>
  <c r="O145" i="13" s="1"/>
  <c r="O137" i="13"/>
  <c r="O136" i="13" s="1"/>
  <c r="J137" i="13"/>
  <c r="J136" i="13" s="1"/>
  <c r="J128" i="13"/>
  <c r="J127" i="13" s="1"/>
  <c r="E79" i="17"/>
  <c r="J262" i="9"/>
  <c r="J261" i="9" s="1"/>
  <c r="G92" i="18"/>
  <c r="J47" i="9"/>
  <c r="J438" i="8"/>
  <c r="G426" i="8" s="1"/>
  <c r="G136" i="18"/>
  <c r="J389" i="8"/>
  <c r="J202" i="8"/>
  <c r="J201" i="8" s="1"/>
  <c r="J192" i="14"/>
  <c r="J191" i="14" s="1"/>
  <c r="J125" i="8"/>
  <c r="O229" i="9"/>
  <c r="O228" i="9" s="1"/>
  <c r="G125" i="18"/>
  <c r="J203" i="14"/>
  <c r="J202" i="14" s="1"/>
  <c r="J116" i="11"/>
  <c r="G45" i="18"/>
  <c r="J12" i="11"/>
  <c r="J92" i="14"/>
  <c r="J91" i="14" s="1"/>
  <c r="O116" i="11"/>
  <c r="G135" i="18"/>
  <c r="G120" i="18"/>
  <c r="J25" i="9"/>
  <c r="J229" i="8"/>
  <c r="J228" i="8" s="1"/>
  <c r="G28" i="18"/>
  <c r="J416" i="9"/>
  <c r="J415" i="9" s="1"/>
  <c r="G26" i="18"/>
  <c r="J211" i="8"/>
  <c r="G137" i="18"/>
  <c r="G12" i="18"/>
  <c r="G131" i="18"/>
  <c r="J85" i="9"/>
  <c r="J240" i="9"/>
  <c r="J239" i="9" s="1"/>
  <c r="O218" i="9"/>
  <c r="O217" i="9" s="1"/>
  <c r="J469" i="8"/>
  <c r="J468" i="8" s="1"/>
  <c r="J36" i="9"/>
  <c r="J35" i="9" s="1"/>
  <c r="J207" i="9"/>
  <c r="J206" i="9" s="1"/>
  <c r="N180" i="18"/>
  <c r="H180" i="18" s="1"/>
  <c r="N171" i="18"/>
  <c r="N155" i="18"/>
  <c r="N148" i="18"/>
  <c r="AH148" i="5" s="1"/>
  <c r="N188" i="18"/>
  <c r="AH188" i="5" s="1"/>
  <c r="N181" i="18"/>
  <c r="N174" i="18"/>
  <c r="N156" i="18"/>
  <c r="N146" i="18"/>
  <c r="N141" i="18"/>
  <c r="H141" i="18" s="1"/>
  <c r="N128" i="18"/>
  <c r="N194" i="18"/>
  <c r="N118" i="18"/>
  <c r="AH118" i="5" s="1"/>
  <c r="N106" i="18"/>
  <c r="N184" i="18"/>
  <c r="AH184" i="5" s="1"/>
  <c r="N134" i="18"/>
  <c r="N124" i="18"/>
  <c r="AH124" i="5" s="1"/>
  <c r="N116" i="18"/>
  <c r="AH116" i="5" s="1"/>
  <c r="N111" i="18"/>
  <c r="N96" i="18"/>
  <c r="N88" i="18"/>
  <c r="N81" i="18"/>
  <c r="N75" i="18"/>
  <c r="AH75" i="5" s="1"/>
  <c r="N65" i="18"/>
  <c r="AH65" i="5" s="1"/>
  <c r="N52" i="18"/>
  <c r="N186" i="18"/>
  <c r="N95" i="18"/>
  <c r="N58" i="18"/>
  <c r="N38" i="18"/>
  <c r="N31" i="18"/>
  <c r="AH31" i="5" s="1"/>
  <c r="N24" i="18"/>
  <c r="N14" i="18"/>
  <c r="AH14" i="5" s="1"/>
  <c r="N9" i="18"/>
  <c r="N43" i="18"/>
  <c r="N97" i="18"/>
  <c r="N66" i="18"/>
  <c r="AH66" i="5" s="1"/>
  <c r="N54" i="18"/>
  <c r="AH54" i="5" s="1"/>
  <c r="N40" i="18"/>
  <c r="AH40" i="5" s="1"/>
  <c r="N29" i="18"/>
  <c r="AH29" i="5" s="1"/>
  <c r="N21" i="18"/>
  <c r="AH21" i="5" s="1"/>
  <c r="N15" i="18"/>
  <c r="N45" i="18"/>
  <c r="N178" i="18"/>
  <c r="H178" i="18" s="1"/>
  <c r="N169" i="18"/>
  <c r="N153" i="18"/>
  <c r="N147" i="18"/>
  <c r="N187" i="18"/>
  <c r="N179" i="18"/>
  <c r="H179" i="18" s="1"/>
  <c r="N170" i="18"/>
  <c r="N154" i="18"/>
  <c r="N145" i="18"/>
  <c r="N136" i="18"/>
  <c r="N126" i="18"/>
  <c r="AH126" i="5" s="1"/>
  <c r="N191" i="18"/>
  <c r="N113" i="18"/>
  <c r="N103" i="18"/>
  <c r="N143" i="18"/>
  <c r="H143" i="18" s="1"/>
  <c r="N131" i="18"/>
  <c r="N123" i="18"/>
  <c r="N109" i="18"/>
  <c r="N107" i="18"/>
  <c r="N94" i="18"/>
  <c r="N86" i="18"/>
  <c r="N79" i="18"/>
  <c r="AH79" i="5" s="1"/>
  <c r="N60" i="18"/>
  <c r="N50" i="18"/>
  <c r="N144" i="18"/>
  <c r="H144" i="18" s="1"/>
  <c r="N87" i="18"/>
  <c r="N53" i="18"/>
  <c r="N36" i="18"/>
  <c r="AH36" i="5" s="1"/>
  <c r="N30" i="18"/>
  <c r="AH30" i="5" s="1"/>
  <c r="N22" i="18"/>
  <c r="N13" i="18"/>
  <c r="N93" i="18"/>
  <c r="AH93" i="5" s="1"/>
  <c r="N61" i="18"/>
  <c r="N183" i="18"/>
  <c r="N92" i="18"/>
  <c r="N64" i="18"/>
  <c r="AH64" i="5" s="1"/>
  <c r="N49" i="18"/>
  <c r="AH49" i="5" s="1"/>
  <c r="N39" i="18"/>
  <c r="N27" i="18"/>
  <c r="N20" i="18"/>
  <c r="N12" i="18"/>
  <c r="N76" i="18"/>
  <c r="AH76" i="5" s="1"/>
  <c r="N175" i="18"/>
  <c r="N166" i="18"/>
  <c r="N151" i="18"/>
  <c r="N193" i="18"/>
  <c r="N185" i="18"/>
  <c r="N177" i="18"/>
  <c r="AH177" i="5" s="1"/>
  <c r="N168" i="18"/>
  <c r="AH168" i="5" s="1"/>
  <c r="N152" i="18"/>
  <c r="H152" i="18" s="1"/>
  <c r="N192" i="18"/>
  <c r="AH192" i="5" s="1"/>
  <c r="N132" i="18"/>
  <c r="N125" i="18"/>
  <c r="N139" i="18"/>
  <c r="AH139" i="5" s="1"/>
  <c r="N110" i="18"/>
  <c r="N101" i="18"/>
  <c r="AH101" i="5" s="1"/>
  <c r="N140" i="18"/>
  <c r="H140" i="18" s="1"/>
  <c r="N130" i="18"/>
  <c r="N121" i="18"/>
  <c r="N102" i="18"/>
  <c r="N105" i="18"/>
  <c r="AH105" i="5" s="1"/>
  <c r="N91" i="18"/>
  <c r="N84" i="18"/>
  <c r="N78" i="18"/>
  <c r="N68" i="18"/>
  <c r="AH68" i="5" s="1"/>
  <c r="N57" i="18"/>
  <c r="N46" i="18"/>
  <c r="N142" i="18"/>
  <c r="AH142" i="5" s="1"/>
  <c r="N74" i="18"/>
  <c r="AH74" i="5" s="1"/>
  <c r="N48" i="18"/>
  <c r="N35" i="18"/>
  <c r="N28" i="18"/>
  <c r="AH28" i="5" s="1"/>
  <c r="N18" i="18"/>
  <c r="N11" i="18"/>
  <c r="N90" i="18"/>
  <c r="N56" i="18"/>
  <c r="N117" i="18"/>
  <c r="N83" i="18"/>
  <c r="N62" i="18"/>
  <c r="N47" i="18"/>
  <c r="N37" i="18"/>
  <c r="N25" i="18"/>
  <c r="N19" i="18"/>
  <c r="N104" i="18"/>
  <c r="N150" i="18"/>
  <c r="N167" i="18"/>
  <c r="N122" i="18"/>
  <c r="N138" i="18"/>
  <c r="N98" i="18"/>
  <c r="N67" i="18"/>
  <c r="AH67" i="5" s="1"/>
  <c r="N63" i="18"/>
  <c r="N16" i="18"/>
  <c r="N112" i="18"/>
  <c r="N33" i="18"/>
  <c r="N176" i="18"/>
  <c r="N137" i="18"/>
  <c r="N51" i="18"/>
  <c r="N190" i="18"/>
  <c r="N149" i="18"/>
  <c r="N133" i="18"/>
  <c r="N127" i="18"/>
  <c r="N89" i="18"/>
  <c r="AH89" i="5" s="1"/>
  <c r="N55" i="18"/>
  <c r="N41" i="18"/>
  <c r="N10" i="18"/>
  <c r="N69" i="18"/>
  <c r="AH69" i="5" s="1"/>
  <c r="N23" i="18"/>
  <c r="N129" i="18"/>
  <c r="N77" i="18"/>
  <c r="AH77" i="5" s="1"/>
  <c r="N26" i="18"/>
  <c r="N85" i="18"/>
  <c r="N172" i="18"/>
  <c r="N173" i="18"/>
  <c r="N189" i="18"/>
  <c r="N108" i="18"/>
  <c r="N119" i="18"/>
  <c r="N82" i="18"/>
  <c r="AH82" i="5" s="1"/>
  <c r="N44" i="18"/>
  <c r="N34" i="18"/>
  <c r="AH34" i="5" s="1"/>
  <c r="N80" i="18"/>
  <c r="N59" i="18"/>
  <c r="AH59" i="5" s="1"/>
  <c r="N17" i="18"/>
  <c r="N157" i="18"/>
  <c r="N100" i="18"/>
  <c r="N135" i="18"/>
  <c r="N42" i="18"/>
  <c r="G51" i="18"/>
  <c r="J399" i="8"/>
  <c r="G91" i="18"/>
  <c r="O252" i="9"/>
  <c r="O251" i="9" s="1"/>
  <c r="O62" i="11"/>
  <c r="J306" i="8"/>
  <c r="G29" i="18"/>
  <c r="O229" i="8"/>
  <c r="O228" i="8" s="1"/>
  <c r="J14" i="9"/>
  <c r="J57" i="9"/>
  <c r="J56" i="9" s="1"/>
  <c r="J229" i="9"/>
  <c r="J228" i="9" s="1"/>
  <c r="G133" i="18"/>
  <c r="J100" i="13"/>
  <c r="J99" i="13" s="1"/>
  <c r="J288" i="13"/>
  <c r="J287" i="13" s="1"/>
  <c r="J170" i="8"/>
  <c r="J169" i="8" s="1"/>
  <c r="G23" i="18"/>
  <c r="J449" i="8"/>
  <c r="G99" i="18"/>
  <c r="J13" i="13"/>
  <c r="J12" i="13" s="1"/>
  <c r="J108" i="8"/>
  <c r="J370" i="8"/>
  <c r="J39" i="8"/>
  <c r="F40" i="8" s="1"/>
  <c r="W13" i="5" s="1"/>
  <c r="G52" i="18"/>
  <c r="J408" i="8"/>
  <c r="O207" i="9"/>
  <c r="O206" i="9" s="1"/>
  <c r="G127" i="18"/>
  <c r="O406" i="9"/>
  <c r="O405" i="9" s="1"/>
  <c r="J183" i="9"/>
  <c r="J252" i="9"/>
  <c r="J251" i="9" s="1"/>
  <c r="G90" i="18"/>
  <c r="J24" i="13"/>
  <c r="J23" i="13" s="1"/>
  <c r="O396" i="9"/>
  <c r="O395" i="9" s="1"/>
  <c r="J143" i="14"/>
  <c r="J142" i="14" s="1"/>
  <c r="J27" i="14"/>
  <c r="J26" i="14" s="1"/>
  <c r="E50" i="16"/>
  <c r="E57" i="17"/>
  <c r="J317" i="8"/>
  <c r="G41" i="18"/>
  <c r="J285" i="8"/>
  <c r="G58" i="18"/>
  <c r="J458" i="8"/>
  <c r="J372" i="9"/>
  <c r="O469" i="8"/>
  <c r="O468" i="8" s="1"/>
  <c r="G194" i="18"/>
  <c r="J262" i="14"/>
  <c r="J261" i="14" s="1"/>
  <c r="J239" i="8"/>
  <c r="J131" i="9"/>
  <c r="J70" i="13"/>
  <c r="J69" i="13" s="1"/>
  <c r="G46" i="18"/>
  <c r="J359" i="8"/>
  <c r="J180" i="8"/>
  <c r="G128" i="18"/>
  <c r="D7" i="18"/>
  <c r="AF6" i="5" s="1"/>
  <c r="AH6" i="5"/>
  <c r="J82" i="14"/>
  <c r="J81" i="14" s="1"/>
  <c r="J428" i="8"/>
  <c r="J351" i="8"/>
  <c r="G132" i="18"/>
  <c r="J86" i="13"/>
  <c r="J85" i="13" s="1"/>
  <c r="G33" i="18"/>
  <c r="J273" i="8"/>
  <c r="J272" i="8" s="1"/>
  <c r="J406" i="9"/>
  <c r="J405" i="9" s="1"/>
  <c r="J12" i="14"/>
  <c r="J74" i="8"/>
  <c r="G31" i="18"/>
  <c r="J256" i="8"/>
  <c r="J62" i="10"/>
  <c r="J91" i="8"/>
  <c r="J396" i="9"/>
  <c r="J395" i="9" s="1"/>
  <c r="J326" i="8"/>
  <c r="G27" i="18"/>
  <c r="G130" i="18"/>
  <c r="J222" i="13"/>
  <c r="J221" i="13" s="1"/>
  <c r="O416" i="9"/>
  <c r="O415" i="9" s="1"/>
  <c r="J188" i="13"/>
  <c r="J187" i="13" s="1"/>
  <c r="J211" i="13"/>
  <c r="J210" i="13" s="1"/>
  <c r="J336" i="8"/>
  <c r="J335" i="8" s="1"/>
  <c r="O240" i="9"/>
  <c r="O239" i="9" s="1"/>
  <c r="G134" i="18"/>
  <c r="J384" i="9"/>
  <c r="O24" i="13"/>
  <c r="O23" i="13" s="1"/>
  <c r="J231" i="14"/>
  <c r="J230" i="14" s="1"/>
  <c r="O273" i="8"/>
  <c r="O272" i="8" s="1"/>
  <c r="G34" i="18"/>
  <c r="J218" i="9"/>
  <c r="J217" i="9" s="1"/>
  <c r="G53" i="18"/>
  <c r="J417" i="8"/>
  <c r="J361" i="9"/>
  <c r="J330" i="9"/>
  <c r="J329" i="9" s="1"/>
  <c r="J41" i="10"/>
  <c r="J146" i="11" l="1"/>
  <c r="D145" i="22"/>
  <c r="D129" i="22"/>
  <c r="BB129" i="22" s="1"/>
  <c r="D82" i="22"/>
  <c r="D124" i="22"/>
  <c r="D79" i="22"/>
  <c r="D44" i="22"/>
  <c r="D61" i="22"/>
  <c r="L126" i="6"/>
  <c r="L127" i="6"/>
  <c r="D36" i="22"/>
  <c r="D40" i="22"/>
  <c r="D173" i="22"/>
  <c r="BB173" i="22" s="1"/>
  <c r="BC172" i="22" s="1"/>
  <c r="BA183" i="22" s="1"/>
  <c r="D174" i="22"/>
  <c r="D63" i="22"/>
  <c r="D100" i="22"/>
  <c r="J115" i="11"/>
  <c r="J146" i="22"/>
  <c r="E148" i="22" s="1"/>
  <c r="J145" i="22"/>
  <c r="O94" i="6"/>
  <c r="D15" i="16" s="1"/>
  <c r="D68" i="22"/>
  <c r="J112" i="22"/>
  <c r="E116" i="22" s="1"/>
  <c r="U29" i="20"/>
  <c r="O96" i="6"/>
  <c r="D17" i="16" s="1"/>
  <c r="D31" i="22"/>
  <c r="J183" i="22"/>
  <c r="E188" i="22" s="1"/>
  <c r="J131" i="22"/>
  <c r="E134" i="22" s="1"/>
  <c r="J48" i="22"/>
  <c r="D30" i="22"/>
  <c r="J89" i="22"/>
  <c r="E91" i="22" s="1"/>
  <c r="J10" i="22"/>
  <c r="E19" i="22" s="1"/>
  <c r="L95" i="6"/>
  <c r="E16" i="16" s="1"/>
  <c r="D19" i="22"/>
  <c r="D11" i="22"/>
  <c r="D14" i="22"/>
  <c r="D182" i="22"/>
  <c r="D177" i="22"/>
  <c r="D175" i="22"/>
  <c r="D176" i="22"/>
  <c r="D76" i="22"/>
  <c r="D75" i="22"/>
  <c r="D77" i="22"/>
  <c r="D147" i="22"/>
  <c r="D148" i="22"/>
  <c r="E28" i="22"/>
  <c r="E22" i="22"/>
  <c r="E23" i="22"/>
  <c r="E25" i="22"/>
  <c r="E24" i="22"/>
  <c r="E27" i="22"/>
  <c r="E26" i="22"/>
  <c r="E29" i="22"/>
  <c r="E13" i="22"/>
  <c r="E12" i="22"/>
  <c r="E88" i="22"/>
  <c r="E83" i="22"/>
  <c r="E84" i="22"/>
  <c r="E85" i="22"/>
  <c r="E86" i="22"/>
  <c r="E87" i="22"/>
  <c r="J63" i="22"/>
  <c r="E189" i="22"/>
  <c r="E190" i="22"/>
  <c r="E191" i="22"/>
  <c r="J121" i="22"/>
  <c r="E51" i="22"/>
  <c r="E52" i="22"/>
  <c r="E53" i="22"/>
  <c r="E50" i="22"/>
  <c r="E33" i="22"/>
  <c r="E34" i="22"/>
  <c r="J166" i="22"/>
  <c r="J138" i="22"/>
  <c r="J172" i="22"/>
  <c r="E57" i="22"/>
  <c r="E55" i="22"/>
  <c r="E56" i="22"/>
  <c r="E58" i="22"/>
  <c r="E131" i="22"/>
  <c r="E130" i="22"/>
  <c r="D92" i="22"/>
  <c r="D91" i="22"/>
  <c r="D90" i="22"/>
  <c r="D136" i="22"/>
  <c r="D135" i="22"/>
  <c r="D134" i="22"/>
  <c r="D132" i="22"/>
  <c r="D133" i="22"/>
  <c r="D168" i="22"/>
  <c r="D167" i="22"/>
  <c r="D9" i="22"/>
  <c r="D62" i="22"/>
  <c r="D112" i="22"/>
  <c r="BC62" i="22"/>
  <c r="BA78" i="22" s="1"/>
  <c r="BC8" i="22"/>
  <c r="BA112" i="22" s="1"/>
  <c r="E96" i="22"/>
  <c r="E95" i="22"/>
  <c r="E97" i="22"/>
  <c r="E94" i="22"/>
  <c r="E98" i="22"/>
  <c r="E151" i="22"/>
  <c r="E166" i="22"/>
  <c r="E146" i="22"/>
  <c r="E80" i="22"/>
  <c r="E81" i="22"/>
  <c r="E102" i="22"/>
  <c r="E103" i="22"/>
  <c r="E125" i="22"/>
  <c r="E126" i="22"/>
  <c r="E163" i="22"/>
  <c r="E160" i="22"/>
  <c r="E162" i="22"/>
  <c r="E164" i="22"/>
  <c r="E161" i="22"/>
  <c r="E159" i="22"/>
  <c r="E46" i="22"/>
  <c r="E45" i="22"/>
  <c r="E140" i="22"/>
  <c r="E141" i="22"/>
  <c r="J9" i="22"/>
  <c r="W10" i="22"/>
  <c r="W38" i="22"/>
  <c r="W31" i="22"/>
  <c r="W32" i="22"/>
  <c r="W51" i="22"/>
  <c r="W64" i="22"/>
  <c r="W63" i="22"/>
  <c r="W74" i="22"/>
  <c r="W73" i="22"/>
  <c r="W61" i="22"/>
  <c r="W98" i="22"/>
  <c r="W99" i="22"/>
  <c r="W69" i="22"/>
  <c r="W116" i="22"/>
  <c r="W126" i="22"/>
  <c r="W140" i="22"/>
  <c r="W150" i="22"/>
  <c r="W131" i="22"/>
  <c r="W146" i="22"/>
  <c r="W127" i="22"/>
  <c r="W167" i="22"/>
  <c r="W176" i="22"/>
  <c r="W154" i="22"/>
  <c r="W44" i="22"/>
  <c r="W26" i="22"/>
  <c r="W124" i="22"/>
  <c r="W163" i="22"/>
  <c r="W28" i="22"/>
  <c r="W25" i="22"/>
  <c r="W41" i="22"/>
  <c r="W54" i="22"/>
  <c r="W39" i="22"/>
  <c r="W37" i="22"/>
  <c r="W57" i="22"/>
  <c r="W65" i="22"/>
  <c r="W80" i="22"/>
  <c r="W53" i="22"/>
  <c r="W72" i="22"/>
  <c r="W66" i="22"/>
  <c r="W109" i="22"/>
  <c r="W83" i="22"/>
  <c r="W102" i="22"/>
  <c r="W117" i="22"/>
  <c r="W128" i="22"/>
  <c r="W143" i="22"/>
  <c r="W107" i="22"/>
  <c r="W156" i="22"/>
  <c r="W85" i="22"/>
  <c r="W144" i="22"/>
  <c r="W93" i="22"/>
  <c r="W135" i="22"/>
  <c r="W152" i="22"/>
  <c r="W104" i="22"/>
  <c r="W137" i="22"/>
  <c r="W181" i="22"/>
  <c r="W180" i="22"/>
  <c r="W193" i="22"/>
  <c r="W170" i="22"/>
  <c r="W178" i="22"/>
  <c r="W166" i="22"/>
  <c r="W139" i="22"/>
  <c r="W105" i="22"/>
  <c r="W35" i="22"/>
  <c r="W84" i="22"/>
  <c r="W20" i="22"/>
  <c r="W194" i="22"/>
  <c r="W33" i="22"/>
  <c r="W48" i="22"/>
  <c r="W78" i="22"/>
  <c r="W175" i="22"/>
  <c r="W16" i="22"/>
  <c r="W179" i="22"/>
  <c r="W94" i="22"/>
  <c r="W17" i="22"/>
  <c r="W110" i="22"/>
  <c r="W103" i="22"/>
  <c r="W160" i="22"/>
  <c r="W147" i="22"/>
  <c r="W138" i="22"/>
  <c r="W106" i="22"/>
  <c r="W161" i="22"/>
  <c r="W186" i="22"/>
  <c r="W172" i="22"/>
  <c r="W177" i="22"/>
  <c r="W101" i="22"/>
  <c r="W77" i="22"/>
  <c r="W91" i="22"/>
  <c r="W114" i="22"/>
  <c r="W88" i="22"/>
  <c r="W168" i="22"/>
  <c r="W189" i="22"/>
  <c r="W34" i="22"/>
  <c r="W22" i="22"/>
  <c r="W55" i="22"/>
  <c r="W49" i="22"/>
  <c r="W40" i="22"/>
  <c r="W86" i="22"/>
  <c r="W67" i="22"/>
  <c r="W81" i="22"/>
  <c r="W71" i="22"/>
  <c r="W75" i="22"/>
  <c r="W90" i="22"/>
  <c r="W119" i="22"/>
  <c r="W87" i="22"/>
  <c r="W123" i="22"/>
  <c r="W129" i="22"/>
  <c r="W118" i="22"/>
  <c r="W92" i="22"/>
  <c r="W122" i="22"/>
  <c r="W157" i="22"/>
  <c r="W185" i="22"/>
  <c r="W145" i="22"/>
  <c r="W183" i="22"/>
  <c r="W121" i="22"/>
  <c r="W30" i="22"/>
  <c r="W182" i="22"/>
  <c r="W42" i="22"/>
  <c r="W46" i="22"/>
  <c r="W62" i="22"/>
  <c r="W21" i="22"/>
  <c r="W36" i="22"/>
  <c r="W18" i="22"/>
  <c r="W56" i="22"/>
  <c r="W50" i="22"/>
  <c r="W59" i="22"/>
  <c r="W52" i="22"/>
  <c r="W68" i="22"/>
  <c r="W70" i="22"/>
  <c r="W79" i="22"/>
  <c r="W82" i="22"/>
  <c r="W96" i="22"/>
  <c r="W120" i="22"/>
  <c r="W97" i="22"/>
  <c r="W115" i="22"/>
  <c r="W125" i="22"/>
  <c r="W133" i="22"/>
  <c r="W153" i="22"/>
  <c r="W142" i="22"/>
  <c r="W164" i="22"/>
  <c r="W108" i="22"/>
  <c r="W151" i="22"/>
  <c r="W130" i="22"/>
  <c r="W141" i="22"/>
  <c r="W158" i="22"/>
  <c r="W113" i="22"/>
  <c r="W169" i="22"/>
  <c r="W192" i="22"/>
  <c r="W188" i="22"/>
  <c r="W148" i="22"/>
  <c r="W173" i="22"/>
  <c r="W184" i="22"/>
  <c r="W89" i="22"/>
  <c r="W112" i="22"/>
  <c r="W43" i="22"/>
  <c r="W23" i="22"/>
  <c r="W45" i="22"/>
  <c r="W47" i="22"/>
  <c r="W159" i="22"/>
  <c r="W111" i="22"/>
  <c r="W29" i="22"/>
  <c r="W60" i="22"/>
  <c r="W24" i="22"/>
  <c r="W95" i="22"/>
  <c r="W187" i="22"/>
  <c r="W58" i="22"/>
  <c r="W100" i="22"/>
  <c r="W76" i="22"/>
  <c r="W171" i="22"/>
  <c r="W155" i="22"/>
  <c r="W134" i="22"/>
  <c r="W162" i="22"/>
  <c r="W174" i="22"/>
  <c r="W191" i="22"/>
  <c r="W165" i="22"/>
  <c r="W190" i="22"/>
  <c r="W136" i="22"/>
  <c r="W19" i="22"/>
  <c r="W15" i="22"/>
  <c r="W132" i="22"/>
  <c r="W11" i="22"/>
  <c r="W14" i="22"/>
  <c r="W149" i="22"/>
  <c r="W27" i="22"/>
  <c r="D158" i="22"/>
  <c r="D155" i="22"/>
  <c r="D152" i="22"/>
  <c r="D157" i="22"/>
  <c r="D156" i="22"/>
  <c r="D165" i="22"/>
  <c r="D153" i="22"/>
  <c r="D154" i="22"/>
  <c r="BC112" i="22"/>
  <c r="BA113" i="22" s="1"/>
  <c r="D104" i="22"/>
  <c r="D105" i="22"/>
  <c r="D101" i="22"/>
  <c r="BC122" i="22"/>
  <c r="BA129" i="22" s="1"/>
  <c r="E179" i="22"/>
  <c r="E181" i="22"/>
  <c r="E180" i="22"/>
  <c r="E178" i="22"/>
  <c r="J8" i="22"/>
  <c r="J74" i="22"/>
  <c r="E128" i="22"/>
  <c r="E127" i="22"/>
  <c r="J174" i="22"/>
  <c r="E185" i="22"/>
  <c r="E186" i="22"/>
  <c r="E187" i="22"/>
  <c r="E119" i="22"/>
  <c r="E118" i="22"/>
  <c r="E143" i="22"/>
  <c r="E144" i="22"/>
  <c r="E171" i="22"/>
  <c r="E169" i="22"/>
  <c r="E170" i="22"/>
  <c r="J62" i="22"/>
  <c r="J151" i="22"/>
  <c r="J35" i="22"/>
  <c r="J100" i="22"/>
  <c r="J20" i="22"/>
  <c r="J122" i="22"/>
  <c r="E41" i="22"/>
  <c r="E43" i="22"/>
  <c r="E42" i="22"/>
  <c r="J78" i="22"/>
  <c r="D166" i="22"/>
  <c r="D146" i="22"/>
  <c r="D151" i="22"/>
  <c r="AH72" i="5"/>
  <c r="O67" i="9"/>
  <c r="J66" i="9" s="1"/>
  <c r="BC145" i="22"/>
  <c r="BA166" i="22" s="1"/>
  <c r="BC121" i="22"/>
  <c r="BA172" i="22" s="1"/>
  <c r="BC9" i="22"/>
  <c r="BA35" i="22" s="1"/>
  <c r="D188" i="22"/>
  <c r="D184" i="22"/>
  <c r="D192" i="22"/>
  <c r="E184" i="22"/>
  <c r="E132" i="22"/>
  <c r="E66" i="22"/>
  <c r="E65" i="22"/>
  <c r="E67" i="22"/>
  <c r="E61" i="22"/>
  <c r="E60" i="22"/>
  <c r="E73" i="22"/>
  <c r="E69" i="22"/>
  <c r="E72" i="22"/>
  <c r="E71" i="22"/>
  <c r="E70" i="22"/>
  <c r="E49" i="22"/>
  <c r="E59" i="22"/>
  <c r="E54" i="22"/>
  <c r="E193" i="22"/>
  <c r="E194" i="22"/>
  <c r="E149" i="22"/>
  <c r="E150" i="22"/>
  <c r="E17" i="22"/>
  <c r="E18" i="22"/>
  <c r="E15" i="22"/>
  <c r="E16" i="22"/>
  <c r="E111" i="22"/>
  <c r="E110" i="22"/>
  <c r="E108" i="22"/>
  <c r="E109" i="22"/>
  <c r="E106" i="22"/>
  <c r="E107" i="22"/>
  <c r="E38" i="22"/>
  <c r="E39" i="22"/>
  <c r="E37" i="22"/>
  <c r="D35" i="22"/>
  <c r="D48" i="22"/>
  <c r="D10" i="22"/>
  <c r="D20" i="22"/>
  <c r="O116" i="6"/>
  <c r="O135" i="6" s="1"/>
  <c r="D46" i="16" s="1"/>
  <c r="U40" i="21" s="1"/>
  <c r="Y40" i="21" s="1"/>
  <c r="W31" i="20"/>
  <c r="X31" i="20" s="1"/>
  <c r="L97" i="6"/>
  <c r="E18" i="16" s="1"/>
  <c r="L98" i="6"/>
  <c r="E19" i="16" s="1"/>
  <c r="W42" i="20"/>
  <c r="J41" i="20" s="1"/>
  <c r="J74" i="20" s="1"/>
  <c r="X42" i="20"/>
  <c r="W32" i="20"/>
  <c r="X32" i="20" s="1"/>
  <c r="AH161" i="5"/>
  <c r="AH159" i="5"/>
  <c r="AH164" i="5"/>
  <c r="O97" i="6"/>
  <c r="D18" i="16" s="1"/>
  <c r="O98" i="6"/>
  <c r="D19" i="16" s="1"/>
  <c r="AH160" i="5"/>
  <c r="L96" i="6"/>
  <c r="E17" i="16" s="1"/>
  <c r="AH162" i="5"/>
  <c r="AH163" i="5"/>
  <c r="D162" i="18"/>
  <c r="D159" i="18"/>
  <c r="D163" i="18"/>
  <c r="D161" i="18"/>
  <c r="D160" i="18"/>
  <c r="D164" i="18"/>
  <c r="J158" i="18"/>
  <c r="H70" i="18"/>
  <c r="AH70" i="5"/>
  <c r="H71" i="18"/>
  <c r="AH71" i="5"/>
  <c r="H115" i="18"/>
  <c r="J114" i="18" s="1"/>
  <c r="E115" i="18" s="1"/>
  <c r="AC115" i="5" s="1"/>
  <c r="AH115" i="5"/>
  <c r="AH114" i="5" s="1"/>
  <c r="H73" i="18"/>
  <c r="AH73" i="5"/>
  <c r="AH63" i="5"/>
  <c r="AH183" i="5"/>
  <c r="AH48" i="5"/>
  <c r="AH138" i="5"/>
  <c r="AH78" i="5"/>
  <c r="AH32" i="5"/>
  <c r="AH20" i="5" s="1"/>
  <c r="AH33" i="5"/>
  <c r="I89" i="18"/>
  <c r="D90" i="18" s="1"/>
  <c r="AA90" i="5" s="1"/>
  <c r="I32" i="18"/>
  <c r="F37" i="11"/>
  <c r="F35" i="11"/>
  <c r="F38" i="11"/>
  <c r="W124" i="5"/>
  <c r="Z124" i="5" s="1"/>
  <c r="AD124" i="5" s="1"/>
  <c r="F34" i="11"/>
  <c r="F36" i="11"/>
  <c r="T40" i="4"/>
  <c r="I22" i="14"/>
  <c r="K126" i="18"/>
  <c r="G126" i="18" s="1"/>
  <c r="I124" i="18" s="1"/>
  <c r="J139" i="18"/>
  <c r="E141" i="18" s="1"/>
  <c r="O95" i="6"/>
  <c r="D16" i="16" s="1"/>
  <c r="F23" i="11"/>
  <c r="F24" i="11"/>
  <c r="F27" i="11"/>
  <c r="W123" i="5"/>
  <c r="F25" i="11"/>
  <c r="F26" i="11"/>
  <c r="AH11" i="5"/>
  <c r="O13" i="8"/>
  <c r="J12" i="8" s="1"/>
  <c r="AH165" i="5"/>
  <c r="AH158" i="5"/>
  <c r="I129" i="18"/>
  <c r="D131" i="18" s="1"/>
  <c r="AA131" i="5" s="1"/>
  <c r="R131" i="5" s="1"/>
  <c r="I44" i="18"/>
  <c r="D46" i="18" s="1"/>
  <c r="I126" i="18"/>
  <c r="D128" i="18" s="1"/>
  <c r="J142" i="18"/>
  <c r="F135" i="9"/>
  <c r="W76" i="5"/>
  <c r="F134" i="9"/>
  <c r="F136" i="9"/>
  <c r="F137" i="9"/>
  <c r="F133" i="9"/>
  <c r="H34" i="18"/>
  <c r="H85" i="18"/>
  <c r="AH85" i="5"/>
  <c r="AH149" i="5"/>
  <c r="H149" i="18"/>
  <c r="AH176" i="5"/>
  <c r="H176" i="18"/>
  <c r="H122" i="18"/>
  <c r="AH122" i="5"/>
  <c r="H62" i="18"/>
  <c r="AH62" i="5"/>
  <c r="H121" i="18"/>
  <c r="AH121" i="5"/>
  <c r="J220" i="8"/>
  <c r="J219" i="8" s="1"/>
  <c r="H27" i="18"/>
  <c r="AH27" i="5"/>
  <c r="O39" i="8"/>
  <c r="K40" i="8" s="1"/>
  <c r="X13" i="5" s="1"/>
  <c r="AH13" i="5"/>
  <c r="H60" i="18"/>
  <c r="AH60" i="5"/>
  <c r="AH131" i="5"/>
  <c r="H131" i="18"/>
  <c r="H154" i="18"/>
  <c r="AH154" i="5"/>
  <c r="O180" i="8"/>
  <c r="J179" i="8" s="1"/>
  <c r="H24" i="18"/>
  <c r="AH24" i="5"/>
  <c r="H95" i="18"/>
  <c r="AH95" i="5"/>
  <c r="F186" i="9"/>
  <c r="F188" i="9"/>
  <c r="F185" i="9"/>
  <c r="F189" i="9"/>
  <c r="F187" i="9"/>
  <c r="W77" i="5"/>
  <c r="Z77" i="5" s="1"/>
  <c r="Q77" i="5" s="1"/>
  <c r="J182" i="9"/>
  <c r="F43" i="8"/>
  <c r="F42" i="8"/>
  <c r="F41" i="8"/>
  <c r="F45" i="8"/>
  <c r="F44" i="8"/>
  <c r="O326" i="8"/>
  <c r="J325" i="8" s="1"/>
  <c r="H42" i="18"/>
  <c r="AH42" i="5"/>
  <c r="AH17" i="5"/>
  <c r="H17" i="18"/>
  <c r="O108" i="8"/>
  <c r="J107" i="8" s="1"/>
  <c r="O351" i="8"/>
  <c r="J350" i="8" s="1"/>
  <c r="AH44" i="5"/>
  <c r="H44" i="18"/>
  <c r="AH189" i="5"/>
  <c r="H189" i="18"/>
  <c r="H26" i="18"/>
  <c r="O211" i="8"/>
  <c r="J210" i="8" s="1"/>
  <c r="AH26" i="5"/>
  <c r="H69" i="18"/>
  <c r="O47" i="9"/>
  <c r="J46" i="9" s="1"/>
  <c r="AH190" i="5"/>
  <c r="H190" i="18"/>
  <c r="H33" i="18"/>
  <c r="H67" i="18"/>
  <c r="H167" i="18"/>
  <c r="AH167" i="5"/>
  <c r="AH166" i="5" s="1"/>
  <c r="H25" i="18"/>
  <c r="AH25" i="5"/>
  <c r="H83" i="18"/>
  <c r="AH83" i="5"/>
  <c r="O449" i="8"/>
  <c r="J448" i="8" s="1"/>
  <c r="AH57" i="5"/>
  <c r="H57" i="18"/>
  <c r="H91" i="18"/>
  <c r="AH91" i="5"/>
  <c r="AH130" i="5"/>
  <c r="H130" i="18"/>
  <c r="AH152" i="5"/>
  <c r="H193" i="18"/>
  <c r="AH193" i="5"/>
  <c r="AH179" i="5"/>
  <c r="H76" i="18"/>
  <c r="H39" i="18"/>
  <c r="O306" i="8"/>
  <c r="J305" i="8" s="1"/>
  <c r="AH39" i="5"/>
  <c r="AH22" i="5"/>
  <c r="H22" i="18"/>
  <c r="O154" i="8"/>
  <c r="J153" i="8" s="1"/>
  <c r="AH87" i="5"/>
  <c r="H87" i="18"/>
  <c r="H107" i="18"/>
  <c r="AH107" i="5"/>
  <c r="AH170" i="5"/>
  <c r="H170" i="18"/>
  <c r="H153" i="18"/>
  <c r="AH153" i="5"/>
  <c r="H15" i="18"/>
  <c r="AH15" i="5"/>
  <c r="O74" i="8"/>
  <c r="O256" i="8"/>
  <c r="J255" i="8" s="1"/>
  <c r="H31" i="18"/>
  <c r="H186" i="18"/>
  <c r="AH186" i="5"/>
  <c r="H81" i="18"/>
  <c r="AH81" i="5"/>
  <c r="H116" i="18"/>
  <c r="AH106" i="5"/>
  <c r="H106" i="18"/>
  <c r="AH178" i="5"/>
  <c r="H181" i="18"/>
  <c r="J177" i="18" s="1"/>
  <c r="H171" i="18"/>
  <c r="AH171" i="5"/>
  <c r="I131" i="18"/>
  <c r="AH157" i="5"/>
  <c r="H157" i="18"/>
  <c r="H108" i="18"/>
  <c r="AH108" i="5"/>
  <c r="AH55" i="5"/>
  <c r="H55" i="18"/>
  <c r="O428" i="8"/>
  <c r="J427" i="8" s="1"/>
  <c r="O142" i="8"/>
  <c r="J141" i="8" s="1"/>
  <c r="AH19" i="5"/>
  <c r="H19" i="18"/>
  <c r="H90" i="18"/>
  <c r="AH90" i="5"/>
  <c r="H46" i="18"/>
  <c r="O359" i="8"/>
  <c r="AH46" i="5"/>
  <c r="H84" i="18"/>
  <c r="AH84" i="5"/>
  <c r="H110" i="18"/>
  <c r="AH110" i="5"/>
  <c r="H185" i="18"/>
  <c r="AH185" i="5"/>
  <c r="H92" i="18"/>
  <c r="AH92" i="5"/>
  <c r="H53" i="18"/>
  <c r="O417" i="8"/>
  <c r="J416" i="8" s="1"/>
  <c r="AH53" i="5"/>
  <c r="AH94" i="5"/>
  <c r="H94" i="18"/>
  <c r="AH191" i="5"/>
  <c r="H191" i="18"/>
  <c r="AH147" i="5"/>
  <c r="AH146" i="5" s="1"/>
  <c r="H147" i="18"/>
  <c r="H45" i="18"/>
  <c r="AH45" i="5"/>
  <c r="AH43" i="5"/>
  <c r="H43" i="18"/>
  <c r="H111" i="18"/>
  <c r="AH111" i="5"/>
  <c r="H128" i="18"/>
  <c r="AH128" i="5"/>
  <c r="AH155" i="5"/>
  <c r="H155" i="18"/>
  <c r="F118" i="13"/>
  <c r="F116" i="13"/>
  <c r="F117" i="13"/>
  <c r="F114" i="13"/>
  <c r="F115" i="13"/>
  <c r="AH135" i="5"/>
  <c r="H135" i="18"/>
  <c r="AH173" i="5"/>
  <c r="H173" i="18"/>
  <c r="H77" i="18"/>
  <c r="AH127" i="5"/>
  <c r="H127" i="18"/>
  <c r="O399" i="8"/>
  <c r="J398" i="8" s="1"/>
  <c r="H51" i="18"/>
  <c r="AH51" i="5"/>
  <c r="AH112" i="5"/>
  <c r="H112" i="18"/>
  <c r="H98" i="18"/>
  <c r="AH98" i="5"/>
  <c r="H150" i="18"/>
  <c r="AH150" i="5"/>
  <c r="H37" i="18"/>
  <c r="O285" i="8"/>
  <c r="J284" i="8" s="1"/>
  <c r="AH37" i="5"/>
  <c r="O125" i="8"/>
  <c r="J124" i="8" s="1"/>
  <c r="AH18" i="5"/>
  <c r="H18" i="18"/>
  <c r="H125" i="18"/>
  <c r="AH125" i="5"/>
  <c r="AH12" i="5"/>
  <c r="H12" i="18"/>
  <c r="H61" i="18"/>
  <c r="AH61" i="5"/>
  <c r="O239" i="8"/>
  <c r="J238" i="8" s="1"/>
  <c r="H30" i="18"/>
  <c r="AH109" i="5"/>
  <c r="H109" i="18"/>
  <c r="AH103" i="5"/>
  <c r="H103" i="18"/>
  <c r="O372" i="9"/>
  <c r="J371" i="9" s="1"/>
  <c r="AH136" i="5"/>
  <c r="H136" i="18"/>
  <c r="AH169" i="5"/>
  <c r="H169" i="18"/>
  <c r="H66" i="18"/>
  <c r="O25" i="9"/>
  <c r="J24" i="9" s="1"/>
  <c r="AH9" i="5"/>
  <c r="H9" i="18"/>
  <c r="J296" i="8"/>
  <c r="J295" i="8" s="1"/>
  <c r="AH38" i="5"/>
  <c r="H38" i="18"/>
  <c r="O408" i="8"/>
  <c r="J407" i="8" s="1"/>
  <c r="AH52" i="5"/>
  <c r="H52" i="18"/>
  <c r="H88" i="18"/>
  <c r="AH88" i="5"/>
  <c r="H118" i="18"/>
  <c r="H23" i="18"/>
  <c r="AH23" i="5"/>
  <c r="AH175" i="5"/>
  <c r="H175" i="18"/>
  <c r="F71" i="9"/>
  <c r="W72" i="5"/>
  <c r="F72" i="9"/>
  <c r="F69" i="9"/>
  <c r="F70" i="9"/>
  <c r="F73" i="9"/>
  <c r="H80" i="18"/>
  <c r="AH80" i="5"/>
  <c r="AH119" i="5"/>
  <c r="AH117" i="5" s="1"/>
  <c r="H119" i="18"/>
  <c r="H172" i="18"/>
  <c r="AH172" i="5"/>
  <c r="AH129" i="5"/>
  <c r="H129" i="18"/>
  <c r="AH41" i="5"/>
  <c r="H41" i="18"/>
  <c r="O317" i="8"/>
  <c r="J316" i="8" s="1"/>
  <c r="AH133" i="5"/>
  <c r="H133" i="18"/>
  <c r="AH137" i="5"/>
  <c r="H137" i="18"/>
  <c r="AH16" i="5"/>
  <c r="H16" i="18"/>
  <c r="O91" i="8"/>
  <c r="H104" i="18"/>
  <c r="O384" i="9"/>
  <c r="J383" i="9" s="1"/>
  <c r="AH104" i="5"/>
  <c r="AH100" i="5" s="1"/>
  <c r="O370" i="8"/>
  <c r="J369" i="8" s="1"/>
  <c r="H47" i="18"/>
  <c r="AH47" i="5"/>
  <c r="AH56" i="5"/>
  <c r="H56" i="18"/>
  <c r="O438" i="8"/>
  <c r="J437" i="8" s="1"/>
  <c r="H28" i="18"/>
  <c r="AH102" i="5"/>
  <c r="H102" i="18"/>
  <c r="O361" i="9"/>
  <c r="J360" i="9" s="1"/>
  <c r="H132" i="18"/>
  <c r="AH132" i="5"/>
  <c r="AH50" i="5"/>
  <c r="H50" i="18"/>
  <c r="O389" i="8"/>
  <c r="J388" i="8" s="1"/>
  <c r="AH86" i="5"/>
  <c r="H86" i="18"/>
  <c r="AH123" i="5"/>
  <c r="H123" i="18"/>
  <c r="H113" i="18"/>
  <c r="AH113" i="5"/>
  <c r="AH145" i="5"/>
  <c r="H145" i="18"/>
  <c r="AH187" i="5"/>
  <c r="H187" i="18"/>
  <c r="H29" i="18"/>
  <c r="H97" i="18"/>
  <c r="AH97" i="5"/>
  <c r="H58" i="18"/>
  <c r="O458" i="8"/>
  <c r="J457" i="8" s="1"/>
  <c r="AH58" i="5"/>
  <c r="H65" i="18"/>
  <c r="O14" i="9"/>
  <c r="J13" i="9" s="1"/>
  <c r="AH96" i="5"/>
  <c r="H96" i="18"/>
  <c r="H134" i="18"/>
  <c r="AH134" i="5"/>
  <c r="H194" i="18"/>
  <c r="AH180" i="5"/>
  <c r="AH194" i="5"/>
  <c r="H156" i="18"/>
  <c r="AH156" i="5"/>
  <c r="X29" i="20" l="1"/>
  <c r="E14" i="22"/>
  <c r="E90" i="22"/>
  <c r="E114" i="22"/>
  <c r="BA100" i="22"/>
  <c r="E192" i="22"/>
  <c r="E117" i="22"/>
  <c r="E92" i="22"/>
  <c r="E147" i="22"/>
  <c r="E113" i="22"/>
  <c r="J44" i="18"/>
  <c r="E45" i="18" s="1"/>
  <c r="W29" i="20"/>
  <c r="J23" i="20" s="1"/>
  <c r="H37" i="20" s="1"/>
  <c r="BA48" i="22"/>
  <c r="BA146" i="22"/>
  <c r="BA122" i="22"/>
  <c r="BA174" i="22"/>
  <c r="BA123" i="22"/>
  <c r="E133" i="22"/>
  <c r="E135" i="22"/>
  <c r="E136" i="22"/>
  <c r="BA10" i="22"/>
  <c r="BA145" i="22"/>
  <c r="BA151" i="22"/>
  <c r="BA173" i="22"/>
  <c r="BA116" i="22"/>
  <c r="E11" i="22"/>
  <c r="BA62" i="22"/>
  <c r="E89" i="22"/>
  <c r="E79" i="22"/>
  <c r="E82" i="22"/>
  <c r="E93" i="22"/>
  <c r="E123" i="22"/>
  <c r="E138" i="22"/>
  <c r="E129" i="22"/>
  <c r="E124" i="22"/>
  <c r="E157" i="22"/>
  <c r="E155" i="22"/>
  <c r="E152" i="22"/>
  <c r="E165" i="22"/>
  <c r="E154" i="22"/>
  <c r="E158" i="22"/>
  <c r="E153" i="22"/>
  <c r="E156" i="22"/>
  <c r="E182" i="22"/>
  <c r="E176" i="22"/>
  <c r="E177" i="22"/>
  <c r="E175" i="22"/>
  <c r="E112" i="22"/>
  <c r="E9" i="22"/>
  <c r="E62" i="22"/>
  <c r="BA117" i="22"/>
  <c r="BA9" i="22"/>
  <c r="E142" i="22"/>
  <c r="E139" i="22"/>
  <c r="E122" i="22"/>
  <c r="E145" i="22"/>
  <c r="E172" i="22"/>
  <c r="E64" i="22"/>
  <c r="E74" i="22"/>
  <c r="E68" i="22"/>
  <c r="BA138" i="22"/>
  <c r="E21" i="22"/>
  <c r="E32" i="22"/>
  <c r="E31" i="22"/>
  <c r="E30" i="22"/>
  <c r="E63" i="22"/>
  <c r="E78" i="22"/>
  <c r="E100" i="22"/>
  <c r="E168" i="22"/>
  <c r="E167" i="22"/>
  <c r="E101" i="22"/>
  <c r="E104" i="22"/>
  <c r="E105" i="22"/>
  <c r="E35" i="22"/>
  <c r="E48" i="22"/>
  <c r="E10" i="22"/>
  <c r="E20" i="22"/>
  <c r="BA63" i="22"/>
  <c r="E44" i="22"/>
  <c r="E36" i="22"/>
  <c r="E40" i="22"/>
  <c r="E47" i="22"/>
  <c r="E77" i="22"/>
  <c r="E75" i="22"/>
  <c r="E76" i="22"/>
  <c r="BA20" i="22"/>
  <c r="E173" i="22"/>
  <c r="E174" i="22"/>
  <c r="E183" i="22"/>
  <c r="BA124" i="22"/>
  <c r="J22" i="14"/>
  <c r="K22" i="14" s="1"/>
  <c r="U40" i="4"/>
  <c r="O136" i="6"/>
  <c r="AH35" i="5"/>
  <c r="J50" i="20"/>
  <c r="J75" i="20" s="1"/>
  <c r="AH174" i="5"/>
  <c r="K70" i="9"/>
  <c r="E161" i="18"/>
  <c r="E162" i="18"/>
  <c r="E160" i="18"/>
  <c r="E159" i="18"/>
  <c r="E163" i="18"/>
  <c r="E164" i="18"/>
  <c r="T115" i="5"/>
  <c r="AB114" i="5"/>
  <c r="AC114" i="5"/>
  <c r="D92" i="18"/>
  <c r="AA92" i="5" s="1"/>
  <c r="R92" i="5" s="1"/>
  <c r="D91" i="18"/>
  <c r="AA91" i="5" s="1"/>
  <c r="R91" i="5" s="1"/>
  <c r="AH10" i="5"/>
  <c r="AH151" i="5"/>
  <c r="J32" i="18"/>
  <c r="E34" i="18" s="1"/>
  <c r="AC34" i="5" s="1"/>
  <c r="AA159" i="5"/>
  <c r="D33" i="18"/>
  <c r="AA33" i="5" s="1"/>
  <c r="D34" i="18"/>
  <c r="AA162" i="5"/>
  <c r="R162" i="5" s="1"/>
  <c r="AC141" i="5"/>
  <c r="T141" i="5" s="1"/>
  <c r="AA46" i="5"/>
  <c r="R46" i="5" s="1"/>
  <c r="AA128" i="5"/>
  <c r="R128" i="5" s="1"/>
  <c r="Y40" i="4"/>
  <c r="D126" i="18"/>
  <c r="AA126" i="5" s="1"/>
  <c r="R126" i="5" s="1"/>
  <c r="D125" i="18"/>
  <c r="AA125" i="5" s="1"/>
  <c r="R125" i="5" s="1"/>
  <c r="E140" i="18"/>
  <c r="D130" i="18"/>
  <c r="AA130" i="5" s="1"/>
  <c r="R130" i="5" s="1"/>
  <c r="D45" i="18"/>
  <c r="D127" i="18"/>
  <c r="J79" i="18"/>
  <c r="E80" i="18" s="1"/>
  <c r="J40" i="18"/>
  <c r="E42" i="18" s="1"/>
  <c r="J89" i="18"/>
  <c r="J49" i="18"/>
  <c r="E50" i="18" s="1"/>
  <c r="J101" i="18"/>
  <c r="J168" i="18"/>
  <c r="J8" i="18"/>
  <c r="E9" i="18" s="1"/>
  <c r="J129" i="18"/>
  <c r="J82" i="18"/>
  <c r="E88" i="18" s="1"/>
  <c r="E178" i="18"/>
  <c r="AC178" i="5" s="1"/>
  <c r="E181" i="18"/>
  <c r="E179" i="18"/>
  <c r="AC179" i="5" s="1"/>
  <c r="E180" i="18"/>
  <c r="AC180" i="5" s="1"/>
  <c r="J64" i="18"/>
  <c r="E66" i="18" s="1"/>
  <c r="J36" i="18"/>
  <c r="J54" i="18"/>
  <c r="E57" i="18" s="1"/>
  <c r="J105" i="18"/>
  <c r="J192" i="18"/>
  <c r="E193" i="18" s="1"/>
  <c r="AC193" i="5" s="1"/>
  <c r="J188" i="18"/>
  <c r="E190" i="18" s="1"/>
  <c r="AC190" i="5" s="1"/>
  <c r="J148" i="18"/>
  <c r="J14" i="18"/>
  <c r="J21" i="18"/>
  <c r="J117" i="18"/>
  <c r="J126" i="18"/>
  <c r="E128" i="18" s="1"/>
  <c r="J93" i="18"/>
  <c r="E98" i="18" s="1"/>
  <c r="J184" i="18"/>
  <c r="E187" i="18" s="1"/>
  <c r="J121" i="18"/>
  <c r="E122" i="18" s="1"/>
  <c r="E143" i="18"/>
  <c r="AC143" i="5" s="1"/>
  <c r="E144" i="18"/>
  <c r="K13" i="18"/>
  <c r="G13" i="18" s="1"/>
  <c r="I11" i="18" s="1"/>
  <c r="D13" i="18" s="1"/>
  <c r="K45" i="8"/>
  <c r="K42" i="8"/>
  <c r="K43" i="8"/>
  <c r="K41" i="8"/>
  <c r="K44" i="8"/>
  <c r="F88" i="9"/>
  <c r="J84" i="9"/>
  <c r="F91" i="9"/>
  <c r="F89" i="9"/>
  <c r="F90" i="9"/>
  <c r="F87" i="9"/>
  <c r="W75" i="5"/>
  <c r="J131" i="18"/>
  <c r="J38" i="8"/>
  <c r="K77" i="18"/>
  <c r="G77" i="18" s="1"/>
  <c r="J59" i="18"/>
  <c r="D133" i="18"/>
  <c r="AA133" i="5" s="1"/>
  <c r="R133" i="5" s="1"/>
  <c r="D136" i="18"/>
  <c r="AA136" i="5" s="1"/>
  <c r="R136" i="5" s="1"/>
  <c r="D134" i="18"/>
  <c r="AA134" i="5" s="1"/>
  <c r="R134" i="5" s="1"/>
  <c r="D132" i="18"/>
  <c r="AA132" i="5" s="1"/>
  <c r="R132" i="5" s="1"/>
  <c r="D135" i="18"/>
  <c r="AA135" i="5" s="1"/>
  <c r="R135" i="5" s="1"/>
  <c r="E46" i="18" l="1"/>
  <c r="AC46" i="5" s="1"/>
  <c r="T46" i="5" s="1"/>
  <c r="K73" i="9"/>
  <c r="K69" i="9"/>
  <c r="X72" i="5"/>
  <c r="AB72" i="5" s="1"/>
  <c r="S72" i="5" s="1"/>
  <c r="K71" i="9"/>
  <c r="K72" i="9"/>
  <c r="S114" i="5"/>
  <c r="L114" i="18" s="1"/>
  <c r="H114" i="18" s="1"/>
  <c r="AA34" i="5"/>
  <c r="R34" i="5" s="1"/>
  <c r="E33" i="18"/>
  <c r="AC33" i="5" s="1"/>
  <c r="AB32" i="5" s="1"/>
  <c r="S32" i="5" s="1"/>
  <c r="L32" i="18" s="1"/>
  <c r="H32" i="18" s="1"/>
  <c r="AC159" i="5"/>
  <c r="E92" i="18"/>
  <c r="E91" i="18"/>
  <c r="E90" i="18"/>
  <c r="AC90" i="5" s="1"/>
  <c r="AA163" i="5"/>
  <c r="R163" i="5" s="1"/>
  <c r="AA160" i="5"/>
  <c r="R160" i="5" s="1"/>
  <c r="AA161" i="5"/>
  <c r="R161" i="5" s="1"/>
  <c r="AA164" i="5"/>
  <c r="R164" i="5" s="1"/>
  <c r="R33" i="5"/>
  <c r="R90" i="5"/>
  <c r="Z89" i="5"/>
  <c r="Q89" i="5" s="1"/>
  <c r="R159" i="5"/>
  <c r="T34" i="5"/>
  <c r="AC187" i="5"/>
  <c r="T187" i="5" s="1"/>
  <c r="AC144" i="5"/>
  <c r="T144" i="5" s="1"/>
  <c r="AC98" i="5"/>
  <c r="T98" i="5" s="1"/>
  <c r="AC88" i="5"/>
  <c r="T88" i="5" s="1"/>
  <c r="AC80" i="5"/>
  <c r="T80" i="5" s="1"/>
  <c r="E95" i="18"/>
  <c r="AC66" i="5"/>
  <c r="T66" i="5" s="1"/>
  <c r="T178" i="5"/>
  <c r="AC181" i="5"/>
  <c r="T181" i="5" s="1"/>
  <c r="AC140" i="5"/>
  <c r="T140" i="5" s="1"/>
  <c r="AC50" i="5"/>
  <c r="T50" i="5" s="1"/>
  <c r="AA127" i="5"/>
  <c r="R127" i="5" s="1"/>
  <c r="AA45" i="5"/>
  <c r="R45" i="5" s="1"/>
  <c r="AC42" i="5"/>
  <c r="T42" i="5" s="1"/>
  <c r="AC45" i="5"/>
  <c r="T45" i="5" s="1"/>
  <c r="AC57" i="5"/>
  <c r="T57" i="5" s="1"/>
  <c r="AC128" i="5"/>
  <c r="T128" i="5" s="1"/>
  <c r="E43" i="18"/>
  <c r="AC43" i="5" s="1"/>
  <c r="T43" i="5" s="1"/>
  <c r="E112" i="18"/>
  <c r="E81" i="18"/>
  <c r="E56" i="18"/>
  <c r="E41" i="18"/>
  <c r="AC41" i="5" s="1"/>
  <c r="T41" i="5" s="1"/>
  <c r="E87" i="18"/>
  <c r="E194" i="18"/>
  <c r="E62" i="18"/>
  <c r="E97" i="18"/>
  <c r="E58" i="18"/>
  <c r="AC58" i="5" s="1"/>
  <c r="T58" i="5" s="1"/>
  <c r="E55" i="18"/>
  <c r="E189" i="18"/>
  <c r="E53" i="18"/>
  <c r="AC53" i="5" s="1"/>
  <c r="T53" i="5" s="1"/>
  <c r="E51" i="18"/>
  <c r="E169" i="18"/>
  <c r="AC169" i="5" s="1"/>
  <c r="E171" i="18"/>
  <c r="E170" i="18"/>
  <c r="E52" i="18"/>
  <c r="AC52" i="5" s="1"/>
  <c r="T52" i="5" s="1"/>
  <c r="E103" i="18"/>
  <c r="E102" i="18"/>
  <c r="AC102" i="5" s="1"/>
  <c r="E131" i="18"/>
  <c r="E130" i="18"/>
  <c r="E84" i="18"/>
  <c r="E83" i="18"/>
  <c r="AC83" i="5" s="1"/>
  <c r="E86" i="18"/>
  <c r="E85" i="18"/>
  <c r="E191" i="18"/>
  <c r="E127" i="18"/>
  <c r="AC127" i="5" s="1"/>
  <c r="T143" i="5"/>
  <c r="E186" i="18"/>
  <c r="E185" i="18"/>
  <c r="AC185" i="5" s="1"/>
  <c r="E119" i="18"/>
  <c r="E118" i="18"/>
  <c r="AC118" i="5" s="1"/>
  <c r="E65" i="18"/>
  <c r="AC65" i="5" s="1"/>
  <c r="E67" i="18"/>
  <c r="E38" i="18"/>
  <c r="E39" i="18"/>
  <c r="E37" i="18"/>
  <c r="AC37" i="5" s="1"/>
  <c r="E145" i="18"/>
  <c r="E172" i="18"/>
  <c r="E94" i="18"/>
  <c r="AC94" i="5" s="1"/>
  <c r="E96" i="18"/>
  <c r="E27" i="18"/>
  <c r="E26" i="18"/>
  <c r="E25" i="18"/>
  <c r="E24" i="18"/>
  <c r="E29" i="18"/>
  <c r="E28" i="18"/>
  <c r="E23" i="18"/>
  <c r="E22" i="18"/>
  <c r="AC22" i="5" s="1"/>
  <c r="E110" i="18"/>
  <c r="E111" i="18"/>
  <c r="E106" i="18"/>
  <c r="AC106" i="5" s="1"/>
  <c r="E107" i="18"/>
  <c r="E109" i="18"/>
  <c r="E108" i="18"/>
  <c r="E150" i="18"/>
  <c r="E149" i="18"/>
  <c r="AC149" i="5" s="1"/>
  <c r="E16" i="18"/>
  <c r="E17" i="18"/>
  <c r="E18" i="18"/>
  <c r="E15" i="18"/>
  <c r="AC15" i="5" s="1"/>
  <c r="E132" i="18"/>
  <c r="AC132" i="5" s="1"/>
  <c r="T132" i="5" s="1"/>
  <c r="E135" i="18"/>
  <c r="AC135" i="5" s="1"/>
  <c r="T135" i="5" s="1"/>
  <c r="E134" i="18"/>
  <c r="AC134" i="5" s="1"/>
  <c r="T134" i="5" s="1"/>
  <c r="E133" i="18"/>
  <c r="AC133" i="5" s="1"/>
  <c r="T133" i="5" s="1"/>
  <c r="E136" i="18"/>
  <c r="AC136" i="5" s="1"/>
  <c r="T136" i="5" s="1"/>
  <c r="E61" i="18"/>
  <c r="E60" i="18"/>
  <c r="AC60" i="5" s="1"/>
  <c r="L13" i="18"/>
  <c r="H13" i="18" s="1"/>
  <c r="J11" i="18" s="1"/>
  <c r="E12" i="18" s="1"/>
  <c r="D12" i="18"/>
  <c r="AA12" i="5" s="1"/>
  <c r="F78" i="11"/>
  <c r="Z32" i="5" l="1"/>
  <c r="Q32" i="5" s="1"/>
  <c r="K32" i="18" s="1"/>
  <c r="G32" i="18" s="1"/>
  <c r="AC51" i="5"/>
  <c r="T51" i="5" s="1"/>
  <c r="AC91" i="5"/>
  <c r="T91" i="5" s="1"/>
  <c r="AC92" i="5"/>
  <c r="T92" i="5" s="1"/>
  <c r="Z158" i="5"/>
  <c r="Q158" i="5" s="1"/>
  <c r="K158" i="18" s="1"/>
  <c r="G158" i="18" s="1"/>
  <c r="L72" i="18"/>
  <c r="H72" i="18" s="1"/>
  <c r="J68" i="18" s="1"/>
  <c r="AC162" i="5"/>
  <c r="T162" i="5" s="1"/>
  <c r="AC161" i="5"/>
  <c r="T161" i="5" s="1"/>
  <c r="AC164" i="5"/>
  <c r="T164" i="5" s="1"/>
  <c r="AC160" i="5"/>
  <c r="T160" i="5" s="1"/>
  <c r="AC163" i="5"/>
  <c r="T163" i="5" s="1"/>
  <c r="AB142" i="5"/>
  <c r="AA13" i="5"/>
  <c r="R13" i="5" s="1"/>
  <c r="K89" i="18"/>
  <c r="G89" i="18" s="1"/>
  <c r="T33" i="5"/>
  <c r="AB139" i="5"/>
  <c r="S139" i="5" s="1"/>
  <c r="AC107" i="5"/>
  <c r="T107" i="5" s="1"/>
  <c r="AC38" i="5"/>
  <c r="T38" i="5" s="1"/>
  <c r="AC186" i="5"/>
  <c r="T186" i="5" s="1"/>
  <c r="AC103" i="5"/>
  <c r="T103" i="5" s="1"/>
  <c r="AC18" i="5"/>
  <c r="T18" i="5" s="1"/>
  <c r="AC150" i="5"/>
  <c r="T150" i="5" s="1"/>
  <c r="AC191" i="5"/>
  <c r="T191" i="5" s="1"/>
  <c r="AC87" i="5"/>
  <c r="T87" i="5" s="1"/>
  <c r="AC17" i="5"/>
  <c r="T17" i="5" s="1"/>
  <c r="AC108" i="5"/>
  <c r="T108" i="5" s="1"/>
  <c r="AC111" i="5"/>
  <c r="T111" i="5" s="1"/>
  <c r="AC96" i="5"/>
  <c r="T96" i="5" s="1"/>
  <c r="AC119" i="5"/>
  <c r="T119" i="5" s="1"/>
  <c r="AC170" i="5"/>
  <c r="AC97" i="5"/>
  <c r="T97" i="5" s="1"/>
  <c r="AC86" i="5"/>
  <c r="T86" i="5" s="1"/>
  <c r="AC81" i="5"/>
  <c r="T81" i="5" s="1"/>
  <c r="AC16" i="5"/>
  <c r="T16" i="5" s="1"/>
  <c r="AC109" i="5"/>
  <c r="T109" i="5" s="1"/>
  <c r="AC110" i="5"/>
  <c r="T110" i="5" s="1"/>
  <c r="AC39" i="5"/>
  <c r="T39" i="5" s="1"/>
  <c r="AC67" i="5"/>
  <c r="T67" i="5" s="1"/>
  <c r="AC85" i="5"/>
  <c r="AC84" i="5"/>
  <c r="T84" i="5" s="1"/>
  <c r="AC171" i="5"/>
  <c r="T171" i="5" s="1"/>
  <c r="AC189" i="5"/>
  <c r="T189" i="5" s="1"/>
  <c r="AC194" i="5"/>
  <c r="T194" i="5" s="1"/>
  <c r="AC95" i="5"/>
  <c r="T95" i="5" s="1"/>
  <c r="AC24" i="5"/>
  <c r="T24" i="5" s="1"/>
  <c r="AC55" i="5"/>
  <c r="AC28" i="5"/>
  <c r="T28" i="5" s="1"/>
  <c r="AC26" i="5"/>
  <c r="T26" i="5" s="1"/>
  <c r="AC23" i="5"/>
  <c r="AC25" i="5"/>
  <c r="T25" i="5" s="1"/>
  <c r="AC29" i="5"/>
  <c r="T29" i="5" s="1"/>
  <c r="AC27" i="5"/>
  <c r="T27" i="5" s="1"/>
  <c r="AC56" i="5"/>
  <c r="T56" i="5" s="1"/>
  <c r="AC61" i="5"/>
  <c r="T61" i="5" s="1"/>
  <c r="AB40" i="5"/>
  <c r="S40" i="5" s="1"/>
  <c r="T127" i="5"/>
  <c r="T159" i="5"/>
  <c r="T180" i="5"/>
  <c r="L126" i="18"/>
  <c r="H126" i="18" s="1"/>
  <c r="J124" i="18" s="1"/>
  <c r="E125" i="18" s="1"/>
  <c r="AC125" i="5" s="1"/>
  <c r="T169" i="5"/>
  <c r="T102" i="5"/>
  <c r="T83" i="5"/>
  <c r="T90" i="5"/>
  <c r="T185" i="5"/>
  <c r="T179" i="5"/>
  <c r="T22" i="5"/>
  <c r="T65" i="5"/>
  <c r="T15" i="5"/>
  <c r="T106" i="5"/>
  <c r="T149" i="5"/>
  <c r="T94" i="5"/>
  <c r="T37" i="5"/>
  <c r="T118" i="5"/>
  <c r="E13" i="18"/>
  <c r="AC13" i="5" s="1"/>
  <c r="T13" i="5" s="1"/>
  <c r="AC12" i="5"/>
  <c r="T193" i="5"/>
  <c r="T60" i="5"/>
  <c r="R12" i="5"/>
  <c r="AB49" i="5" l="1"/>
  <c r="S49" i="5" s="1"/>
  <c r="L49" i="18" s="1"/>
  <c r="H49" i="18" s="1"/>
  <c r="AB168" i="5"/>
  <c r="S168" i="5" s="1"/>
  <c r="AB89" i="5"/>
  <c r="S89" i="5" s="1"/>
  <c r="AB184" i="5"/>
  <c r="S184" i="5" s="1"/>
  <c r="AC117" i="5"/>
  <c r="AB148" i="5"/>
  <c r="S148" i="5" s="1"/>
  <c r="S142" i="5"/>
  <c r="L142" i="18" s="1"/>
  <c r="H142" i="18" s="1"/>
  <c r="E69" i="18"/>
  <c r="AC69" i="5" s="1"/>
  <c r="T69" i="5" s="1"/>
  <c r="E73" i="18"/>
  <c r="AC73" i="5" s="1"/>
  <c r="E70" i="18"/>
  <c r="AC70" i="5" s="1"/>
  <c r="E71" i="18"/>
  <c r="AC71" i="5" s="1"/>
  <c r="E72" i="18"/>
  <c r="AC72" i="5" s="1"/>
  <c r="T72" i="5" s="1"/>
  <c r="AB158" i="5"/>
  <c r="S158" i="5" s="1"/>
  <c r="L158" i="18" s="1"/>
  <c r="H158" i="18" s="1"/>
  <c r="AB21" i="5"/>
  <c r="AB59" i="5"/>
  <c r="S59" i="5" s="1"/>
  <c r="L59" i="18" s="1"/>
  <c r="H59" i="18" s="1"/>
  <c r="AB192" i="5"/>
  <c r="AB188" i="5"/>
  <c r="AB101" i="5"/>
  <c r="AB93" i="5"/>
  <c r="S93" i="5" s="1"/>
  <c r="AB14" i="5"/>
  <c r="AB79" i="5"/>
  <c r="AB82" i="5"/>
  <c r="S82" i="5" s="1"/>
  <c r="L40" i="18"/>
  <c r="H40" i="18" s="1"/>
  <c r="L139" i="18"/>
  <c r="H139" i="18" s="1"/>
  <c r="AB117" i="5"/>
  <c r="AB64" i="5"/>
  <c r="S64" i="5" s="1"/>
  <c r="AB54" i="5"/>
  <c r="S54" i="5" s="1"/>
  <c r="AB36" i="5"/>
  <c r="AB105" i="5"/>
  <c r="S105" i="5" s="1"/>
  <c r="T85" i="5"/>
  <c r="T170" i="5"/>
  <c r="T23" i="5"/>
  <c r="T55" i="5"/>
  <c r="AB177" i="5"/>
  <c r="S177" i="5" s="1"/>
  <c r="E126" i="18"/>
  <c r="AC126" i="5" s="1"/>
  <c r="T12" i="5"/>
  <c r="T125" i="5"/>
  <c r="S117" i="5" l="1"/>
  <c r="L117" i="18" s="1"/>
  <c r="H117" i="18" s="1"/>
  <c r="S36" i="5"/>
  <c r="L36" i="18" s="1"/>
  <c r="H36" i="18" s="1"/>
  <c r="J35" i="18" s="1"/>
  <c r="S21" i="5"/>
  <c r="L21" i="18" s="1"/>
  <c r="H21" i="18" s="1"/>
  <c r="S101" i="5"/>
  <c r="L101" i="18" s="1"/>
  <c r="H101" i="18" s="1"/>
  <c r="S79" i="5"/>
  <c r="L79" i="18" s="1"/>
  <c r="H79" i="18" s="1"/>
  <c r="J138" i="18"/>
  <c r="E139" i="18" s="1"/>
  <c r="AC139" i="5" s="1"/>
  <c r="S188" i="5"/>
  <c r="L188" i="18" s="1"/>
  <c r="H188" i="18" s="1"/>
  <c r="S14" i="5"/>
  <c r="L14" i="18" s="1"/>
  <c r="H14" i="18" s="1"/>
  <c r="S192" i="5"/>
  <c r="L192" i="18" s="1"/>
  <c r="H192" i="18" s="1"/>
  <c r="AB68" i="5"/>
  <c r="S68" i="5" s="1"/>
  <c r="L105" i="18"/>
  <c r="H105" i="18" s="1"/>
  <c r="L168" i="18"/>
  <c r="H168" i="18" s="1"/>
  <c r="J166" i="18" s="1"/>
  <c r="E167" i="18" s="1"/>
  <c r="L64" i="18"/>
  <c r="H64" i="18" s="1"/>
  <c r="L184" i="18"/>
  <c r="H184" i="18" s="1"/>
  <c r="L177" i="18"/>
  <c r="H177" i="18" s="1"/>
  <c r="J174" i="18" s="1"/>
  <c r="E182" i="18" s="1"/>
  <c r="L54" i="18"/>
  <c r="H54" i="18" s="1"/>
  <c r="J48" i="18" s="1"/>
  <c r="L148" i="18"/>
  <c r="H148" i="18" s="1"/>
  <c r="J146" i="18" s="1"/>
  <c r="L82" i="18"/>
  <c r="H82" i="18" s="1"/>
  <c r="T71" i="5"/>
  <c r="T126" i="5"/>
  <c r="U124" i="5"/>
  <c r="J183" i="18" l="1"/>
  <c r="E192" i="18" s="1"/>
  <c r="AC192" i="5" s="1"/>
  <c r="T192" i="5" s="1"/>
  <c r="E142" i="18"/>
  <c r="AC142" i="5" s="1"/>
  <c r="T142" i="5" s="1"/>
  <c r="T139" i="5"/>
  <c r="J100" i="18"/>
  <c r="E105" i="18" s="1"/>
  <c r="AC105" i="5" s="1"/>
  <c r="T105" i="5" s="1"/>
  <c r="E177" i="18"/>
  <c r="AC177" i="5" s="1"/>
  <c r="T177" i="5" s="1"/>
  <c r="AC182" i="5"/>
  <c r="J112" i="18"/>
  <c r="E114" i="18" s="1"/>
  <c r="T114" i="5" s="1"/>
  <c r="J20" i="18"/>
  <c r="E21" i="18" s="1"/>
  <c r="AC21" i="5" s="1"/>
  <c r="E168" i="18"/>
  <c r="AC168" i="5" s="1"/>
  <c r="T168" i="5" s="1"/>
  <c r="AC167" i="5"/>
  <c r="E54" i="18"/>
  <c r="AC54" i="5" s="1"/>
  <c r="T54" i="5" s="1"/>
  <c r="E49" i="18"/>
  <c r="AC49" i="5" s="1"/>
  <c r="E36" i="18"/>
  <c r="AC36" i="5" s="1"/>
  <c r="E44" i="18"/>
  <c r="AC44" i="5" s="1"/>
  <c r="T44" i="5" s="1"/>
  <c r="E40" i="18"/>
  <c r="AC40" i="5" s="1"/>
  <c r="T40" i="5" s="1"/>
  <c r="E47" i="18"/>
  <c r="AC47" i="5" s="1"/>
  <c r="E148" i="18"/>
  <c r="AC148" i="5" s="1"/>
  <c r="T148" i="5" s="1"/>
  <c r="E147" i="18"/>
  <c r="AC147" i="5" s="1"/>
  <c r="E59" i="18"/>
  <c r="L75" i="18"/>
  <c r="H75" i="18" s="1"/>
  <c r="J74" i="18" s="1"/>
  <c r="E175" i="18"/>
  <c r="AC175" i="5" s="1"/>
  <c r="E176" i="18"/>
  <c r="AC176" i="5" s="1"/>
  <c r="L68" i="18"/>
  <c r="H68" i="18" s="1"/>
  <c r="L89" i="18"/>
  <c r="H89" i="18" s="1"/>
  <c r="L93" i="18"/>
  <c r="H93" i="18" s="1"/>
  <c r="S61" i="4"/>
  <c r="T61" i="4" s="1"/>
  <c r="S61" i="21"/>
  <c r="T61" i="21" s="1"/>
  <c r="L124" i="18"/>
  <c r="H124" i="18" s="1"/>
  <c r="T182" i="5" l="1"/>
  <c r="AC174" i="5"/>
  <c r="AC35" i="5"/>
  <c r="T35" i="5" s="1"/>
  <c r="AB138" i="5"/>
  <c r="S138" i="5" s="1"/>
  <c r="L138" i="18" s="1"/>
  <c r="H138" i="18" s="1"/>
  <c r="J122" i="18" s="1"/>
  <c r="E104" i="18"/>
  <c r="AC104" i="5" s="1"/>
  <c r="T104" i="5" s="1"/>
  <c r="E101" i="18"/>
  <c r="AC101" i="5" s="1"/>
  <c r="T101" i="5" s="1"/>
  <c r="E184" i="18"/>
  <c r="AC146" i="5"/>
  <c r="E188" i="18"/>
  <c r="AC188" i="5" s="1"/>
  <c r="T188" i="5" s="1"/>
  <c r="AC138" i="5"/>
  <c r="AB174" i="5"/>
  <c r="AC166" i="5"/>
  <c r="AB166" i="5"/>
  <c r="S166" i="5" s="1"/>
  <c r="AC59" i="5"/>
  <c r="T59" i="5" s="1"/>
  <c r="AB146" i="5"/>
  <c r="S146" i="5" s="1"/>
  <c r="T49" i="5"/>
  <c r="AB35" i="5"/>
  <c r="S35" i="5" s="1"/>
  <c r="E30" i="18"/>
  <c r="AC30" i="5" s="1"/>
  <c r="T30" i="5" s="1"/>
  <c r="E116" i="18"/>
  <c r="AC116" i="5" s="1"/>
  <c r="T116" i="5" s="1"/>
  <c r="E117" i="18"/>
  <c r="T117" i="5" s="1"/>
  <c r="E31" i="18"/>
  <c r="AC31" i="5" s="1"/>
  <c r="T31" i="5" s="1"/>
  <c r="E32" i="18"/>
  <c r="T36" i="5"/>
  <c r="E113" i="18"/>
  <c r="AC113" i="5" s="1"/>
  <c r="T113" i="5" s="1"/>
  <c r="T175" i="5"/>
  <c r="J78" i="18"/>
  <c r="E93" i="18" s="1"/>
  <c r="AC93" i="5" s="1"/>
  <c r="T93" i="5" s="1"/>
  <c r="T21" i="5"/>
  <c r="T167" i="5"/>
  <c r="E75" i="18"/>
  <c r="AC75" i="5" s="1"/>
  <c r="E76" i="18"/>
  <c r="AC76" i="5" s="1"/>
  <c r="T76" i="5" s="1"/>
  <c r="E77" i="18"/>
  <c r="T147" i="5"/>
  <c r="T176" i="5"/>
  <c r="T47" i="5"/>
  <c r="AC100" i="5" l="1"/>
  <c r="T100" i="5" s="1"/>
  <c r="E123" i="18"/>
  <c r="AC123" i="5" s="1"/>
  <c r="T123" i="5" s="1"/>
  <c r="E124" i="18"/>
  <c r="AC124" i="5" s="1"/>
  <c r="T124" i="5" s="1"/>
  <c r="AB100" i="5"/>
  <c r="S100" i="5" s="1"/>
  <c r="L100" i="18" s="1"/>
  <c r="H100" i="18" s="1"/>
  <c r="AC184" i="5"/>
  <c r="AC183" i="5" s="1"/>
  <c r="AB48" i="5"/>
  <c r="S48" i="5" s="1"/>
  <c r="L48" i="18" s="1"/>
  <c r="H48" i="18" s="1"/>
  <c r="E138" i="18"/>
  <c r="T138" i="5" s="1"/>
  <c r="E129" i="18"/>
  <c r="AC129" i="5" s="1"/>
  <c r="T129" i="5" s="1"/>
  <c r="E82" i="18"/>
  <c r="AC82" i="5" s="1"/>
  <c r="T82" i="5" s="1"/>
  <c r="AC32" i="5"/>
  <c r="AC48" i="5"/>
  <c r="T48" i="5" s="1"/>
  <c r="AC77" i="5"/>
  <c r="T77" i="5" s="1"/>
  <c r="S174" i="5"/>
  <c r="L174" i="18" s="1"/>
  <c r="H174" i="18" s="1"/>
  <c r="E89" i="18"/>
  <c r="AC89" i="5" s="1"/>
  <c r="T89" i="5" s="1"/>
  <c r="E79" i="18"/>
  <c r="AC79" i="5" s="1"/>
  <c r="L166" i="18"/>
  <c r="H166" i="18" s="1"/>
  <c r="T75" i="5"/>
  <c r="L146" i="18"/>
  <c r="H146" i="18" s="1"/>
  <c r="L35" i="18"/>
  <c r="AB183" i="5" l="1"/>
  <c r="AC20" i="5"/>
  <c r="T20" i="5" s="1"/>
  <c r="T184" i="5"/>
  <c r="S183" i="5"/>
  <c r="L183" i="18" s="1"/>
  <c r="H183" i="18" s="1"/>
  <c r="J172" i="18" s="1"/>
  <c r="E173" i="18" s="1"/>
  <c r="AB20" i="5"/>
  <c r="S20" i="5" s="1"/>
  <c r="L20" i="18" s="1"/>
  <c r="H20" i="18" s="1"/>
  <c r="AB74" i="5"/>
  <c r="S74" i="5" s="1"/>
  <c r="T32" i="5"/>
  <c r="AC78" i="5"/>
  <c r="T78" i="5" s="1"/>
  <c r="AB78" i="5"/>
  <c r="S78" i="5" s="1"/>
  <c r="T79" i="5"/>
  <c r="H35" i="18"/>
  <c r="AC173" i="5" l="1"/>
  <c r="T173" i="5" s="1"/>
  <c r="E174" i="18"/>
  <c r="T174" i="5" s="1"/>
  <c r="E183" i="18"/>
  <c r="T183" i="5" s="1"/>
  <c r="L78" i="18" l="1"/>
  <c r="H78" i="18" s="1"/>
  <c r="L74" i="18"/>
  <c r="H74" i="18" s="1"/>
  <c r="J63" i="18" s="1"/>
  <c r="E68" i="18" l="1"/>
  <c r="E64" i="18"/>
  <c r="AC64" i="5" s="1"/>
  <c r="E74" i="18"/>
  <c r="AC74" i="5" l="1"/>
  <c r="T74" i="5" s="1"/>
  <c r="AC68" i="5"/>
  <c r="T68" i="5" s="1"/>
  <c r="T64" i="5"/>
  <c r="AC63" i="5" l="1"/>
  <c r="T63" i="5" s="1"/>
  <c r="AB63" i="5"/>
  <c r="S63" i="5" l="1"/>
  <c r="L63" i="18" s="1"/>
  <c r="H63" i="18" s="1"/>
  <c r="J62" i="18" s="1"/>
  <c r="E63" i="18" s="1"/>
  <c r="E100" i="18" l="1"/>
  <c r="E78" i="18"/>
  <c r="J151" i="18"/>
  <c r="E165" i="18" l="1"/>
  <c r="E158" i="18"/>
  <c r="AC158" i="5" s="1"/>
  <c r="T158" i="5" s="1"/>
  <c r="E154" i="18"/>
  <c r="E153" i="18"/>
  <c r="E152" i="18"/>
  <c r="AC152" i="5" s="1"/>
  <c r="E155" i="18"/>
  <c r="E156" i="18"/>
  <c r="E157" i="18"/>
  <c r="AC165" i="5" l="1"/>
  <c r="AC157" i="5"/>
  <c r="T157" i="5" s="1"/>
  <c r="AC156" i="5"/>
  <c r="T156" i="5" s="1"/>
  <c r="AC153" i="5"/>
  <c r="T153" i="5" s="1"/>
  <c r="AC155" i="5"/>
  <c r="T155" i="5" s="1"/>
  <c r="AC154" i="5"/>
  <c r="T154" i="5" s="1"/>
  <c r="T152" i="5"/>
  <c r="T165" i="5" l="1"/>
  <c r="AC151" i="5"/>
  <c r="AB151" i="5"/>
  <c r="S151" i="5" l="1"/>
  <c r="L151" i="18" s="1"/>
  <c r="H151" i="18" s="1"/>
  <c r="J145" i="18" s="1"/>
  <c r="E166" i="18" s="1"/>
  <c r="T166" i="5" s="1"/>
  <c r="F275" i="9"/>
  <c r="E151" i="18" l="1"/>
  <c r="T151" i="5" s="1"/>
  <c r="E146" i="18"/>
  <c r="T146" i="5" s="1"/>
  <c r="F279" i="9"/>
  <c r="F278" i="9"/>
  <c r="F277" i="9"/>
  <c r="J272" i="9"/>
  <c r="F276" i="9"/>
  <c r="W94" i="5"/>
  <c r="L11" i="18" l="1"/>
  <c r="H11" i="18" s="1"/>
  <c r="J10" i="18" s="1"/>
  <c r="E11" i="18" s="1"/>
  <c r="AC11" i="5" l="1"/>
  <c r="E14" i="18"/>
  <c r="AC14" i="5" s="1"/>
  <c r="T14" i="5" s="1"/>
  <c r="E19" i="18"/>
  <c r="AC19" i="5" l="1"/>
  <c r="T19" i="5" s="1"/>
  <c r="T11" i="5"/>
  <c r="AC10" i="5" l="1"/>
  <c r="T10" i="5" s="1"/>
  <c r="AB10" i="5"/>
  <c r="S10" i="5" l="1"/>
  <c r="L10" i="18" s="1"/>
  <c r="H10" i="18" s="1"/>
  <c r="J9" i="18" s="1"/>
  <c r="E20" i="18" l="1"/>
  <c r="E10" i="18"/>
  <c r="E48" i="18"/>
  <c r="E35" i="18"/>
  <c r="Z11" i="5"/>
  <c r="Q11" i="5" s="1"/>
  <c r="K11" i="18" s="1"/>
  <c r="G11" i="18" s="1"/>
  <c r="Z181" i="5"/>
  <c r="Q181" i="5" s="1"/>
  <c r="K181" i="18" s="1"/>
  <c r="G181" i="18" s="1"/>
  <c r="Z80" i="5"/>
  <c r="Q80" i="5" s="1"/>
  <c r="K80" i="18" s="1"/>
  <c r="G80" i="18" s="1"/>
  <c r="Z189" i="5"/>
  <c r="Q189" i="5" s="1"/>
  <c r="K189" i="18" s="1"/>
  <c r="G189" i="18" s="1"/>
  <c r="Z15" i="5"/>
  <c r="Q15" i="5" s="1"/>
  <c r="K15" i="18" s="1"/>
  <c r="G15" i="18" s="1"/>
  <c r="Z171" i="5"/>
  <c r="Q171" i="5" s="1"/>
  <c r="K171" i="18" s="1"/>
  <c r="G171" i="18" s="1"/>
  <c r="Z83" i="5"/>
  <c r="Q83" i="5" s="1"/>
  <c r="Z37" i="5"/>
  <c r="Q37" i="5" s="1"/>
  <c r="K37" i="18" s="1"/>
  <c r="G37" i="18" s="1"/>
  <c r="Z115" i="5"/>
  <c r="Z88" i="5"/>
  <c r="Q88" i="5" s="1"/>
  <c r="Z24" i="5"/>
  <c r="Q24" i="5" s="1"/>
  <c r="K24" i="18" s="1"/>
  <c r="G24" i="18" s="1"/>
  <c r="Z97" i="5"/>
  <c r="Q97" i="5" s="1"/>
  <c r="K97" i="18" s="1"/>
  <c r="G97" i="18" s="1"/>
  <c r="Z193" i="5"/>
  <c r="Q193" i="5" s="1"/>
  <c r="K193" i="18" s="1"/>
  <c r="G193" i="18" s="1"/>
  <c r="I192" i="18" s="1"/>
  <c r="Z109" i="5"/>
  <c r="Q109" i="5" s="1"/>
  <c r="K109" i="18" s="1"/>
  <c r="G109" i="18" s="1"/>
  <c r="Z187" i="5"/>
  <c r="Q187" i="5" s="1"/>
  <c r="K187" i="18" s="1"/>
  <c r="G187" i="18" s="1"/>
  <c r="Z167" i="5"/>
  <c r="Z98" i="5"/>
  <c r="Q98" i="5" s="1"/>
  <c r="K98" i="18" s="1"/>
  <c r="G98" i="18" s="1"/>
  <c r="Z30" i="5"/>
  <c r="Q30" i="5" s="1"/>
  <c r="K30" i="18" s="1"/>
  <c r="G30" i="18" s="1"/>
  <c r="Z47" i="5"/>
  <c r="Q47" i="5" s="1"/>
  <c r="K47" i="18" s="1"/>
  <c r="G47" i="18" s="1"/>
  <c r="Z71" i="5"/>
  <c r="Q71" i="5" s="1"/>
  <c r="K71" i="18" s="1"/>
  <c r="G71" i="18" s="1"/>
  <c r="Z87" i="5"/>
  <c r="Q87" i="5" s="1"/>
  <c r="Z102" i="5"/>
  <c r="Q102" i="5" s="1"/>
  <c r="K102" i="18" s="1"/>
  <c r="G102" i="18" s="1"/>
  <c r="Z110" i="5"/>
  <c r="Q110" i="5" s="1"/>
  <c r="K110" i="18" s="1"/>
  <c r="G110" i="18" s="1"/>
  <c r="Z150" i="5"/>
  <c r="Q150" i="5" s="1"/>
  <c r="K150" i="18" s="1"/>
  <c r="G150" i="18" s="1"/>
  <c r="Z149" i="5"/>
  <c r="Z66" i="5"/>
  <c r="Q66" i="5" s="1"/>
  <c r="K66" i="18" s="1"/>
  <c r="G66" i="18" s="1"/>
  <c r="Z69" i="5"/>
  <c r="Q69" i="5" s="1"/>
  <c r="K69" i="18" s="1"/>
  <c r="G69" i="18" s="1"/>
  <c r="Z191" i="5"/>
  <c r="Q191" i="5" s="1"/>
  <c r="K191" i="18" s="1"/>
  <c r="G191" i="18" s="1"/>
  <c r="Z153" i="5"/>
  <c r="Q153" i="5" s="1"/>
  <c r="K153" i="18" s="1"/>
  <c r="G153" i="18" s="1"/>
  <c r="Z169" i="5"/>
  <c r="Q169" i="5" s="1"/>
  <c r="K169" i="18" s="1"/>
  <c r="G169" i="18" s="1"/>
  <c r="Z94" i="5"/>
  <c r="Q94" i="5" s="1"/>
  <c r="K94" i="18" s="1"/>
  <c r="G94" i="18" s="1"/>
  <c r="Z57" i="5"/>
  <c r="Q57" i="5" s="1"/>
  <c r="K57" i="18" s="1"/>
  <c r="G57" i="18" s="1"/>
  <c r="Z185" i="5"/>
  <c r="Q185" i="5" s="1"/>
  <c r="K185" i="18" s="1"/>
  <c r="G185" i="18" s="1"/>
  <c r="Z75" i="5"/>
  <c r="Q75" i="5" s="1"/>
  <c r="K75" i="18" s="1"/>
  <c r="G75" i="18" s="1"/>
  <c r="Z55" i="5"/>
  <c r="Q55" i="5" s="1"/>
  <c r="K55" i="18" s="1"/>
  <c r="G55" i="18" s="1"/>
  <c r="Z73" i="5"/>
  <c r="Q73" i="5" s="1"/>
  <c r="K73" i="18" s="1"/>
  <c r="G73" i="18" s="1"/>
  <c r="Z19" i="5"/>
  <c r="Q19" i="5" s="1"/>
  <c r="K19" i="18" s="1"/>
  <c r="G19" i="18" s="1"/>
  <c r="Z176" i="5"/>
  <c r="Q176" i="5" s="1"/>
  <c r="K176" i="18" s="1"/>
  <c r="G176" i="18" s="1"/>
  <c r="Z70" i="5"/>
  <c r="Q70" i="5" s="1"/>
  <c r="K70" i="18" s="1"/>
  <c r="G70" i="18" s="1"/>
  <c r="Z154" i="5"/>
  <c r="Q154" i="5" s="1"/>
  <c r="K154" i="18" s="1"/>
  <c r="G154" i="18" s="1"/>
  <c r="Z44" i="5"/>
  <c r="Q44" i="5" s="1"/>
  <c r="K44" i="18" s="1"/>
  <c r="G44" i="18" s="1"/>
  <c r="Z61" i="5"/>
  <c r="Q61" i="5" s="1"/>
  <c r="K61" i="18" s="1"/>
  <c r="G61" i="18" s="1"/>
  <c r="Z56" i="5"/>
  <c r="Q56" i="5" s="1"/>
  <c r="K56" i="18" s="1"/>
  <c r="G56" i="18" s="1"/>
  <c r="Z155" i="5"/>
  <c r="Q155" i="5" s="1"/>
  <c r="K155" i="18" s="1"/>
  <c r="G155" i="18" s="1"/>
  <c r="Z96" i="5"/>
  <c r="Q96" i="5" s="1"/>
  <c r="K96" i="18" s="1"/>
  <c r="G96" i="18" s="1"/>
  <c r="Z157" i="5"/>
  <c r="Q157" i="5" s="1"/>
  <c r="K157" i="18" s="1"/>
  <c r="G157" i="18" s="1"/>
  <c r="Z156" i="5"/>
  <c r="Q156" i="5" s="1"/>
  <c r="K156" i="18" s="1"/>
  <c r="G156" i="18" s="1"/>
  <c r="Z65" i="5"/>
  <c r="Q65" i="5" s="1"/>
  <c r="K65" i="18" s="1"/>
  <c r="G65" i="18" s="1"/>
  <c r="Z43" i="5"/>
  <c r="Q43" i="5" s="1"/>
  <c r="K43" i="18" s="1"/>
  <c r="G43" i="18" s="1"/>
  <c r="Z186" i="5"/>
  <c r="Q186" i="5" s="1"/>
  <c r="K186" i="18" s="1"/>
  <c r="G186" i="18" s="1"/>
  <c r="Z72" i="5"/>
  <c r="Q72" i="5" s="1"/>
  <c r="K72" i="18" s="1"/>
  <c r="G72" i="18" s="1"/>
  <c r="Z107" i="5"/>
  <c r="Q107" i="5" s="1"/>
  <c r="K107" i="18" s="1"/>
  <c r="G107" i="18" s="1"/>
  <c r="Z60" i="5"/>
  <c r="Q60" i="5" s="1"/>
  <c r="K60" i="18" s="1"/>
  <c r="G60" i="18" s="1"/>
  <c r="Z175" i="5"/>
  <c r="Q175" i="5" s="1"/>
  <c r="K175" i="18" s="1"/>
  <c r="G175" i="18" s="1"/>
  <c r="Z42" i="5"/>
  <c r="Z119" i="5"/>
  <c r="Q119" i="5" s="1"/>
  <c r="K119" i="18" s="1"/>
  <c r="G119" i="18" s="1"/>
  <c r="Z39" i="5"/>
  <c r="Q39" i="5" s="1"/>
  <c r="K39" i="18" s="1"/>
  <c r="G39" i="18" s="1"/>
  <c r="Z180" i="5"/>
  <c r="Q180" i="5" s="1"/>
  <c r="K180" i="18" s="1"/>
  <c r="G180" i="18" s="1"/>
  <c r="Q124" i="5"/>
  <c r="K124" i="18" s="1"/>
  <c r="G124" i="18" s="1"/>
  <c r="Z106" i="5"/>
  <c r="Q106" i="5" s="1"/>
  <c r="K106" i="18" s="1"/>
  <c r="G106" i="18" s="1"/>
  <c r="Z141" i="5"/>
  <c r="Q141" i="5" s="1"/>
  <c r="K141" i="18" s="1"/>
  <c r="G141" i="18" s="1"/>
  <c r="Z67" i="5"/>
  <c r="Q67" i="5" s="1"/>
  <c r="K67" i="18" s="1"/>
  <c r="G67" i="18" s="1"/>
  <c r="Z103" i="5"/>
  <c r="Q103" i="5" s="1"/>
  <c r="K103" i="18" s="1"/>
  <c r="G103" i="18" s="1"/>
  <c r="Z108" i="5"/>
  <c r="Q108" i="5" s="1"/>
  <c r="K108" i="18" s="1"/>
  <c r="G108" i="18" s="1"/>
  <c r="Z116" i="5"/>
  <c r="Z144" i="5"/>
  <c r="Q144" i="5" s="1"/>
  <c r="K144" i="18" s="1"/>
  <c r="G144" i="18" s="1"/>
  <c r="Z16" i="5"/>
  <c r="Q16" i="5" s="1"/>
  <c r="K16" i="18" s="1"/>
  <c r="G16" i="18" s="1"/>
  <c r="Z111" i="5"/>
  <c r="Q111" i="5" s="1"/>
  <c r="K111" i="18" s="1"/>
  <c r="G111" i="18" s="1"/>
  <c r="Z152" i="5"/>
  <c r="Q152" i="5" s="1"/>
  <c r="K152" i="18" s="1"/>
  <c r="G152" i="18" s="1"/>
  <c r="Z18" i="5"/>
  <c r="Q18" i="5" s="1"/>
  <c r="K18" i="18" s="1"/>
  <c r="G18" i="18" s="1"/>
  <c r="Z25" i="5"/>
  <c r="Q25" i="5" s="1"/>
  <c r="K25" i="18" s="1"/>
  <c r="G25" i="18" s="1"/>
  <c r="Z143" i="5"/>
  <c r="Q143" i="5" s="1"/>
  <c r="K143" i="18" s="1"/>
  <c r="G143" i="18" s="1"/>
  <c r="Z95" i="5"/>
  <c r="Q95" i="5" s="1"/>
  <c r="K95" i="18" s="1"/>
  <c r="G95" i="18" s="1"/>
  <c r="Z17" i="5"/>
  <c r="Q17" i="5" s="1"/>
  <c r="K17" i="18" s="1"/>
  <c r="G17" i="18" s="1"/>
  <c r="Z123" i="5"/>
  <c r="AD123" i="5" s="1"/>
  <c r="Z86" i="5"/>
  <c r="Q86" i="5" s="1"/>
  <c r="K86" i="18" s="1"/>
  <c r="G86" i="18" s="1"/>
  <c r="Z104" i="5"/>
  <c r="Q104" i="5" s="1"/>
  <c r="K104" i="18" s="1"/>
  <c r="G104" i="18" s="1"/>
  <c r="Z190" i="5"/>
  <c r="Q190" i="5" s="1"/>
  <c r="K190" i="18" s="1"/>
  <c r="G190" i="18" s="1"/>
  <c r="Z38" i="5"/>
  <c r="Q38" i="5" s="1"/>
  <c r="K38" i="18" s="1"/>
  <c r="G38" i="18" s="1"/>
  <c r="Z178" i="5"/>
  <c r="Z140" i="5"/>
  <c r="Z22" i="5"/>
  <c r="Q22" i="5" s="1"/>
  <c r="K22" i="18" s="1"/>
  <c r="G22" i="18" s="1"/>
  <c r="Z81" i="5"/>
  <c r="Q81" i="5" s="1"/>
  <c r="K81" i="18" s="1"/>
  <c r="G81" i="18" s="1"/>
  <c r="Z85" i="5"/>
  <c r="Q85" i="5" s="1"/>
  <c r="K85" i="18" s="1"/>
  <c r="G85" i="18" s="1"/>
  <c r="Z118" i="5"/>
  <c r="Q118" i="5" s="1"/>
  <c r="K118" i="18" s="1"/>
  <c r="G118" i="18" s="1"/>
  <c r="Z84" i="5"/>
  <c r="Q84" i="5" s="1"/>
  <c r="K84" i="18" s="1"/>
  <c r="G84" i="18" s="1"/>
  <c r="Z170" i="5"/>
  <c r="Q170" i="5" s="1"/>
  <c r="K170" i="18" s="1"/>
  <c r="G170" i="18" s="1"/>
  <c r="Z76" i="5"/>
  <c r="Q76" i="5" s="1"/>
  <c r="K76" i="18" s="1"/>
  <c r="G76" i="18" s="1"/>
  <c r="Z147" i="5"/>
  <c r="Z179" i="5"/>
  <c r="Q179" i="5" s="1"/>
  <c r="K179" i="18" s="1"/>
  <c r="G179" i="18" s="1"/>
  <c r="Z50" i="5"/>
  <c r="I142" i="18" l="1"/>
  <c r="D144" i="18" s="1"/>
  <c r="AA144" i="5" s="1"/>
  <c r="R144" i="5" s="1"/>
  <c r="Q123" i="5"/>
  <c r="K123" i="18" s="1"/>
  <c r="G123" i="18" s="1"/>
  <c r="U123" i="5"/>
  <c r="Q167" i="5"/>
  <c r="K167" i="18" s="1"/>
  <c r="G167" i="18" s="1"/>
  <c r="Q147" i="5"/>
  <c r="K147" i="18" s="1"/>
  <c r="G147" i="18" s="1"/>
  <c r="Q140" i="5"/>
  <c r="K140" i="18" s="1"/>
  <c r="G140" i="18" s="1"/>
  <c r="I139" i="18" s="1"/>
  <c r="D140" i="18" s="1"/>
  <c r="AA140" i="5" s="1"/>
  <c r="Q116" i="5"/>
  <c r="K116" i="18" s="1"/>
  <c r="G116" i="18" s="1"/>
  <c r="AD116" i="5"/>
  <c r="U116" i="5" s="1"/>
  <c r="Q149" i="5"/>
  <c r="K149" i="18" s="1"/>
  <c r="G149" i="18" s="1"/>
  <c r="I148" i="18" s="1"/>
  <c r="Q178" i="5"/>
  <c r="K178" i="18" s="1"/>
  <c r="G178" i="18" s="1"/>
  <c r="I177" i="18" s="1"/>
  <c r="I188" i="18"/>
  <c r="I184" i="18"/>
  <c r="I117" i="18"/>
  <c r="D194" i="18"/>
  <c r="AA194" i="5" s="1"/>
  <c r="R194" i="5" s="1"/>
  <c r="D193" i="18"/>
  <c r="AA193" i="5" s="1"/>
  <c r="R193" i="5" s="1"/>
  <c r="I168" i="18"/>
  <c r="D169" i="18" s="1"/>
  <c r="AA169" i="5" s="1"/>
  <c r="I105" i="18"/>
  <c r="D111" i="18" s="1"/>
  <c r="AA111" i="5" s="1"/>
  <c r="R111" i="5" s="1"/>
  <c r="I101" i="18"/>
  <c r="D103" i="18" s="1"/>
  <c r="AA103" i="5" s="1"/>
  <c r="R103" i="5" s="1"/>
  <c r="I93" i="18"/>
  <c r="D96" i="18" s="1"/>
  <c r="AA96" i="5" s="1"/>
  <c r="K88" i="18"/>
  <c r="G88" i="18" s="1"/>
  <c r="K87" i="18"/>
  <c r="G87" i="18" s="1"/>
  <c r="K10" i="6"/>
  <c r="K83" i="18"/>
  <c r="G83" i="18" s="1"/>
  <c r="K103" i="6"/>
  <c r="I79" i="18"/>
  <c r="D81" i="18" s="1"/>
  <c r="AA81" i="5" s="1"/>
  <c r="R81" i="5" s="1"/>
  <c r="I74" i="18"/>
  <c r="D77" i="18" s="1"/>
  <c r="AA77" i="5" s="1"/>
  <c r="I68" i="18"/>
  <c r="D69" i="18" s="1"/>
  <c r="AA69" i="5" s="1"/>
  <c r="I64" i="18"/>
  <c r="D66" i="18" s="1"/>
  <c r="AA66" i="5" s="1"/>
  <c r="I59" i="18"/>
  <c r="D60" i="18" s="1"/>
  <c r="AA60" i="5" s="1"/>
  <c r="I54" i="18"/>
  <c r="D55" i="18" s="1"/>
  <c r="AA55" i="5" s="1"/>
  <c r="Q50" i="5"/>
  <c r="K50" i="18" s="1"/>
  <c r="G50" i="18" s="1"/>
  <c r="I49" i="18" s="1"/>
  <c r="Q42" i="5"/>
  <c r="K42" i="18" s="1"/>
  <c r="G42" i="18" s="1"/>
  <c r="I40" i="18" s="1"/>
  <c r="I36" i="18"/>
  <c r="D39" i="18" s="1"/>
  <c r="AA39" i="5" s="1"/>
  <c r="R39" i="5" s="1"/>
  <c r="I21" i="18"/>
  <c r="D24" i="18" s="1"/>
  <c r="AA24" i="5" s="1"/>
  <c r="I14" i="18"/>
  <c r="D18" i="18" s="1"/>
  <c r="AA18" i="5" s="1"/>
  <c r="U113" i="5"/>
  <c r="Q113" i="5"/>
  <c r="K113" i="18" s="1"/>
  <c r="G113" i="18" s="1"/>
  <c r="Q115" i="5"/>
  <c r="K115" i="18" s="1"/>
  <c r="G115" i="18" s="1"/>
  <c r="I114" i="18" s="1"/>
  <c r="D115" i="18" s="1"/>
  <c r="AA115" i="5" s="1"/>
  <c r="R115" i="5" s="1"/>
  <c r="D143" i="18" l="1"/>
  <c r="AA143" i="5" s="1"/>
  <c r="R143" i="5" s="1"/>
  <c r="I82" i="18"/>
  <c r="D84" i="18" s="1"/>
  <c r="AA84" i="5" s="1"/>
  <c r="R84" i="5" s="1"/>
  <c r="D149" i="18"/>
  <c r="AA149" i="5" s="1"/>
  <c r="D150" i="18"/>
  <c r="AA150" i="5" s="1"/>
  <c r="R150" i="5" s="1"/>
  <c r="Z192" i="5"/>
  <c r="Z114" i="5"/>
  <c r="AD114" i="5" s="1"/>
  <c r="S60" i="4"/>
  <c r="T60" i="4" s="1"/>
  <c r="S60" i="21"/>
  <c r="T60" i="21" s="1"/>
  <c r="D76" i="18"/>
  <c r="AA76" i="5" s="1"/>
  <c r="R76" i="5" s="1"/>
  <c r="D97" i="18"/>
  <c r="AA97" i="5" s="1"/>
  <c r="R97" i="5" s="1"/>
  <c r="D16" i="18"/>
  <c r="AA16" i="5" s="1"/>
  <c r="R16" i="5" s="1"/>
  <c r="D186" i="18"/>
  <c r="AA186" i="5" s="1"/>
  <c r="R186" i="5" s="1"/>
  <c r="D185" i="18"/>
  <c r="AA185" i="5" s="1"/>
  <c r="D187" i="18"/>
  <c r="AA187" i="5" s="1"/>
  <c r="R187" i="5" s="1"/>
  <c r="D15" i="18"/>
  <c r="AA15" i="5" s="1"/>
  <c r="R15" i="5" s="1"/>
  <c r="D118" i="18"/>
  <c r="AA118" i="5" s="1"/>
  <c r="D119" i="18"/>
  <c r="AA119" i="5" s="1"/>
  <c r="R119" i="5" s="1"/>
  <c r="D190" i="18"/>
  <c r="AA190" i="5" s="1"/>
  <c r="R190" i="5" s="1"/>
  <c r="D191" i="18"/>
  <c r="AA191" i="5" s="1"/>
  <c r="R191" i="5" s="1"/>
  <c r="D189" i="18"/>
  <c r="AA189" i="5" s="1"/>
  <c r="D37" i="18"/>
  <c r="AA37" i="5" s="1"/>
  <c r="R37" i="5" s="1"/>
  <c r="D56" i="18"/>
  <c r="AA56" i="5" s="1"/>
  <c r="R56" i="5" s="1"/>
  <c r="D75" i="18"/>
  <c r="AA75" i="5" s="1"/>
  <c r="R75" i="5" s="1"/>
  <c r="D141" i="18"/>
  <c r="AA141" i="5" s="1"/>
  <c r="R141" i="5" s="1"/>
  <c r="D102" i="18"/>
  <c r="AA102" i="5" s="1"/>
  <c r="R77" i="5"/>
  <c r="D80" i="18"/>
  <c r="AA80" i="5" s="1"/>
  <c r="R80" i="5" s="1"/>
  <c r="D72" i="18"/>
  <c r="AA72" i="5" s="1"/>
  <c r="R72" i="5" s="1"/>
  <c r="D67" i="18"/>
  <c r="AA67" i="5" s="1"/>
  <c r="R67" i="5" s="1"/>
  <c r="R60" i="5"/>
  <c r="D61" i="18"/>
  <c r="AA61" i="5" s="1"/>
  <c r="R61" i="5" s="1"/>
  <c r="D58" i="18"/>
  <c r="AA58" i="5" s="1"/>
  <c r="R58" i="5" s="1"/>
  <c r="D57" i="18"/>
  <c r="AA57" i="5" s="1"/>
  <c r="R57" i="5" s="1"/>
  <c r="D38" i="18"/>
  <c r="AA38" i="5" s="1"/>
  <c r="R38" i="5" s="1"/>
  <c r="D170" i="18"/>
  <c r="AA170" i="5" s="1"/>
  <c r="R170" i="5" s="1"/>
  <c r="D171" i="18"/>
  <c r="AA171" i="5" s="1"/>
  <c r="R171" i="5" s="1"/>
  <c r="R169" i="5"/>
  <c r="R140" i="5"/>
  <c r="D108" i="18"/>
  <c r="AA108" i="5" s="1"/>
  <c r="R108" i="5" s="1"/>
  <c r="D107" i="18"/>
  <c r="AA107" i="5" s="1"/>
  <c r="R107" i="5" s="1"/>
  <c r="D109" i="18"/>
  <c r="AA109" i="5" s="1"/>
  <c r="R109" i="5" s="1"/>
  <c r="D106" i="18"/>
  <c r="AA106" i="5" s="1"/>
  <c r="R106" i="5" s="1"/>
  <c r="D110" i="18"/>
  <c r="AA110" i="5" s="1"/>
  <c r="D95" i="18"/>
  <c r="AA95" i="5" s="1"/>
  <c r="R95" i="5" s="1"/>
  <c r="D98" i="18"/>
  <c r="AA98" i="5" s="1"/>
  <c r="R98" i="5" s="1"/>
  <c r="D94" i="18"/>
  <c r="AA94" i="5" s="1"/>
  <c r="R94" i="5" s="1"/>
  <c r="R96" i="5"/>
  <c r="K110" i="6"/>
  <c r="L110" i="6" s="1"/>
  <c r="L103" i="6"/>
  <c r="K105" i="6"/>
  <c r="L105" i="6" s="1"/>
  <c r="K111" i="6"/>
  <c r="L111" i="6" s="1"/>
  <c r="K104" i="6"/>
  <c r="L104" i="6" s="1"/>
  <c r="K108" i="6"/>
  <c r="L108" i="6" s="1"/>
  <c r="K107" i="6"/>
  <c r="L107" i="6" s="1"/>
  <c r="K106" i="6"/>
  <c r="L106" i="6" s="1"/>
  <c r="K109" i="6"/>
  <c r="L109" i="6" s="1"/>
  <c r="K15" i="6"/>
  <c r="K18" i="6"/>
  <c r="K13" i="6"/>
  <c r="L10" i="6"/>
  <c r="K16" i="6"/>
  <c r="K26" i="6"/>
  <c r="L26" i="6" s="1"/>
  <c r="R26" i="6" s="1"/>
  <c r="L35" i="6" s="1"/>
  <c r="E8" i="16" s="1"/>
  <c r="K14" i="6"/>
  <c r="K17" i="6"/>
  <c r="K11" i="6"/>
  <c r="K12" i="6"/>
  <c r="D71" i="18"/>
  <c r="AA71" i="5" s="1"/>
  <c r="R71" i="5" s="1"/>
  <c r="D73" i="18"/>
  <c r="AA73" i="5" s="1"/>
  <c r="R73" i="5" s="1"/>
  <c r="D70" i="18"/>
  <c r="AA70" i="5" s="1"/>
  <c r="R70" i="5" s="1"/>
  <c r="R69" i="5"/>
  <c r="D65" i="18"/>
  <c r="AA65" i="5" s="1"/>
  <c r="R65" i="5" s="1"/>
  <c r="R66" i="5"/>
  <c r="R55" i="5"/>
  <c r="D51" i="18"/>
  <c r="AA51" i="5" s="1"/>
  <c r="R51" i="5" s="1"/>
  <c r="D50" i="18"/>
  <c r="AA50" i="5" s="1"/>
  <c r="D52" i="18"/>
  <c r="AA52" i="5" s="1"/>
  <c r="R52" i="5" s="1"/>
  <c r="D53" i="18"/>
  <c r="AA53" i="5" s="1"/>
  <c r="R53" i="5" s="1"/>
  <c r="D42" i="18"/>
  <c r="AA42" i="5" s="1"/>
  <c r="R42" i="5" s="1"/>
  <c r="D43" i="18"/>
  <c r="AA43" i="5" s="1"/>
  <c r="R43" i="5" s="1"/>
  <c r="D41" i="18"/>
  <c r="AA41" i="5" s="1"/>
  <c r="D27" i="18"/>
  <c r="AA27" i="5" s="1"/>
  <c r="R27" i="5" s="1"/>
  <c r="D23" i="18"/>
  <c r="AA23" i="5" s="1"/>
  <c r="R23" i="5" s="1"/>
  <c r="D25" i="18"/>
  <c r="AA25" i="5" s="1"/>
  <c r="R25" i="5" s="1"/>
  <c r="D28" i="18"/>
  <c r="AA28" i="5" s="1"/>
  <c r="R28" i="5" s="1"/>
  <c r="D26" i="18"/>
  <c r="AA26" i="5" s="1"/>
  <c r="R26" i="5" s="1"/>
  <c r="D29" i="18"/>
  <c r="AA29" i="5" s="1"/>
  <c r="R29" i="5" s="1"/>
  <c r="D22" i="18"/>
  <c r="AA22" i="5" s="1"/>
  <c r="R22" i="5" s="1"/>
  <c r="R24" i="5"/>
  <c r="D17" i="18"/>
  <c r="AA17" i="5" s="1"/>
  <c r="R17" i="5" s="1"/>
  <c r="R18" i="5"/>
  <c r="Y49" i="4"/>
  <c r="Z49" i="4" s="1"/>
  <c r="D178" i="18"/>
  <c r="AA178" i="5" s="1"/>
  <c r="D180" i="18"/>
  <c r="AA180" i="5" s="1"/>
  <c r="R180" i="5" s="1"/>
  <c r="D181" i="18"/>
  <c r="AA181" i="5" s="1"/>
  <c r="R181" i="5" s="1"/>
  <c r="D179" i="18"/>
  <c r="AA179" i="5" s="1"/>
  <c r="R179" i="5" s="1"/>
  <c r="Y50" i="4"/>
  <c r="Z50" i="4" s="1"/>
  <c r="Y50" i="21"/>
  <c r="Z50" i="21" s="1"/>
  <c r="Z142" i="5" l="1"/>
  <c r="D87" i="18"/>
  <c r="AA87" i="5" s="1"/>
  <c r="R87" i="5" s="1"/>
  <c r="D85" i="18"/>
  <c r="AA85" i="5" s="1"/>
  <c r="R85" i="5" s="1"/>
  <c r="Q192" i="5"/>
  <c r="K192" i="18" s="1"/>
  <c r="G192" i="18" s="1"/>
  <c r="D83" i="18"/>
  <c r="AA83" i="5" s="1"/>
  <c r="R83" i="5" s="1"/>
  <c r="D88" i="18"/>
  <c r="AA88" i="5" s="1"/>
  <c r="R88" i="5" s="1"/>
  <c r="D86" i="18"/>
  <c r="AA86" i="5" s="1"/>
  <c r="R86" i="5" s="1"/>
  <c r="Z74" i="5"/>
  <c r="Z64" i="5"/>
  <c r="Z14" i="5"/>
  <c r="Z79" i="5"/>
  <c r="Q79" i="5" s="1"/>
  <c r="K79" i="18" s="1"/>
  <c r="G79" i="18" s="1"/>
  <c r="Z54" i="5"/>
  <c r="Q54" i="5" s="1"/>
  <c r="K54" i="18" s="1"/>
  <c r="G54" i="18" s="1"/>
  <c r="Z177" i="5"/>
  <c r="R149" i="5"/>
  <c r="Z148" i="5"/>
  <c r="Z139" i="5"/>
  <c r="Z68" i="5"/>
  <c r="Q68" i="5" s="1"/>
  <c r="K68" i="18" s="1"/>
  <c r="G68" i="18" s="1"/>
  <c r="R185" i="5"/>
  <c r="Z184" i="5"/>
  <c r="Q184" i="5" s="1"/>
  <c r="R189" i="5"/>
  <c r="Z188" i="5"/>
  <c r="R118" i="5"/>
  <c r="Z117" i="5"/>
  <c r="AD117" i="5" s="1"/>
  <c r="Z21" i="5"/>
  <c r="Z36" i="5"/>
  <c r="Z59" i="5"/>
  <c r="Z168" i="5"/>
  <c r="R102" i="5"/>
  <c r="Z101" i="5"/>
  <c r="R110" i="5"/>
  <c r="Z105" i="5"/>
  <c r="Z93" i="5"/>
  <c r="Q93" i="5" s="1"/>
  <c r="K93" i="18" s="1"/>
  <c r="G93" i="18" s="1"/>
  <c r="K27" i="6"/>
  <c r="L11" i="6"/>
  <c r="K31" i="6"/>
  <c r="L15" i="6"/>
  <c r="K33" i="6"/>
  <c r="L17" i="6"/>
  <c r="K32" i="6"/>
  <c r="L16" i="6"/>
  <c r="K30" i="6"/>
  <c r="L14" i="6"/>
  <c r="L13" i="6"/>
  <c r="K29" i="6"/>
  <c r="L113" i="6"/>
  <c r="L134" i="6" s="1"/>
  <c r="E34" i="16" s="1"/>
  <c r="K28" i="6"/>
  <c r="L12" i="6"/>
  <c r="K34" i="6"/>
  <c r="L18" i="6"/>
  <c r="R50" i="5"/>
  <c r="Z49" i="5"/>
  <c r="R41" i="5"/>
  <c r="Z40" i="5"/>
  <c r="R178" i="5"/>
  <c r="U114" i="5"/>
  <c r="Q114" i="5"/>
  <c r="K114" i="18" s="1"/>
  <c r="G114" i="18" s="1"/>
  <c r="Q142" i="5" l="1"/>
  <c r="K142" i="18" s="1"/>
  <c r="G142" i="18" s="1"/>
  <c r="Z82" i="5"/>
  <c r="Q82" i="5" s="1"/>
  <c r="K82" i="18" s="1"/>
  <c r="G82" i="18" s="1"/>
  <c r="I78" i="18" s="1"/>
  <c r="D79" i="18" s="1"/>
  <c r="AA79" i="5" s="1"/>
  <c r="Q64" i="5"/>
  <c r="K64" i="18" s="1"/>
  <c r="G64" i="18" s="1"/>
  <c r="Q74" i="5"/>
  <c r="K74" i="18" s="1"/>
  <c r="G74" i="18" s="1"/>
  <c r="Q14" i="5"/>
  <c r="K14" i="18" s="1"/>
  <c r="G14" i="18" s="1"/>
  <c r="I10" i="18" s="1"/>
  <c r="D14" i="18" s="1"/>
  <c r="AA14" i="5" s="1"/>
  <c r="R14" i="5" s="1"/>
  <c r="Y49" i="21"/>
  <c r="Z49" i="21" s="1"/>
  <c r="Q36" i="5"/>
  <c r="K36" i="18" s="1"/>
  <c r="G36" i="18" s="1"/>
  <c r="Q148" i="5"/>
  <c r="K148" i="18" s="1"/>
  <c r="G148" i="18" s="1"/>
  <c r="I146" i="18" s="1"/>
  <c r="D147" i="18" s="1"/>
  <c r="AA147" i="5" s="1"/>
  <c r="Q139" i="5"/>
  <c r="U117" i="5"/>
  <c r="Q117" i="5"/>
  <c r="K117" i="18" s="1"/>
  <c r="G117" i="18" s="1"/>
  <c r="I112" i="18" s="1"/>
  <c r="K184" i="18"/>
  <c r="G184" i="18" s="1"/>
  <c r="L24" i="6"/>
  <c r="L133" i="6" s="1"/>
  <c r="E9" i="16" s="1"/>
  <c r="H23" i="14" s="1"/>
  <c r="Q188" i="5"/>
  <c r="K188" i="18" s="1"/>
  <c r="G188" i="18" s="1"/>
  <c r="Q21" i="5"/>
  <c r="K21" i="18" s="1"/>
  <c r="G21" i="18" s="1"/>
  <c r="I20" i="18" s="1"/>
  <c r="D32" i="18" s="1"/>
  <c r="AA32" i="5" s="1"/>
  <c r="R32" i="5" s="1"/>
  <c r="Q59" i="5"/>
  <c r="K59" i="18" s="1"/>
  <c r="G59" i="18" s="1"/>
  <c r="Q168" i="5"/>
  <c r="K168" i="18" s="1"/>
  <c r="G168" i="18" s="1"/>
  <c r="I166" i="18" s="1"/>
  <c r="D167" i="18" s="1"/>
  <c r="AA167" i="5" s="1"/>
  <c r="Q101" i="5"/>
  <c r="K101" i="18" s="1"/>
  <c r="G101" i="18" s="1"/>
  <c r="Q105" i="5"/>
  <c r="K105" i="18" s="1"/>
  <c r="G105" i="18" s="1"/>
  <c r="T41" i="21"/>
  <c r="T41" i="4"/>
  <c r="I23" i="14"/>
  <c r="Q49" i="5"/>
  <c r="K49" i="18" s="1"/>
  <c r="G49" i="18" s="1"/>
  <c r="Q40" i="5"/>
  <c r="K40" i="18" s="1"/>
  <c r="G40" i="18" s="1"/>
  <c r="Q177" i="5"/>
  <c r="K177" i="18" s="1"/>
  <c r="G177" i="18" s="1"/>
  <c r="I174" i="18" s="1"/>
  <c r="D11" i="18" l="1"/>
  <c r="AA11" i="5" s="1"/>
  <c r="R11" i="5" s="1"/>
  <c r="I63" i="18"/>
  <c r="D68" i="18" s="1"/>
  <c r="AA68" i="5" s="1"/>
  <c r="R68" i="5" s="1"/>
  <c r="D19" i="18"/>
  <c r="AA19" i="5" s="1"/>
  <c r="R19" i="5" s="1"/>
  <c r="D148" i="18"/>
  <c r="AA148" i="5" s="1"/>
  <c r="R148" i="5" s="1"/>
  <c r="D113" i="18"/>
  <c r="AA113" i="5" s="1"/>
  <c r="D116" i="18"/>
  <c r="AA116" i="5" s="1"/>
  <c r="R116" i="5" s="1"/>
  <c r="D114" i="18"/>
  <c r="AA114" i="5" s="1"/>
  <c r="R114" i="5" s="1"/>
  <c r="D117" i="18"/>
  <c r="AA117" i="5" s="1"/>
  <c r="R117" i="5" s="1"/>
  <c r="D177" i="18"/>
  <c r="AA177" i="5" s="1"/>
  <c r="R177" i="5" s="1"/>
  <c r="D182" i="18"/>
  <c r="AA182" i="5" s="1"/>
  <c r="D175" i="18"/>
  <c r="AA175" i="5" s="1"/>
  <c r="R175" i="5" s="1"/>
  <c r="I35" i="18"/>
  <c r="D40" i="18" s="1"/>
  <c r="AA40" i="5" s="1"/>
  <c r="R40" i="5" s="1"/>
  <c r="S41" i="4"/>
  <c r="S41" i="21"/>
  <c r="R167" i="5"/>
  <c r="K139" i="18"/>
  <c r="G139" i="18" s="1"/>
  <c r="I138" i="18" s="1"/>
  <c r="M121" i="20"/>
  <c r="N121" i="20" s="1"/>
  <c r="L93" i="20" s="1"/>
  <c r="R147" i="5"/>
  <c r="I183" i="18"/>
  <c r="Y51" i="21"/>
  <c r="Z51" i="21" s="1"/>
  <c r="Y51" i="4"/>
  <c r="Z51" i="4" s="1"/>
  <c r="D31" i="18"/>
  <c r="AA31" i="5" s="1"/>
  <c r="R31" i="5" s="1"/>
  <c r="D30" i="18"/>
  <c r="AA30" i="5" s="1"/>
  <c r="R30" i="5" s="1"/>
  <c r="D21" i="18"/>
  <c r="AA21" i="5" s="1"/>
  <c r="I48" i="18"/>
  <c r="D49" i="18" s="1"/>
  <c r="AA49" i="5" s="1"/>
  <c r="I100" i="18"/>
  <c r="D105" i="18" s="1"/>
  <c r="AA105" i="5" s="1"/>
  <c r="R105" i="5" s="1"/>
  <c r="D168" i="18"/>
  <c r="AA168" i="5" s="1"/>
  <c r="R168" i="5" s="1"/>
  <c r="D93" i="18"/>
  <c r="AA93" i="5" s="1"/>
  <c r="R93" i="5" s="1"/>
  <c r="D82" i="18"/>
  <c r="AA82" i="5" s="1"/>
  <c r="R82" i="5" s="1"/>
  <c r="D89" i="18"/>
  <c r="AA89" i="5" s="1"/>
  <c r="R89" i="5" s="1"/>
  <c r="D176" i="18"/>
  <c r="AA176" i="5" s="1"/>
  <c r="R176" i="5" s="1"/>
  <c r="R79" i="5"/>
  <c r="N93" i="20" l="1"/>
  <c r="I118" i="6" s="1"/>
  <c r="L118" i="6" s="1"/>
  <c r="Z10" i="5"/>
  <c r="AD10" i="5" s="1"/>
  <c r="U10" i="5" s="1"/>
  <c r="Z146" i="5"/>
  <c r="AD146" i="5" s="1"/>
  <c r="U146" i="5" s="1"/>
  <c r="V60" i="4" s="1"/>
  <c r="W60" i="4" s="1"/>
  <c r="D64" i="18"/>
  <c r="AA64" i="5" s="1"/>
  <c r="R64" i="5" s="1"/>
  <c r="D74" i="18"/>
  <c r="AA74" i="5" s="1"/>
  <c r="R74" i="5" s="1"/>
  <c r="D101" i="18"/>
  <c r="AA101" i="5" s="1"/>
  <c r="R101" i="5" s="1"/>
  <c r="D44" i="18"/>
  <c r="AA44" i="5" s="1"/>
  <c r="R44" i="5" s="1"/>
  <c r="D36" i="18"/>
  <c r="AA36" i="5" s="1"/>
  <c r="R36" i="5" s="1"/>
  <c r="D47" i="18"/>
  <c r="AA47" i="5" s="1"/>
  <c r="R47" i="5" s="1"/>
  <c r="D104" i="18"/>
  <c r="AA104" i="5" s="1"/>
  <c r="R104" i="5" s="1"/>
  <c r="D54" i="18"/>
  <c r="AA54" i="5" s="1"/>
  <c r="R54" i="5" s="1"/>
  <c r="D59" i="18"/>
  <c r="AA59" i="5" s="1"/>
  <c r="R59" i="5" s="1"/>
  <c r="Z166" i="5"/>
  <c r="R21" i="5"/>
  <c r="Z20" i="5"/>
  <c r="AD20" i="5" s="1"/>
  <c r="D139" i="18"/>
  <c r="AA139" i="5" s="1"/>
  <c r="D142" i="18"/>
  <c r="AA142" i="5" s="1"/>
  <c r="R142" i="5" s="1"/>
  <c r="Z78" i="5"/>
  <c r="AD78" i="5" s="1"/>
  <c r="R113" i="5"/>
  <c r="AD112" i="5"/>
  <c r="U112" i="5" s="1"/>
  <c r="K112" i="18" s="1"/>
  <c r="G112" i="18" s="1"/>
  <c r="R182" i="5"/>
  <c r="Z174" i="5"/>
  <c r="D184" i="18"/>
  <c r="AA184" i="5" s="1"/>
  <c r="D192" i="18"/>
  <c r="AA192" i="5" s="1"/>
  <c r="R192" i="5" s="1"/>
  <c r="D188" i="18"/>
  <c r="AA188" i="5" s="1"/>
  <c r="R188" i="5" s="1"/>
  <c r="R49" i="5"/>
  <c r="Q10" i="5" l="1"/>
  <c r="K10" i="18" s="1"/>
  <c r="G10" i="18" s="1"/>
  <c r="Q146" i="5"/>
  <c r="K146" i="18" s="1"/>
  <c r="G146" i="18" s="1"/>
  <c r="I125" i="6"/>
  <c r="L125" i="6" s="1"/>
  <c r="L116" i="6"/>
  <c r="E46" i="16" s="1"/>
  <c r="U41" i="4" s="1"/>
  <c r="Y41" i="4" s="1"/>
  <c r="X41" i="4" s="1"/>
  <c r="V60" i="21"/>
  <c r="W60" i="21" s="1"/>
  <c r="Z63" i="5"/>
  <c r="Z35" i="5"/>
  <c r="AD35" i="5" s="1"/>
  <c r="U35" i="5" s="1"/>
  <c r="Q78" i="5"/>
  <c r="K78" i="18" s="1"/>
  <c r="G78" i="18" s="1"/>
  <c r="Z46" i="21"/>
  <c r="Z100" i="5"/>
  <c r="AD100" i="5" s="1"/>
  <c r="U100" i="5" s="1"/>
  <c r="Y46" i="21"/>
  <c r="O43" i="21" s="1"/>
  <c r="Z183" i="5"/>
  <c r="Y46" i="4"/>
  <c r="O43" i="4" s="1"/>
  <c r="Z46" i="4"/>
  <c r="Z48" i="5"/>
  <c r="AD48" i="5" s="1"/>
  <c r="U48" i="5" s="1"/>
  <c r="R139" i="5"/>
  <c r="Z138" i="5"/>
  <c r="AD138" i="5" s="1"/>
  <c r="R184" i="5"/>
  <c r="Q20" i="5"/>
  <c r="K20" i="18" s="1"/>
  <c r="G20" i="18" s="1"/>
  <c r="U20" i="5"/>
  <c r="S50" i="4" s="1"/>
  <c r="T50" i="4" s="1"/>
  <c r="Q166" i="5"/>
  <c r="K166" i="18" s="1"/>
  <c r="G166" i="18" s="1"/>
  <c r="AD166" i="5"/>
  <c r="U166" i="5" s="1"/>
  <c r="U78" i="5"/>
  <c r="V50" i="21" s="1"/>
  <c r="W50" i="21" s="1"/>
  <c r="S49" i="4"/>
  <c r="S49" i="21"/>
  <c r="AD174" i="5"/>
  <c r="U174" i="5" s="1"/>
  <c r="Y61" i="4" s="1"/>
  <c r="Z61" i="4" s="1"/>
  <c r="Q174" i="5"/>
  <c r="K174" i="18" s="1"/>
  <c r="G174" i="18" s="1"/>
  <c r="E85" i="17" l="1"/>
  <c r="E88" i="17" s="1"/>
  <c r="E89" i="17" s="1"/>
  <c r="L123" i="6"/>
  <c r="L135" i="6" s="1"/>
  <c r="L136" i="6" s="1"/>
  <c r="Q100" i="5"/>
  <c r="K100" i="18" s="1"/>
  <c r="G100" i="18" s="1"/>
  <c r="U41" i="21"/>
  <c r="Y41" i="21" s="1"/>
  <c r="X41" i="21" s="1"/>
  <c r="E59" i="16"/>
  <c r="AD63" i="5"/>
  <c r="U63" i="5" s="1"/>
  <c r="V49" i="21" s="1"/>
  <c r="W49" i="21" s="1"/>
  <c r="Q63" i="5"/>
  <c r="K63" i="18" s="1"/>
  <c r="G63" i="18" s="1"/>
  <c r="Q35" i="5"/>
  <c r="K35" i="18" s="1"/>
  <c r="G35" i="18" s="1"/>
  <c r="Q48" i="5"/>
  <c r="K48" i="18" s="1"/>
  <c r="G48" i="18" s="1"/>
  <c r="Z9" i="21"/>
  <c r="Z9" i="4"/>
  <c r="U138" i="5"/>
  <c r="Q138" i="5"/>
  <c r="K138" i="18" s="1"/>
  <c r="G138" i="18" s="1"/>
  <c r="S50" i="21"/>
  <c r="T50" i="21" s="1"/>
  <c r="AD183" i="5"/>
  <c r="Q183" i="5"/>
  <c r="K183" i="18" s="1"/>
  <c r="G183" i="18" s="1"/>
  <c r="V62" i="21"/>
  <c r="W62" i="21" s="1"/>
  <c r="V62" i="4"/>
  <c r="W62" i="4" s="1"/>
  <c r="V50" i="4"/>
  <c r="W50" i="4" s="1"/>
  <c r="V51" i="21"/>
  <c r="W51" i="21" s="1"/>
  <c r="V51" i="4"/>
  <c r="W51" i="4" s="1"/>
  <c r="S52" i="4"/>
  <c r="T52" i="4" s="1"/>
  <c r="S52" i="21"/>
  <c r="T52" i="21" s="1"/>
  <c r="S51" i="21"/>
  <c r="T51" i="21" s="1"/>
  <c r="S51" i="4"/>
  <c r="T51" i="4" s="1"/>
  <c r="R54" i="21"/>
  <c r="T49" i="21"/>
  <c r="T49" i="4"/>
  <c r="R54" i="4"/>
  <c r="Y61" i="21"/>
  <c r="Z61" i="21" s="1"/>
  <c r="V49" i="4" l="1"/>
  <c r="W49" i="4" s="1"/>
  <c r="I62" i="18"/>
  <c r="D78" i="18" s="1"/>
  <c r="AA78" i="5" s="1"/>
  <c r="R78" i="5" s="1"/>
  <c r="E47" i="16"/>
  <c r="E52" i="16" s="1"/>
  <c r="U183" i="5"/>
  <c r="Y62" i="21" s="1"/>
  <c r="Z62" i="21" s="1"/>
  <c r="I9" i="18"/>
  <c r="D35" i="18" s="1"/>
  <c r="AA35" i="5" s="1"/>
  <c r="R35" i="5" s="1"/>
  <c r="S63" i="4"/>
  <c r="T63" i="4" s="1"/>
  <c r="S63" i="21"/>
  <c r="T63" i="21" s="1"/>
  <c r="D100" i="18" l="1"/>
  <c r="AA100" i="5" s="1"/>
  <c r="R100" i="5" s="1"/>
  <c r="D63" i="18"/>
  <c r="AA63" i="5" s="1"/>
  <c r="R63" i="5" s="1"/>
  <c r="V42" i="4"/>
  <c r="Y42" i="4" s="1"/>
  <c r="X42" i="4" s="1"/>
  <c r="T36" i="4" s="1"/>
  <c r="S36" i="4" s="1"/>
  <c r="S37" i="4" s="1"/>
  <c r="V42" i="21"/>
  <c r="Y42" i="21" s="1"/>
  <c r="X42" i="21" s="1"/>
  <c r="T36" i="21" s="1"/>
  <c r="S36" i="21" s="1"/>
  <c r="S37" i="21" s="1"/>
  <c r="Y62" i="4"/>
  <c r="Z62" i="4" s="1"/>
  <c r="D48" i="18"/>
  <c r="AA48" i="5" s="1"/>
  <c r="R48" i="5" s="1"/>
  <c r="D10" i="18"/>
  <c r="AA10" i="5" s="1"/>
  <c r="R10" i="5" s="1"/>
  <c r="D20" i="18"/>
  <c r="AA20" i="5" s="1"/>
  <c r="R20" i="5" s="1"/>
  <c r="W43" i="21"/>
  <c r="Y43" i="21" s="1"/>
  <c r="X43" i="21" s="1"/>
  <c r="J23" i="14"/>
  <c r="K23" i="14" s="1"/>
  <c r="L23" i="14" s="1"/>
  <c r="O22" i="14" s="1"/>
  <c r="F13" i="14" s="1"/>
  <c r="J11" i="14" s="1"/>
  <c r="W43" i="4"/>
  <c r="Y43" i="4" s="1"/>
  <c r="X43" i="4" s="1"/>
  <c r="AD62" i="5" l="1"/>
  <c r="U62" i="5" s="1"/>
  <c r="V46" i="4" s="1"/>
  <c r="Z8" i="4" s="1"/>
  <c r="AD9" i="5"/>
  <c r="U9" i="5" s="1"/>
  <c r="S46" i="4" s="1"/>
  <c r="Z13" i="4" s="1"/>
  <c r="F17" i="14"/>
  <c r="W173" i="5"/>
  <c r="F15" i="14"/>
  <c r="F16" i="14"/>
  <c r="F14" i="14"/>
  <c r="F18" i="14"/>
  <c r="T46" i="4" l="1"/>
  <c r="K43" i="4"/>
  <c r="K62" i="18"/>
  <c r="G62" i="18" s="1"/>
  <c r="W46" i="21"/>
  <c r="W46" i="4"/>
  <c r="V46" i="21"/>
  <c r="Z8" i="21" s="1"/>
  <c r="T46" i="21"/>
  <c r="Z173" i="5"/>
  <c r="K9" i="18"/>
  <c r="G9" i="18" s="1"/>
  <c r="S46" i="21"/>
  <c r="Z13" i="21" s="1"/>
  <c r="G43" i="4"/>
  <c r="I8" i="18" l="1"/>
  <c r="D112" i="18" s="1"/>
  <c r="AA112" i="5" s="1"/>
  <c r="R112" i="5" s="1"/>
  <c r="K43" i="21"/>
  <c r="Q173" i="5"/>
  <c r="K173" i="18" s="1"/>
  <c r="G173" i="18" s="1"/>
  <c r="I172" i="18" s="1"/>
  <c r="D183" i="18" s="1"/>
  <c r="AA183" i="5" s="1"/>
  <c r="R183" i="5" s="1"/>
  <c r="AD173" i="5"/>
  <c r="U173" i="5" s="1"/>
  <c r="G43" i="21"/>
  <c r="D9" i="18" l="1"/>
  <c r="AA9" i="5" s="1"/>
  <c r="R9" i="5" s="1"/>
  <c r="D62" i="18"/>
  <c r="AA62" i="5" s="1"/>
  <c r="R62" i="5" s="1"/>
  <c r="D174" i="18"/>
  <c r="AA174" i="5" s="1"/>
  <c r="R174" i="5" s="1"/>
  <c r="D173" i="18"/>
  <c r="AA173" i="5" s="1"/>
  <c r="R173" i="5" s="1"/>
  <c r="Y60" i="21"/>
  <c r="Z60" i="21" s="1"/>
  <c r="Y60" i="4"/>
  <c r="Z60" i="4" s="1"/>
  <c r="AD172" i="5" l="1"/>
  <c r="U172" i="5" s="1"/>
  <c r="AD8" i="5"/>
  <c r="U8" i="5" s="1"/>
  <c r="N41" i="21" s="1"/>
  <c r="Q165" i="5"/>
  <c r="K165" i="18" l="1"/>
  <c r="G165" i="18" s="1"/>
  <c r="I151" i="18" s="1"/>
  <c r="Z57" i="21"/>
  <c r="Z57" i="4"/>
  <c r="Y57" i="4"/>
  <c r="K172" i="18"/>
  <c r="G172" i="18" s="1"/>
  <c r="Y57" i="21"/>
  <c r="S7" i="21"/>
  <c r="S9" i="21" s="1"/>
  <c r="T25" i="21" s="1"/>
  <c r="U27" i="21" s="1"/>
  <c r="S7" i="4"/>
  <c r="S9" i="4" s="1"/>
  <c r="T25" i="4" s="1"/>
  <c r="T27" i="4" s="1"/>
  <c r="N41" i="4"/>
  <c r="D165" i="18" l="1"/>
  <c r="AA165" i="5" s="1"/>
  <c r="R165" i="5" s="1"/>
  <c r="D154" i="18"/>
  <c r="AA154" i="5" s="1"/>
  <c r="R154" i="5" s="1"/>
  <c r="D158" i="18"/>
  <c r="AA158" i="5" s="1"/>
  <c r="R158" i="5" s="1"/>
  <c r="D156" i="18"/>
  <c r="AA156" i="5" s="1"/>
  <c r="R156" i="5" s="1"/>
  <c r="D152" i="18"/>
  <c r="AA152" i="5" s="1"/>
  <c r="R152" i="5" s="1"/>
  <c r="D157" i="18"/>
  <c r="AA157" i="5" s="1"/>
  <c r="R157" i="5" s="1"/>
  <c r="D155" i="18"/>
  <c r="AA155" i="5" s="1"/>
  <c r="R155" i="5" s="1"/>
  <c r="D153" i="18"/>
  <c r="AA153" i="5" s="1"/>
  <c r="R153" i="5" s="1"/>
  <c r="Z10" i="21"/>
  <c r="O54" i="21"/>
  <c r="Z10" i="4"/>
  <c r="O54" i="4"/>
  <c r="T27" i="21"/>
  <c r="U27" i="4"/>
  <c r="Z151" i="5" l="1"/>
  <c r="AD151" i="5" s="1"/>
  <c r="U151" i="5" s="1"/>
  <c r="Q151" i="5" l="1"/>
  <c r="K151" i="18" s="1"/>
  <c r="G151" i="18" s="1"/>
  <c r="I145" i="18" s="1"/>
  <c r="D166" i="18" s="1"/>
  <c r="AA166" i="5" s="1"/>
  <c r="R166" i="5" s="1"/>
  <c r="V61" i="4"/>
  <c r="W61" i="4" s="1"/>
  <c r="V61" i="21"/>
  <c r="W61" i="21" s="1"/>
  <c r="D151" i="18" l="1"/>
  <c r="AA151" i="5" s="1"/>
  <c r="R151" i="5" s="1"/>
  <c r="D146" i="18"/>
  <c r="AA146" i="5" s="1"/>
  <c r="AD145" i="5" l="1"/>
  <c r="W57" i="21" s="1"/>
  <c r="R146" i="5"/>
  <c r="W57" i="4" l="1"/>
  <c r="U145" i="5"/>
  <c r="V57" i="4" s="1"/>
  <c r="V57" i="21" l="1"/>
  <c r="K54" i="21" s="1"/>
  <c r="K145" i="18"/>
  <c r="G145" i="18" s="1"/>
  <c r="Z11" i="4"/>
  <c r="K54" i="4"/>
  <c r="G76" i="20"/>
  <c r="Z11" i="21" l="1"/>
  <c r="G77" i="20"/>
  <c r="H75" i="20" l="1"/>
  <c r="H76" i="20"/>
  <c r="H74" i="20"/>
  <c r="K77" i="20"/>
  <c r="H77" i="20" l="1"/>
  <c r="J77" i="20"/>
  <c r="F63" i="11" s="1"/>
  <c r="F67" i="11" l="1"/>
  <c r="J60" i="11"/>
  <c r="F65" i="11"/>
  <c r="F66" i="11"/>
  <c r="F64" i="11"/>
  <c r="W129" i="5"/>
  <c r="F68" i="11"/>
  <c r="Z129" i="5" l="1"/>
  <c r="AD129" i="5" s="1"/>
  <c r="U129" i="5" s="1"/>
  <c r="S62" i="4" s="1"/>
  <c r="T62" i="4" s="1"/>
  <c r="S62" i="21" l="1"/>
  <c r="T62" i="21" s="1"/>
  <c r="Q129" i="5"/>
  <c r="K129" i="18" s="1"/>
  <c r="G129" i="18" s="1"/>
  <c r="I122" i="18" s="1"/>
  <c r="D124" i="18" s="1"/>
  <c r="AA124" i="5" s="1"/>
  <c r="R124" i="5" s="1"/>
  <c r="D129" i="18" l="1"/>
  <c r="AA129" i="5" s="1"/>
  <c r="R129" i="5" s="1"/>
  <c r="D123" i="18"/>
  <c r="AA123" i="5" s="1"/>
  <c r="R123" i="5" s="1"/>
  <c r="D138" i="18"/>
  <c r="AA138" i="5" s="1"/>
  <c r="R138" i="5" s="1"/>
  <c r="AD122" i="5" l="1"/>
  <c r="T57" i="21" s="1"/>
  <c r="T57" i="4" l="1"/>
  <c r="U122" i="5"/>
  <c r="K122" i="18" s="1"/>
  <c r="G122" i="18" s="1"/>
  <c r="I121" i="18" s="1"/>
  <c r="D145" i="18" s="1"/>
  <c r="AA145" i="5" s="1"/>
  <c r="R145" i="5" s="1"/>
  <c r="S57" i="21" l="1"/>
  <c r="G54" i="21" s="1"/>
  <c r="D122" i="18"/>
  <c r="AA122" i="5" s="1"/>
  <c r="S57" i="4"/>
  <c r="G54" i="4" s="1"/>
  <c r="D172" i="18"/>
  <c r="AA172" i="5" s="1"/>
  <c r="R172" i="5" s="1"/>
  <c r="AD121" i="5" l="1"/>
  <c r="U121" i="5" s="1"/>
  <c r="Z12" i="4"/>
  <c r="Z12" i="21"/>
  <c r="R122" i="5"/>
  <c r="S8" i="21" l="1"/>
  <c r="S10" i="21" s="1"/>
  <c r="T24" i="21" s="1"/>
  <c r="S8" i="4"/>
  <c r="S10" i="4" s="1"/>
  <c r="T24" i="4" s="1"/>
  <c r="K121" i="18"/>
  <c r="G121" i="18" s="1"/>
  <c r="N52" i="4"/>
  <c r="N52" i="21"/>
  <c r="S11" i="21" l="1"/>
  <c r="S12" i="21" s="1"/>
  <c r="C25" i="21" s="1"/>
  <c r="S11" i="4"/>
  <c r="S12" i="4" s="1"/>
  <c r="C25" i="4" s="1"/>
  <c r="T26" i="21"/>
  <c r="S26" i="21"/>
  <c r="T26" i="4"/>
  <c r="S26" i="4"/>
  <c r="S13" i="21" l="1"/>
  <c r="S14" i="21" s="1"/>
  <c r="S13" i="4"/>
  <c r="S14" i="4" s="1"/>
  <c r="G121" i="9"/>
  <c r="K46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日建設計 </author>
    <author>Junko ENDO</author>
  </authors>
  <commentList>
    <comment ref="C15" authorId="0" shapeId="0" xr:uid="{00000000-0006-0000-0200-000001000000}">
      <text>
        <r>
          <rPr>
            <sz val="9"/>
            <color indexed="81"/>
            <rFont val="ＭＳ Ｐゴシック"/>
            <family val="3"/>
            <charset val="128"/>
          </rPr>
          <t>2003/6等と入力して下さい。
2003年6月と表示されます。</t>
        </r>
      </text>
    </comment>
    <comment ref="C39" authorId="0" shapeId="0" xr:uid="{00000000-0006-0000-0200-000002000000}">
      <text>
        <r>
          <rPr>
            <sz val="9"/>
            <color indexed="81"/>
            <rFont val="ＭＳ Ｐゴシック"/>
            <family val="3"/>
            <charset val="128"/>
          </rPr>
          <t>2003/6/15等と入力して下さい。
2003年6月15日と表示されます。</t>
        </r>
      </text>
    </comment>
    <comment ref="B41" authorId="1" shapeId="0" xr:uid="{00000000-0006-0000-0200-000003000000}">
      <text>
        <r>
          <rPr>
            <sz val="9"/>
            <color indexed="81"/>
            <rFont val="ＭＳ Ｐゴシック"/>
            <family val="3"/>
            <charset val="128"/>
          </rPr>
          <t>第３者による評価結果の確認などを行っている場合は記述する。</t>
        </r>
      </text>
    </comment>
    <comment ref="C41" authorId="0" shapeId="0" xr:uid="{00000000-0006-0000-0200-000004000000}">
      <text>
        <r>
          <rPr>
            <sz val="9"/>
            <color indexed="81"/>
            <rFont val="ＭＳ Ｐゴシック"/>
            <family val="3"/>
            <charset val="128"/>
          </rPr>
          <t>2003/6/15等と入力して下さい。
2003年6月15日と表示されます。</t>
        </r>
      </text>
    </comment>
    <comment ref="F68" authorId="0" shapeId="0" xr:uid="{00000000-0006-0000-0200-000005000000}">
      <text>
        <r>
          <rPr>
            <sz val="9"/>
            <color indexed="81"/>
            <rFont val="ＭＳ Ｐゴシック"/>
            <family val="3"/>
            <charset val="128"/>
          </rPr>
          <t>小数値(「0.9」など)で
比率を入力して下さい。</t>
        </r>
      </text>
    </comment>
    <comment ref="F69" authorId="0" shapeId="0" xr:uid="{00000000-0006-0000-0200-000006000000}">
      <text>
        <r>
          <rPr>
            <sz val="9"/>
            <color indexed="81"/>
            <rFont val="ＭＳ Ｐゴシック"/>
            <family val="3"/>
            <charset val="128"/>
          </rPr>
          <t>小数値(「0.9」など)で
比率を入力して下さい。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F3" authorId="0" shapeId="0" xr:uid="{00000000-0006-0000-0400-000001000000}">
      <text>
        <r>
          <rPr>
            <b/>
            <sz val="9"/>
            <color indexed="81"/>
            <rFont val="ＭＳ Ｐゴシック"/>
            <family val="3"/>
            <charset val="128"/>
          </rPr>
          <t xml:space="preserve"> 計画上の配慮事項：100字以内で記述してください。</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Q131" authorId="0" shapeId="0" xr:uid="{00000000-0006-0000-0700-000001000000}">
      <text>
        <r>
          <rPr>
            <b/>
            <sz val="9"/>
            <color indexed="81"/>
            <rFont val="ＭＳ Ｐゴシック"/>
            <family val="3"/>
            <charset val="128"/>
          </rPr>
          <t>専有部と共用部(3aによる評価)の床面積による加重平均</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JUNKO</author>
  </authors>
  <commentList>
    <comment ref="H197" authorId="0" shapeId="0" xr:uid="{00000000-0006-0000-0800-000001000000}">
      <text>
        <r>
          <rPr>
            <b/>
            <sz val="9"/>
            <color indexed="81"/>
            <rFont val="ＭＳ Ｐゴシック"/>
            <family val="3"/>
            <charset val="128"/>
          </rPr>
          <t>全住戸の最大値または平均値</t>
        </r>
      </text>
    </comment>
    <comment ref="J197" authorId="0" shapeId="0" xr:uid="{00000000-0006-0000-0800-000002000000}">
      <text>
        <r>
          <rPr>
            <b/>
            <sz val="9"/>
            <color indexed="81"/>
            <rFont val="ＭＳ Ｐゴシック"/>
            <family val="3"/>
            <charset val="128"/>
          </rPr>
          <t>全住戸の最大値もしくは全住戸の平均値（住棟単位外皮平均熱貫流率）</t>
        </r>
      </text>
    </comment>
    <comment ref="L197" authorId="0" shapeId="0" xr:uid="{00000000-0006-0000-0800-000003000000}">
      <text>
        <r>
          <rPr>
            <b/>
            <sz val="9"/>
            <color indexed="81"/>
            <rFont val="ＭＳ Ｐゴシック"/>
            <family val="3"/>
            <charset val="128"/>
          </rPr>
          <t>全住戸の最大値（最低値）</t>
        </r>
      </text>
    </comment>
    <comment ref="N197" authorId="0" shapeId="0" xr:uid="{00000000-0006-0000-0800-000004000000}">
      <text>
        <r>
          <rPr>
            <b/>
            <sz val="9"/>
            <color indexed="81"/>
            <rFont val="ＭＳ Ｐゴシック"/>
            <family val="3"/>
            <charset val="128"/>
          </rPr>
          <t>全住戸の最小値（最低値）</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JUNKO</author>
  </authors>
  <commentList>
    <comment ref="I110" authorId="0" shapeId="0" xr:uid="{00000000-0006-0000-0A00-000001000000}">
      <text>
        <r>
          <rPr>
            <b/>
            <sz val="9"/>
            <color indexed="81"/>
            <rFont val="ＭＳ Ｐゴシック"/>
            <family val="3"/>
            <charset val="128"/>
          </rPr>
          <t>敷地面積</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
  </authors>
  <commentList>
    <comment ref="F21" authorId="0" shapeId="0" xr:uid="{00000000-0006-0000-0B00-000001000000}">
      <text>
        <r>
          <rPr>
            <b/>
            <sz val="9"/>
            <color indexed="81"/>
            <rFont val="ＭＳ Ｐゴシック"/>
            <family val="3"/>
            <charset val="128"/>
          </rPr>
          <t>住宅部分と非住宅部分の床面積による加重平均（小数第2位で切捨）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junko_000</author>
    <author>-</author>
  </authors>
  <commentList>
    <comment ref="H23" authorId="0" shapeId="0" xr:uid="{00000000-0006-0000-0C00-000001000000}">
      <text>
        <r>
          <rPr>
            <b/>
            <sz val="9"/>
            <color indexed="81"/>
            <rFont val="ＭＳ Ｐゴシック"/>
            <family val="3"/>
            <charset val="128"/>
          </rPr>
          <t>下記（１）（２）（３）で評価する場合は空欄</t>
        </r>
      </text>
    </comment>
    <comment ref="G46" authorId="0" shapeId="0" xr:uid="{00000000-0006-0000-0C00-000002000000}">
      <text>
        <r>
          <rPr>
            <b/>
            <sz val="9"/>
            <color indexed="81"/>
            <rFont val="ＭＳ Ｐゴシック"/>
            <family val="3"/>
            <charset val="128"/>
          </rPr>
          <t>住宅面積のうち、算定プログラムで評価した住戸の面積と共用部の面積の合計</t>
        </r>
      </text>
    </comment>
    <comment ref="K82" authorId="0" shapeId="0" xr:uid="{00000000-0006-0000-0C00-000003000000}">
      <text>
        <r>
          <rPr>
            <b/>
            <sz val="9"/>
            <color indexed="81"/>
            <rFont val="ＭＳ Ｐゴシック"/>
            <family val="3"/>
            <charset val="128"/>
          </rPr>
          <t>算定プログラムを使わない場合は空欄</t>
        </r>
      </text>
    </comment>
    <comment ref="L82" authorId="1" shapeId="0" xr:uid="{00000000-0006-0000-0C00-000004000000}">
      <text>
        <r>
          <rPr>
            <b/>
            <sz val="9"/>
            <color indexed="10"/>
            <rFont val="ＭＳ Ｐゴシック"/>
            <family val="3"/>
            <charset val="128"/>
          </rPr>
          <t>住戸部分のみで評価した場合は、
専有面積（住戸面積合計㎡）×0.1（GJ/㎡）※を入力
※0.1GJ/㎡=820ｋWh/戸÷80㎡/戸×9.76MJ/ｋWh÷1000）</t>
        </r>
      </text>
    </comment>
    <comment ref="K83" authorId="0" shapeId="0" xr:uid="{00000000-0006-0000-0C00-000005000000}">
      <text>
        <r>
          <rPr>
            <b/>
            <sz val="9"/>
            <color indexed="81"/>
            <rFont val="ＭＳ Ｐゴシック"/>
            <family val="3"/>
            <charset val="128"/>
          </rPr>
          <t>算定プログラムを使わない場合は空欄</t>
        </r>
      </text>
    </comment>
    <comment ref="L83" authorId="1" shapeId="0" xr:uid="{00000000-0006-0000-0C00-000006000000}">
      <text>
        <r>
          <rPr>
            <b/>
            <sz val="9"/>
            <color indexed="10"/>
            <rFont val="ＭＳ Ｐゴシック"/>
            <family val="3"/>
            <charset val="128"/>
          </rPr>
          <t>住戸部分のみで評価した場合は、
基準一次エネルギー消費量×BEI</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JUNKO</author>
  </authors>
  <commentList>
    <comment ref="I52" authorId="0" shapeId="0" xr:uid="{00000000-0006-0000-0E00-000001000000}">
      <text>
        <r>
          <rPr>
            <b/>
            <sz val="9"/>
            <color indexed="81"/>
            <rFont val="ＭＳ Ｐゴシック"/>
            <family val="3"/>
            <charset val="128"/>
          </rPr>
          <t>敷地面積</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D48" authorId="0" shapeId="0" xr:uid="{00000000-0006-0000-1100-000001000000}">
      <text>
        <r>
          <rPr>
            <sz val="9"/>
            <color indexed="81"/>
            <rFont val="ＭＳ Ｐゴシック"/>
            <family val="3"/>
            <charset val="128"/>
          </rPr>
          <t>下表＜参考＞　[1]の数値を利用できる。</t>
        </r>
      </text>
    </comment>
    <comment ref="D56" authorId="0" shapeId="0" xr:uid="{00000000-0006-0000-1100-000002000000}">
      <text>
        <r>
          <rPr>
            <sz val="9"/>
            <color indexed="81"/>
            <rFont val="ＭＳ Ｐゴシック"/>
            <family val="3"/>
            <charset val="128"/>
          </rPr>
          <t>下表＜参考＞　[2]の数値を利用できる。</t>
        </r>
      </text>
    </comment>
  </commentList>
</comments>
</file>

<file path=xl/sharedStrings.xml><?xml version="1.0" encoding="utf-8"?>
<sst xmlns="http://schemas.openxmlformats.org/spreadsheetml/2006/main" count="11709" uniqueCount="3812">
  <si>
    <t>内装計画</t>
    <rPh sb="0" eb="2">
      <t>ナイソウ</t>
    </rPh>
    <rPh sb="2" eb="4">
      <t>ケイカク</t>
    </rPh>
    <phoneticPr fontId="22"/>
  </si>
  <si>
    <t>維持管理</t>
    <rPh sb="0" eb="2">
      <t>イジ</t>
    </rPh>
    <rPh sb="2" eb="4">
      <t>カンリ</t>
    </rPh>
    <phoneticPr fontId="22"/>
  </si>
  <si>
    <t>維持管理に配慮した設計</t>
  </si>
  <si>
    <t>維持管理用機能の確保</t>
  </si>
  <si>
    <t>衛生管理業務</t>
    <rPh sb="0" eb="2">
      <t>エイセイ</t>
    </rPh>
    <rPh sb="2" eb="4">
      <t>カンリ</t>
    </rPh>
    <rPh sb="4" eb="6">
      <t>ギョウム</t>
    </rPh>
    <phoneticPr fontId="22"/>
  </si>
  <si>
    <t>耐用性・信頼性</t>
    <rPh sb="0" eb="3">
      <t>ﾀｲﾖｳｾｲ</t>
    </rPh>
    <rPh sb="4" eb="6">
      <t>ｼﾝﾗｲ</t>
    </rPh>
    <rPh sb="6" eb="7">
      <t>ｾｲ</t>
    </rPh>
    <phoneticPr fontId="34" type="noConversion"/>
  </si>
  <si>
    <t>リサイクル資材を用いていない。</t>
    <rPh sb="8" eb="9">
      <t>モチ</t>
    </rPh>
    <phoneticPr fontId="22"/>
  </si>
  <si>
    <t>リサイクル資材を１品目用いている。</t>
    <rPh sb="9" eb="11">
      <t>ヒンモク</t>
    </rPh>
    <rPh sb="11" eb="12">
      <t>モチ</t>
    </rPh>
    <phoneticPr fontId="22"/>
  </si>
  <si>
    <t>リサイクル資材を２品目用いている。</t>
    <rPh sb="9" eb="11">
      <t>ヒンモク</t>
    </rPh>
    <rPh sb="11" eb="12">
      <t>モチ</t>
    </rPh>
    <phoneticPr fontId="22"/>
  </si>
  <si>
    <t>リサイクル資材を３品目以上用いている。</t>
    <rPh sb="9" eb="11">
      <t>ヒンモク</t>
    </rPh>
    <rPh sb="11" eb="13">
      <t>イジョウ</t>
    </rPh>
    <rPh sb="13" eb="14">
      <t>モチ</t>
    </rPh>
    <phoneticPr fontId="22"/>
  </si>
  <si>
    <t>[照度]＜300lx、または1000lx≦[照度]</t>
  </si>
  <si>
    <t>自動制御ブラインド等によりグレアを制御。</t>
    <rPh sb="9" eb="10">
      <t>トウ</t>
    </rPh>
    <phoneticPr fontId="22"/>
  </si>
  <si>
    <t>確実な対策を行うために、レベル４を超える特別な配慮を行っている。かつ、それらの設備のメンテナンスが容易な計画となっている。</t>
    <phoneticPr fontId="22"/>
  </si>
  <si>
    <t>窓が開閉不可能な居室において、自然換気有効開口面積が25cm2/m2以上。あるいは、窓が開閉可能な居室において、自然換気有効開口面積が居室床面積の1/30以上。あるいは、必要外気量の２倍以上の外気冷房の採用により室内空気質の向上が期待できる。</t>
  </si>
  <si>
    <t>窓が開閉不可能な居室において、自然換気有効開口面積が50cm2/m2以上。あるいは、窓が開閉可能な居室において、自然換気有効開口面積が居室床面積の1/15以上。あるいは、レベル４の自然換気有効開口面積を満たし、かつ必要外気量の２倍以上の外気冷房の採用により室内空気質の向上が期待できる。</t>
  </si>
  <si>
    <t>自然換気有効開口面積が居室床面積の1/20以上</t>
  </si>
  <si>
    <t>自然換気有効開口面積が居室床面積の1/15以上</t>
  </si>
  <si>
    <t>自然換気有効開口面積が居室床面積の1/10以上</t>
  </si>
  <si>
    <t>学（小中高）</t>
    <phoneticPr fontId="22"/>
  </si>
  <si>
    <t>リフレッシュスペースがない。</t>
  </si>
  <si>
    <t>リフレッシュスペースが執務スペースの1％以上</t>
  </si>
  <si>
    <t>執務スペースの1％以上のリフレッシュスペース＋自動販売機等の設置</t>
  </si>
  <si>
    <t>レベル３を満たさない。</t>
    <rPh sb="5" eb="6">
      <t>ミ</t>
    </rPh>
    <phoneticPr fontId="22"/>
  </si>
  <si>
    <t>②　清掃用資材の洗い場を設置し、安全な排水設備への排水経路を確保している。
※病院建築物においては上記に加え、病床数に応じた清掃資材用の洗濯機を設置するスペースを確保している。</t>
    <phoneticPr fontId="22"/>
  </si>
  <si>
    <t>事・学(大学等)・物・飲・会・病・ホ・工・住</t>
    <rPh sb="4" eb="6">
      <t>ダイガク</t>
    </rPh>
    <rPh sb="6" eb="7">
      <t>トウ</t>
    </rPh>
    <phoneticPr fontId="22"/>
  </si>
  <si>
    <t>（該当するレベルなし）</t>
    <phoneticPr fontId="22"/>
  </si>
  <si>
    <t>建築基準法に定められた耐震性を有する。</t>
    <phoneticPr fontId="22"/>
  </si>
  <si>
    <t>建築基準法に定められた25％増の耐震性を有する。</t>
    <phoneticPr fontId="22"/>
  </si>
  <si>
    <t>評価する取組みが3つ。</t>
    <phoneticPr fontId="22"/>
  </si>
  <si>
    <t>評価する取組みが4つ以上。</t>
    <phoneticPr fontId="22"/>
  </si>
  <si>
    <t>評価する取組みが3つ以上。</t>
    <phoneticPr fontId="22"/>
  </si>
  <si>
    <t>取組数</t>
    <rPh sb="0" eb="2">
      <t>トリクミ</t>
    </rPh>
    <rPh sb="2" eb="3">
      <t>スウ</t>
    </rPh>
    <phoneticPr fontId="22"/>
  </si>
  <si>
    <t>①非常用発電設備を備えている。</t>
    <phoneticPr fontId="22"/>
  </si>
  <si>
    <t>事・学・物・飲・会・病・ホ・工・住</t>
    <phoneticPr fontId="22"/>
  </si>
  <si>
    <t>事・学・物・飲・会・病・ホ・工・住【&lt;2000㎡】</t>
    <phoneticPr fontId="22"/>
  </si>
  <si>
    <t>評価する取組みが1つまたは2つ。</t>
    <phoneticPr fontId="22"/>
  </si>
  <si>
    <t>③重要設備系の受電設備の二重化を行っている。</t>
    <phoneticPr fontId="22"/>
  </si>
  <si>
    <t>⑤電源車接続時に利用可能な用の照明等の配線が設置されている。</t>
    <phoneticPr fontId="22"/>
  </si>
  <si>
    <t>⑥異なる変電所からの引き込みを二重化している。</t>
    <phoneticPr fontId="22"/>
  </si>
  <si>
    <t>評価する取組みがない。</t>
    <phoneticPr fontId="22"/>
  </si>
  <si>
    <t>評価する取組みが1つ。</t>
    <phoneticPr fontId="22"/>
  </si>
  <si>
    <t>評価する取組みが2つ以上。</t>
    <phoneticPr fontId="22"/>
  </si>
  <si>
    <t>耐震クラスA（Bクラスに加えて、大きな補修をすることなく重要な機能が確保できる。）または、動的解析を行った上で設計用水平震度KHを1.5以上としている。</t>
  </si>
  <si>
    <t>評価する取組みが4つ以上。</t>
    <rPh sb="10" eb="12">
      <t>イジョウ</t>
    </rPh>
    <phoneticPr fontId="22"/>
  </si>
  <si>
    <t>主要設備機器の更新に対応したルート又はマシンハッチが確保されておらず、更新・修繕時に建物機能を維持できない状況。</t>
    <phoneticPr fontId="22"/>
  </si>
  <si>
    <t>主要設備機器の更新に対応したルート又はマシンハッチが確保されているが、更新・修繕時に建物機能を維持できない状況。</t>
    <phoneticPr fontId="22"/>
  </si>
  <si>
    <t>主要設備機器の更新に対応したルート又はマシンハッチが確保され、かつ更新・修繕時に建物機能を維持できる状況。</t>
    <phoneticPr fontId="22"/>
  </si>
  <si>
    <t>主要設備機器の更新に対応した仮設スペースが確保でき、かつ更新・修繕時に建物機能を維持できる状況。</t>
    <phoneticPr fontId="22"/>
  </si>
  <si>
    <t>既存の建築躯体を再利用していない。</t>
    <phoneticPr fontId="22"/>
  </si>
  <si>
    <t>構造耐力上主要な部分にリサイクル資材をひとつも用いていない。</t>
    <rPh sb="0" eb="2">
      <t>コウゾウ</t>
    </rPh>
    <rPh sb="2" eb="4">
      <t>タイリョク</t>
    </rPh>
    <rPh sb="4" eb="5">
      <t>ジョウ</t>
    </rPh>
    <rPh sb="5" eb="7">
      <t>シュヨウ</t>
    </rPh>
    <rPh sb="8" eb="10">
      <t>ブブン</t>
    </rPh>
    <rPh sb="16" eb="18">
      <t>シザイ</t>
    </rPh>
    <rPh sb="23" eb="24">
      <t>モチ</t>
    </rPh>
    <phoneticPr fontId="22"/>
  </si>
  <si>
    <t>構造耐力上主要な部分にリサイクル資材を用いている。</t>
    <rPh sb="0" eb="2">
      <t>コウゾウ</t>
    </rPh>
    <rPh sb="2" eb="4">
      <t>タイリョク</t>
    </rPh>
    <rPh sb="4" eb="5">
      <t>ジョウ</t>
    </rPh>
    <rPh sb="5" eb="7">
      <t>シュヨウ</t>
    </rPh>
    <rPh sb="8" eb="10">
      <t>ブブン</t>
    </rPh>
    <rPh sb="16" eb="18">
      <t>シザイ</t>
    </rPh>
    <rPh sb="19" eb="20">
      <t>モチ</t>
    </rPh>
    <phoneticPr fontId="22"/>
  </si>
  <si>
    <t>躯体材料以外におけるリサイクル材の使用</t>
    <rPh sb="0" eb="2">
      <t>クタイ</t>
    </rPh>
    <rPh sb="2" eb="4">
      <t>ザイリョウ</t>
    </rPh>
    <rPh sb="4" eb="6">
      <t>イガイ</t>
    </rPh>
    <rPh sb="15" eb="16">
      <t>ザイ</t>
    </rPh>
    <rPh sb="17" eb="19">
      <t>シヨウ</t>
    </rPh>
    <phoneticPr fontId="22"/>
  </si>
  <si>
    <t>再利用できるユニット部材を用いている。</t>
    <phoneticPr fontId="22"/>
  </si>
  <si>
    <t>構造部材あるいはそのユニットが容易に分解でき、再利用できる。</t>
    <phoneticPr fontId="22"/>
  </si>
  <si>
    <t>不活性ガス消火剤を使用している。または、ODPが0でGWPが50未満のものを使用している。</t>
    <rPh sb="0" eb="3">
      <t>フカッセイ</t>
    </rPh>
    <rPh sb="5" eb="8">
      <t>ショウカザイ</t>
    </rPh>
    <rPh sb="9" eb="11">
      <t>シヨウ</t>
    </rPh>
    <rPh sb="32" eb="34">
      <t>ミマン</t>
    </rPh>
    <rPh sb="38" eb="40">
      <t>シヨウ</t>
    </rPh>
    <phoneticPr fontId="22"/>
  </si>
  <si>
    <t>１地域</t>
    <rPh sb="1" eb="3">
      <t>チイキ</t>
    </rPh>
    <phoneticPr fontId="22"/>
  </si>
  <si>
    <t>２地域</t>
    <rPh sb="1" eb="3">
      <t>チイキ</t>
    </rPh>
    <phoneticPr fontId="22"/>
  </si>
  <si>
    <t>３地域</t>
    <rPh sb="1" eb="3">
      <t>チイキ</t>
    </rPh>
    <phoneticPr fontId="22"/>
  </si>
  <si>
    <t>４地域</t>
    <rPh sb="1" eb="3">
      <t>チイキ</t>
    </rPh>
    <phoneticPr fontId="22"/>
  </si>
  <si>
    <t>５地域</t>
    <rPh sb="1" eb="3">
      <t>チイキ</t>
    </rPh>
    <phoneticPr fontId="22"/>
  </si>
  <si>
    <t>６地域</t>
    <rPh sb="1" eb="3">
      <t>チイキ</t>
    </rPh>
    <phoneticPr fontId="22"/>
  </si>
  <si>
    <t>７地域</t>
    <rPh sb="1" eb="3">
      <t>チイキ</t>
    </rPh>
    <phoneticPr fontId="22"/>
  </si>
  <si>
    <t>８地域</t>
    <rPh sb="1" eb="3">
      <t>チイキ</t>
    </rPh>
    <phoneticPr fontId="22"/>
  </si>
  <si>
    <t>屋上（屋根）・外壁仕上げ材の更新</t>
    <rPh sb="0" eb="2">
      <t>オクジョウ</t>
    </rPh>
    <rPh sb="3" eb="5">
      <t>ヤネ</t>
    </rPh>
    <rPh sb="7" eb="9">
      <t>ガイヘキ</t>
    </rPh>
    <rPh sb="9" eb="11">
      <t>シア</t>
    </rPh>
    <rPh sb="12" eb="13">
      <t>ザイ</t>
    </rPh>
    <rPh sb="14" eb="16">
      <t>コウシン</t>
    </rPh>
    <phoneticPr fontId="22"/>
  </si>
  <si>
    <t>配管・配線材の更新</t>
    <rPh sb="0" eb="2">
      <t>ハイカン</t>
    </rPh>
    <rPh sb="3" eb="5">
      <t>ハイセン</t>
    </rPh>
    <rPh sb="5" eb="6">
      <t>ザイ</t>
    </rPh>
    <rPh sb="7" eb="9">
      <t>コウシン</t>
    </rPh>
    <phoneticPr fontId="22"/>
  </si>
  <si>
    <t>主用設備機器の更新</t>
    <rPh sb="0" eb="2">
      <t>シュヨウ</t>
    </rPh>
    <rPh sb="2" eb="4">
      <t>セツビ</t>
    </rPh>
    <rPh sb="4" eb="6">
      <t>キキ</t>
    </rPh>
    <rPh sb="7" eb="9">
      <t>コウシン</t>
    </rPh>
    <phoneticPr fontId="22"/>
  </si>
  <si>
    <t>信頼性</t>
    <rPh sb="0" eb="3">
      <t>シンライセイ</t>
    </rPh>
    <phoneticPr fontId="22"/>
  </si>
  <si>
    <t>空調・換気設備</t>
    <rPh sb="0" eb="2">
      <t>クウチョウ</t>
    </rPh>
    <rPh sb="3" eb="5">
      <t>カンキ</t>
    </rPh>
    <rPh sb="5" eb="7">
      <t>セツビ</t>
    </rPh>
    <phoneticPr fontId="22"/>
  </si>
  <si>
    <t>給排水・衛生設備</t>
    <rPh sb="0" eb="3">
      <t>キュウハイスイ</t>
    </rPh>
    <rPh sb="4" eb="6">
      <t>エイセイ</t>
    </rPh>
    <rPh sb="6" eb="8">
      <t>セツビ</t>
    </rPh>
    <phoneticPr fontId="22"/>
  </si>
  <si>
    <t>電気設備</t>
    <rPh sb="0" eb="2">
      <t>デンキ</t>
    </rPh>
    <rPh sb="2" eb="4">
      <t>セツビ</t>
    </rPh>
    <phoneticPr fontId="22"/>
  </si>
  <si>
    <t>地域性・文化</t>
    <rPh sb="0" eb="3">
      <t>チイキセイ</t>
    </rPh>
    <rPh sb="4" eb="6">
      <t>ブンカ</t>
    </rPh>
    <phoneticPr fontId="22"/>
  </si>
  <si>
    <t>空気質環境</t>
    <rPh sb="3" eb="5">
      <t>カンキョウ</t>
    </rPh>
    <phoneticPr fontId="22"/>
  </si>
  <si>
    <t>LR-2 資源ﾏﾃﾘｱﾙ</t>
    <rPh sb="5" eb="7">
      <t>シゲン</t>
    </rPh>
    <phoneticPr fontId="22"/>
  </si>
  <si>
    <t>日本住宅性能表示基準「5-1断熱等性能等級」における等級1相当の屋根・外壁・床の部材構成、開口部の仕様を設定している。</t>
    <rPh sb="14" eb="16">
      <t>ダンネツ</t>
    </rPh>
    <rPh sb="16" eb="17">
      <t>トウ</t>
    </rPh>
    <rPh sb="17" eb="19">
      <t>セイノウ</t>
    </rPh>
    <rPh sb="19" eb="21">
      <t>トウキュウ</t>
    </rPh>
    <phoneticPr fontId="22"/>
  </si>
  <si>
    <t>振動規制法に定める現行の規制基準*1を上回っている</t>
    <rPh sb="0" eb="2">
      <t>シンドウ</t>
    </rPh>
    <rPh sb="2" eb="5">
      <t>キセイホウ</t>
    </rPh>
    <rPh sb="6" eb="7">
      <t>サダ</t>
    </rPh>
    <rPh sb="9" eb="11">
      <t>ゲンコウ</t>
    </rPh>
    <rPh sb="12" eb="14">
      <t>キセイ</t>
    </rPh>
    <rPh sb="14" eb="16">
      <t>キジュン</t>
    </rPh>
    <rPh sb="19" eb="21">
      <t>ウワマワ</t>
    </rPh>
    <phoneticPr fontId="22"/>
  </si>
  <si>
    <t>振動規制法に定める特定施設を含む建物を対象とする。これらに当てはまらない場合は対象外とする。</t>
    <rPh sb="0" eb="2">
      <t>シンドウ</t>
    </rPh>
    <rPh sb="2" eb="4">
      <t>キセイ</t>
    </rPh>
    <rPh sb="4" eb="5">
      <t>ホウ</t>
    </rPh>
    <rPh sb="6" eb="7">
      <t>サダ</t>
    </rPh>
    <rPh sb="9" eb="11">
      <t>トクテイ</t>
    </rPh>
    <rPh sb="11" eb="13">
      <t>シセツ</t>
    </rPh>
    <rPh sb="14" eb="15">
      <t>フク</t>
    </rPh>
    <rPh sb="16" eb="18">
      <t>タテモノ</t>
    </rPh>
    <rPh sb="19" eb="21">
      <t>タイショウ</t>
    </rPh>
    <rPh sb="29" eb="30">
      <t>ア</t>
    </rPh>
    <rPh sb="36" eb="38">
      <t>バアイ</t>
    </rPh>
    <rPh sb="39" eb="42">
      <t>タイショウガイ</t>
    </rPh>
    <phoneticPr fontId="22"/>
  </si>
  <si>
    <t>振動規制法に定める現行の規制基準*1以下に抑えられている</t>
    <rPh sb="0" eb="2">
      <t>シンドウ</t>
    </rPh>
    <rPh sb="2" eb="5">
      <t>キセイホウ</t>
    </rPh>
    <rPh sb="6" eb="7">
      <t>サダ</t>
    </rPh>
    <rPh sb="9" eb="11">
      <t>ゲンコウ</t>
    </rPh>
    <rPh sb="12" eb="14">
      <t>キセイ</t>
    </rPh>
    <rPh sb="14" eb="16">
      <t>キジュン</t>
    </rPh>
    <rPh sb="18" eb="20">
      <t>イカ</t>
    </rPh>
    <rPh sb="21" eb="22">
      <t>オサ</t>
    </rPh>
    <phoneticPr fontId="22"/>
  </si>
  <si>
    <t>振動規制法に定める現行の規制基準*1より大幅*2に抑えられている</t>
    <phoneticPr fontId="22"/>
  </si>
  <si>
    <t>事・学・物・飲・会・病・ホ・工・住</t>
    <phoneticPr fontId="22"/>
  </si>
  <si>
    <t>建物外壁（ガラスを含む）の反射光（グレア）の発生を低減させる取組みを行っている。</t>
  </si>
  <si>
    <t>事・学・物・飲・会・病・ホ・住・工</t>
    <rPh sb="0" eb="1">
      <t>コト</t>
    </rPh>
    <rPh sb="2" eb="3">
      <t>ガク</t>
    </rPh>
    <rPh sb="4" eb="5">
      <t>モノ</t>
    </rPh>
    <rPh sb="6" eb="7">
      <t>ノ</t>
    </rPh>
    <rPh sb="8" eb="9">
      <t>カイ</t>
    </rPh>
    <rPh sb="10" eb="11">
      <t>ヤマイ</t>
    </rPh>
    <rPh sb="14" eb="15">
      <t>ジュウ</t>
    </rPh>
    <rPh sb="16" eb="17">
      <t>コウ</t>
    </rPh>
    <phoneticPr fontId="22"/>
  </si>
  <si>
    <t/>
  </si>
  <si>
    <t>維持管理に配慮した設計において、取り組みにおいて該当する項目数が十分でない。（評価する取組みが 0～2）</t>
    <rPh sb="0" eb="2">
      <t>イジ</t>
    </rPh>
    <rPh sb="2" eb="4">
      <t>カンリ</t>
    </rPh>
    <rPh sb="5" eb="7">
      <t>ハイリョ</t>
    </rPh>
    <rPh sb="9" eb="11">
      <t>セッケイ</t>
    </rPh>
    <rPh sb="16" eb="17">
      <t>ト</t>
    </rPh>
    <rPh sb="18" eb="19">
      <t>ク</t>
    </rPh>
    <rPh sb="32" eb="34">
      <t>ジュウブン</t>
    </rPh>
    <rPh sb="39" eb="41">
      <t>ヒョウカ</t>
    </rPh>
    <rPh sb="43" eb="45">
      <t>トリク</t>
    </rPh>
    <phoneticPr fontId="22"/>
  </si>
  <si>
    <t>維持管理に配慮した設計において、取り組みにおいて該当する項目数が標準である。（評価する取組みが 3～5）</t>
    <rPh sb="0" eb="2">
      <t>イジ</t>
    </rPh>
    <rPh sb="2" eb="4">
      <t>カンリ</t>
    </rPh>
    <rPh sb="5" eb="7">
      <t>ハイリョ</t>
    </rPh>
    <rPh sb="9" eb="11">
      <t>セッケイ</t>
    </rPh>
    <rPh sb="16" eb="17">
      <t>ト</t>
    </rPh>
    <rPh sb="18" eb="19">
      <t>ク</t>
    </rPh>
    <rPh sb="32" eb="34">
      <t>ヒョウジュン</t>
    </rPh>
    <rPh sb="39" eb="41">
      <t>ヒョウカ</t>
    </rPh>
    <rPh sb="43" eb="45">
      <t>トリク</t>
    </rPh>
    <phoneticPr fontId="22"/>
  </si>
  <si>
    <t>維持管理に配慮した設計において、取り組みにおいて該当する項目数が標準以上である。（評価する取組みが 6～8）</t>
    <rPh sb="0" eb="2">
      <t>イジ</t>
    </rPh>
    <rPh sb="2" eb="4">
      <t>カンリ</t>
    </rPh>
    <rPh sb="5" eb="7">
      <t>ハイリョ</t>
    </rPh>
    <rPh sb="9" eb="11">
      <t>セッケイ</t>
    </rPh>
    <rPh sb="16" eb="17">
      <t>ト</t>
    </rPh>
    <rPh sb="18" eb="19">
      <t>ク</t>
    </rPh>
    <rPh sb="32" eb="34">
      <t>ヒョウジュン</t>
    </rPh>
    <rPh sb="34" eb="36">
      <t>イジョウ</t>
    </rPh>
    <rPh sb="41" eb="43">
      <t>ヒョウカ</t>
    </rPh>
    <rPh sb="45" eb="47">
      <t>トリク</t>
    </rPh>
    <phoneticPr fontId="22"/>
  </si>
  <si>
    <r>
      <t xml:space="preserve">3.3.4 </t>
    </r>
    <r>
      <rPr>
        <b/>
        <sz val="10"/>
        <rFont val="ＭＳ Ｐゴシック"/>
        <family val="3"/>
        <charset val="128"/>
      </rPr>
      <t>通信配線の更新性</t>
    </r>
    <phoneticPr fontId="22"/>
  </si>
  <si>
    <t>構造部材を痛めることなく電気配線の更新・修繕ができる。</t>
    <phoneticPr fontId="22"/>
  </si>
  <si>
    <t>構造部材を痛めることなく通信配線の更新・修繕ができる。</t>
    <phoneticPr fontId="22"/>
  </si>
  <si>
    <t xml:space="preserve"> </t>
    <phoneticPr fontId="22"/>
  </si>
  <si>
    <t>加湿・除湿機能を有し、45％～55％の快適範囲を設定し、なおかつ、熱橋となる部分の断熱補強、防湿層、通気層の設置等の結露防止対策がとられている。</t>
    <phoneticPr fontId="22"/>
  </si>
  <si>
    <t>⑨　バルブ等の日常的に調整が必要な機器は、操作が容易な位置に設定されている。</t>
    <phoneticPr fontId="22"/>
  </si>
  <si>
    <t>非住宅部分</t>
    <rPh sb="0" eb="1">
      <t>ヒ</t>
    </rPh>
    <rPh sb="1" eb="3">
      <t>ジュウタク</t>
    </rPh>
    <rPh sb="3" eb="5">
      <t>ブブン</t>
    </rPh>
    <phoneticPr fontId="22"/>
  </si>
  <si>
    <t>効率的な運用低減率</t>
    <rPh sb="0" eb="2">
      <t>コウリツ</t>
    </rPh>
    <rPh sb="2" eb="3">
      <t>テキ</t>
    </rPh>
    <rPh sb="4" eb="6">
      <t>ウンヨウ</t>
    </rPh>
    <rPh sb="6" eb="8">
      <t>テイゲン</t>
    </rPh>
    <rPh sb="8" eb="9">
      <t>リツ</t>
    </rPh>
    <phoneticPr fontId="22"/>
  </si>
  <si>
    <t>削減分</t>
    <rPh sb="0" eb="2">
      <t>サクゲン</t>
    </rPh>
    <rPh sb="2" eb="3">
      <t>ブン</t>
    </rPh>
    <phoneticPr fontId="22"/>
  </si>
  <si>
    <t>歴史的建造物の外装、既存の自然環境等を保存、復元、再生することにより、景観的に地域の歴史性を継承している。</t>
    <phoneticPr fontId="22"/>
  </si>
  <si>
    <t>地域性のある素材を外装材に使用して、良好な景観を形成している。</t>
    <phoneticPr fontId="22"/>
  </si>
  <si>
    <t xml:space="preserve">周辺にある公園や広場等の人が集まる場所や遠くから対象建物を含む一帯を眺める地点（視点場）からの良好な景観を形成している。   </t>
    <phoneticPr fontId="22"/>
  </si>
  <si>
    <t>評価する取組み表の評価ポイントの合計値が4ポイント</t>
    <phoneticPr fontId="22"/>
  </si>
  <si>
    <t>1～2</t>
    <phoneticPr fontId="22"/>
  </si>
  <si>
    <r>
      <t>3.3.2</t>
    </r>
    <r>
      <rPr>
        <b/>
        <sz val="10"/>
        <rFont val="ＭＳ Ｐゴシック"/>
        <family val="3"/>
        <charset val="128"/>
      </rPr>
      <t>　昼光の建物外壁による反射光（グレア）への対策</t>
    </r>
    <phoneticPr fontId="22"/>
  </si>
  <si>
    <t>消火剤</t>
    <rPh sb="0" eb="3">
      <t>ショウカザイ</t>
    </rPh>
    <phoneticPr fontId="22"/>
  </si>
  <si>
    <t>発泡剤（断熱材等）</t>
    <rPh sb="0" eb="2">
      <t>ハッポウ</t>
    </rPh>
    <rPh sb="2" eb="3">
      <t>ザイ</t>
    </rPh>
    <rPh sb="4" eb="7">
      <t>ダンネツザイ</t>
    </rPh>
    <rPh sb="7" eb="8">
      <t>トウ</t>
    </rPh>
    <phoneticPr fontId="22"/>
  </si>
  <si>
    <t>冷媒</t>
    <rPh sb="0" eb="2">
      <t>レイバイ</t>
    </rPh>
    <phoneticPr fontId="22"/>
  </si>
  <si>
    <t>対応性・更新性</t>
  </si>
  <si>
    <t xml:space="preserve"> Q2 3</t>
  </si>
  <si>
    <t xml:space="preserve"> Q2 3.1</t>
  </si>
  <si>
    <t>階高のゆとり</t>
  </si>
  <si>
    <t>空間の形状・自由さ</t>
  </si>
  <si>
    <t xml:space="preserve"> Q2 3.3</t>
  </si>
  <si>
    <t>空調配管の更新性</t>
  </si>
  <si>
    <t>給排水管の更新性</t>
  </si>
  <si>
    <t>電気配線の更新性</t>
  </si>
  <si>
    <t>通信配線の更新性</t>
  </si>
  <si>
    <t>設備機器の更新性</t>
  </si>
  <si>
    <t xml:space="preserve"> Q3</t>
  </si>
  <si>
    <t>生物資源の保全と創出</t>
    <rPh sb="2" eb="4">
      <t>シゲン</t>
    </rPh>
    <phoneticPr fontId="22"/>
  </si>
  <si>
    <t xml:space="preserve"> Q3 3</t>
  </si>
  <si>
    <t xml:space="preserve"> </t>
  </si>
  <si>
    <t>建築物の環境負荷低減性</t>
    <rPh sb="0" eb="3">
      <t>ケンチクブツ</t>
    </rPh>
    <rPh sb="4" eb="6">
      <t>カンキョウ</t>
    </rPh>
    <rPh sb="6" eb="8">
      <t>フカ</t>
    </rPh>
    <rPh sb="8" eb="10">
      <t>テイゲン</t>
    </rPh>
    <rPh sb="10" eb="11">
      <t>セイ</t>
    </rPh>
    <phoneticPr fontId="22"/>
  </si>
  <si>
    <t>LR</t>
  </si>
  <si>
    <t>LR1 2</t>
  </si>
  <si>
    <t>ERRによる評価</t>
    <rPh sb="6" eb="8">
      <t>ﾋｮｳｶ</t>
    </rPh>
    <phoneticPr fontId="34" type="noConversion"/>
  </si>
  <si>
    <t>ERR以外による評価</t>
    <rPh sb="3" eb="5">
      <t>イガイ</t>
    </rPh>
    <phoneticPr fontId="22"/>
  </si>
  <si>
    <t>LR1 4</t>
  </si>
  <si>
    <t>LR2 1</t>
  </si>
  <si>
    <t>雨水利用・雑排水再利用</t>
    <rPh sb="0" eb="2">
      <t>ｳｽｲ</t>
    </rPh>
    <rPh sb="2" eb="4">
      <t>ﾘﾖｳ</t>
    </rPh>
    <rPh sb="5" eb="8">
      <t>ｻﾞﾂﾊｲｽｲ</t>
    </rPh>
    <rPh sb="8" eb="9">
      <t>ｻｲ</t>
    </rPh>
    <rPh sb="9" eb="11">
      <t>ﾘﾖｳ</t>
    </rPh>
    <phoneticPr fontId="34" type="noConversion"/>
  </si>
  <si>
    <t>LR2 1.2</t>
  </si>
  <si>
    <t>雑排水等再利用システム導入の有無</t>
  </si>
  <si>
    <t>LR2 2</t>
  </si>
  <si>
    <t>LR2 3</t>
  </si>
  <si>
    <t>フロン・ハロンの回避</t>
  </si>
  <si>
    <r>
      <t>kg-CO</t>
    </r>
    <r>
      <rPr>
        <vertAlign val="subscript"/>
        <sz val="10"/>
        <rFont val="ＭＳ Ｐゴシック"/>
        <family val="3"/>
        <charset val="128"/>
      </rPr>
      <t>2</t>
    </r>
    <r>
      <rPr>
        <sz val="10"/>
        <rFont val="ＭＳ Ｐゴシック"/>
        <family val="3"/>
        <charset val="128"/>
      </rPr>
      <t>/MJ</t>
    </r>
    <phoneticPr fontId="22"/>
  </si>
  <si>
    <t>ガス</t>
    <phoneticPr fontId="22"/>
  </si>
  <si>
    <r>
      <t>kg-CO</t>
    </r>
    <r>
      <rPr>
        <vertAlign val="superscript"/>
        <sz val="10"/>
        <rFont val="ＭＳ Ｐゴシック"/>
        <family val="3"/>
        <charset val="128"/>
      </rPr>
      <t>2</t>
    </r>
    <r>
      <rPr>
        <sz val="10"/>
        <rFont val="ＭＳ Ｐゴシック"/>
        <family val="3"/>
        <charset val="128"/>
      </rPr>
      <t>/MJ</t>
    </r>
    <phoneticPr fontId="22"/>
  </si>
  <si>
    <r>
      <t>■LCCO</t>
    </r>
    <r>
      <rPr>
        <b/>
        <vertAlign val="subscript"/>
        <sz val="12"/>
        <rFont val="ＭＳ Ｐゴシック"/>
        <family val="3"/>
        <charset val="128"/>
      </rPr>
      <t>2</t>
    </r>
    <r>
      <rPr>
        <b/>
        <sz val="12"/>
        <rFont val="ＭＳ Ｐゴシック"/>
        <family val="3"/>
        <charset val="128"/>
      </rPr>
      <t>算定条件シート(個別計算）</t>
    </r>
    <rPh sb="14" eb="16">
      <t>コベツ</t>
    </rPh>
    <rPh sb="16" eb="18">
      <t>ケイサン</t>
    </rPh>
    <phoneticPr fontId="22"/>
  </si>
  <si>
    <t>バウンダリー</t>
    <phoneticPr fontId="22"/>
  </si>
  <si>
    <t>○○　</t>
    <phoneticPr fontId="22"/>
  </si>
  <si>
    <t>〃</t>
    <phoneticPr fontId="22"/>
  </si>
  <si>
    <t>○○</t>
    <phoneticPr fontId="22"/>
  </si>
  <si>
    <t>○○</t>
    <phoneticPr fontId="22"/>
  </si>
  <si>
    <t>○○</t>
    <phoneticPr fontId="22"/>
  </si>
  <si>
    <t>○○</t>
    <phoneticPr fontId="22"/>
  </si>
  <si>
    <t>○○</t>
    <phoneticPr fontId="22"/>
  </si>
  <si>
    <t>修繕・更新・</t>
    <phoneticPr fontId="22"/>
  </si>
  <si>
    <t>③上記+②以外の
　オンサイト手法</t>
    <phoneticPr fontId="22"/>
  </si>
  <si>
    <t>－</t>
    <phoneticPr fontId="22"/>
  </si>
  <si>
    <t>外気冷房効果</t>
  </si>
  <si>
    <t>無音室</t>
    <rPh sb="0" eb="2">
      <t>ムオン</t>
    </rPh>
    <rPh sb="2" eb="3">
      <t>シツ</t>
    </rPh>
    <phoneticPr fontId="22"/>
  </si>
  <si>
    <t>主調整室</t>
    <rPh sb="0" eb="1">
      <t>シュ</t>
    </rPh>
    <rPh sb="1" eb="4">
      <t>チョウセイシツ</t>
    </rPh>
    <phoneticPr fontId="22"/>
  </si>
  <si>
    <t>一般事務室</t>
    <rPh sb="0" eb="2">
      <t>イッパン</t>
    </rPh>
    <rPh sb="2" eb="5">
      <t>ジムシツ</t>
    </rPh>
    <phoneticPr fontId="22"/>
  </si>
  <si>
    <t>集会・ホール</t>
    <rPh sb="0" eb="2">
      <t>シュウカイ</t>
    </rPh>
    <phoneticPr fontId="22"/>
  </si>
  <si>
    <t>音楽堂</t>
    <rPh sb="0" eb="3">
      <t>オンガクドウ</t>
    </rPh>
    <phoneticPr fontId="22"/>
  </si>
  <si>
    <t>劇場（中）</t>
    <rPh sb="0" eb="2">
      <t>ゲキジョウ</t>
    </rPh>
    <rPh sb="3" eb="4">
      <t>チュウ</t>
    </rPh>
    <phoneticPr fontId="22"/>
  </si>
  <si>
    <t>舞台劇場</t>
    <rPh sb="0" eb="2">
      <t>ブタイ</t>
    </rPh>
    <rPh sb="2" eb="4">
      <t>ゲキジョウ</t>
    </rPh>
    <phoneticPr fontId="22"/>
  </si>
  <si>
    <t>映画館・プラネタリウム</t>
    <rPh sb="0" eb="3">
      <t>エイガカン</t>
    </rPh>
    <phoneticPr fontId="22"/>
  </si>
  <si>
    <t>聴力試験室</t>
    <rPh sb="0" eb="2">
      <t>チョウリョク</t>
    </rPh>
    <rPh sb="2" eb="4">
      <t>シケン</t>
    </rPh>
    <rPh sb="4" eb="5">
      <t>シツ</t>
    </rPh>
    <phoneticPr fontId="22"/>
  </si>
  <si>
    <t>特別病室</t>
    <rPh sb="0" eb="2">
      <t>トクベツ</t>
    </rPh>
    <rPh sb="2" eb="4">
      <t>ビョウシツ</t>
    </rPh>
    <phoneticPr fontId="22"/>
  </si>
  <si>
    <t>排出係数の設定</t>
    <rPh sb="0" eb="2">
      <t>ハイシュツ</t>
    </rPh>
    <rPh sb="2" eb="4">
      <t>ケイスウ</t>
    </rPh>
    <rPh sb="5" eb="7">
      <t>セッテイ</t>
    </rPh>
    <phoneticPr fontId="22"/>
  </si>
  <si>
    <t>対策を行っている（評価する取組みにおいて2項目以上を採用）</t>
    <phoneticPr fontId="22"/>
  </si>
  <si>
    <t>取組みなし。</t>
    <phoneticPr fontId="22"/>
  </si>
  <si>
    <t>エネルギー消費に関する表示機器、負荷低減装置等を採用している。</t>
    <phoneticPr fontId="22"/>
  </si>
  <si>
    <t>エネルギーを管理する仕組みがあり、それにより消費エネルギーの削減が可能である取組みがなされている。</t>
    <phoneticPr fontId="22"/>
  </si>
  <si>
    <t>レベル３に加え、主要な用途別エネルギー消費の内訳※1) を把握して、消費特性の傾向把握・分析を行い、妥当性が確認できること。</t>
    <phoneticPr fontId="22"/>
  </si>
  <si>
    <t>内装材と設備が錯綜せず、解体・改修・更新の際に、容易にそれぞれを取り外すことができる。</t>
  </si>
  <si>
    <t>化学物質排出把握管理促進法の対象物質を含有しない建材種別がない。または確認していない。</t>
  </si>
  <si>
    <t>化学物質排出把握管理促進法の対象物質を含有しない建材種別が1つ以上～3つ以下ある。</t>
    <rPh sb="36" eb="38">
      <t>イカ</t>
    </rPh>
    <phoneticPr fontId="22"/>
  </si>
  <si>
    <t>化学物質排出把握管理促進法の対象物質を含有しない建材種別が4つ以上ある。</t>
    <rPh sb="31" eb="33">
      <t>イジョウ</t>
    </rPh>
    <phoneticPr fontId="22"/>
  </si>
  <si>
    <t>分類</t>
    <rPh sb="0" eb="2">
      <t>ブンルイ</t>
    </rPh>
    <phoneticPr fontId="22"/>
  </si>
  <si>
    <t>III 緑の量の確保</t>
    <phoneticPr fontId="22"/>
  </si>
  <si>
    <t>複数ベッド単位で照明制御できる、または、照明制御盤・器具等で調整できる。</t>
    <rPh sb="8" eb="10">
      <t>ショウメイ</t>
    </rPh>
    <rPh sb="10" eb="12">
      <t>セイギョ</t>
    </rPh>
    <rPh sb="20" eb="22">
      <t>ショウメイ</t>
    </rPh>
    <rPh sb="22" eb="25">
      <t>セイギョバン</t>
    </rPh>
    <phoneticPr fontId="22"/>
  </si>
  <si>
    <t>代替値</t>
    <phoneticPr fontId="22"/>
  </si>
  <si>
    <t>根拠等</t>
    <rPh sb="0" eb="2">
      <t>コンキョ</t>
    </rPh>
    <rPh sb="2" eb="3">
      <t>トウ</t>
    </rPh>
    <phoneticPr fontId="22"/>
  </si>
  <si>
    <r>
      <t xml:space="preserve"> [</t>
    </r>
    <r>
      <rPr>
        <sz val="11"/>
        <rFont val="ＭＳ Ｐゴシック"/>
        <family val="3"/>
        <charset val="128"/>
      </rPr>
      <t>2</t>
    </r>
    <r>
      <rPr>
        <sz val="11"/>
        <rFont val="ＭＳ Ｐゴシック"/>
        <family val="3"/>
        <charset val="128"/>
      </rPr>
      <t>]代替値</t>
    </r>
    <rPh sb="4" eb="6">
      <t>ダイタイ</t>
    </rPh>
    <rPh sb="6" eb="7">
      <t>チ</t>
    </rPh>
    <phoneticPr fontId="22"/>
  </si>
  <si>
    <t>降順並び替え</t>
    <rPh sb="0" eb="2">
      <t>コウジュン</t>
    </rPh>
    <rPh sb="2" eb="3">
      <t>ナラ</t>
    </rPh>
    <rPh sb="4" eb="5">
      <t>カ</t>
    </rPh>
    <phoneticPr fontId="22"/>
  </si>
  <si>
    <t>レベル２を満たさない。</t>
    <phoneticPr fontId="22"/>
  </si>
  <si>
    <t>学（小中高）</t>
    <phoneticPr fontId="22"/>
  </si>
  <si>
    <t>レベル３を満たさない。</t>
    <phoneticPr fontId="22"/>
  </si>
  <si>
    <t>-</t>
    <phoneticPr fontId="22"/>
  </si>
  <si>
    <t>［ダニ又はダニアレルゲン］≦１００匹／㎡</t>
    <phoneticPr fontId="22"/>
  </si>
  <si>
    <t>内装は、床・壁の50％以上～65％未満の面積において、ダニ・カビの発生を抑制、あるいは清掃・メンテナンスに配慮したものとなっている。</t>
    <phoneticPr fontId="22"/>
  </si>
  <si>
    <t>内装は、床・壁の65％以上～80％未満の面積において、ダニ・カビの発生を抑制、あるいは清掃・メンテナンスに配慮したものとなっている。</t>
    <phoneticPr fontId="22"/>
  </si>
  <si>
    <t>内装は、床・壁の80％以上の面積において、ダニ・カビの発生を抑制、あるいは清掃・メンテナンスに配慮したものとなっている。</t>
    <phoneticPr fontId="22"/>
  </si>
  <si>
    <t>生物環境の保全と創出に関して配慮に欠け、取り組みが不十分である。(評価ポイント0～3)</t>
    <rPh sb="2" eb="4">
      <t>カンキョウ</t>
    </rPh>
    <phoneticPr fontId="22"/>
  </si>
  <si>
    <t>既存はなし</t>
    <rPh sb="0" eb="2">
      <t>キソン</t>
    </rPh>
    <phoneticPr fontId="22"/>
  </si>
  <si>
    <t>1～3</t>
  </si>
  <si>
    <t>1～2</t>
  </si>
  <si>
    <t>まちなみ・景観への配慮</t>
  </si>
  <si>
    <t>(評価ポイント0)</t>
    <rPh sb="1" eb="3">
      <t>ヒョウカ</t>
    </rPh>
    <phoneticPr fontId="22"/>
  </si>
  <si>
    <t>周辺のまちなみや景観に対して、標準以上の配慮が行われている。(評価ポイント4)</t>
  </si>
  <si>
    <t>周辺のまちなみや景観に対して、充実した取組みが行われている。
（評価ポイント5以上、又は地域のまちなみ・景観に関する賞を受賞している）</t>
    <rPh sb="32" eb="34">
      <t>ヒョウカ</t>
    </rPh>
    <phoneticPr fontId="22"/>
  </si>
  <si>
    <t>2）植栽による良好な景観形成</t>
    <rPh sb="2" eb="4">
      <t>ショクサイ</t>
    </rPh>
    <phoneticPr fontId="22"/>
  </si>
  <si>
    <t>4）地域性のある素材による良好な景観形成</t>
    <rPh sb="2" eb="5">
      <t>チイキセイ</t>
    </rPh>
    <rPh sb="8" eb="10">
      <t>ソザイ</t>
    </rPh>
    <rPh sb="13" eb="15">
      <t>リョウコウ</t>
    </rPh>
    <rPh sb="16" eb="18">
      <t>ケイカン</t>
    </rPh>
    <rPh sb="18" eb="20">
      <t>ケイセイ</t>
    </rPh>
    <phoneticPr fontId="22"/>
  </si>
  <si>
    <t>5）周辺の主要な視点場からの良好な景観形成</t>
    <rPh sb="8" eb="10">
      <t>シテン</t>
    </rPh>
    <rPh sb="10" eb="11">
      <t>バ</t>
    </rPh>
    <phoneticPr fontId="22"/>
  </si>
  <si>
    <t>地域性・アメニティへの配慮</t>
  </si>
  <si>
    <t>地域性への配慮、快適性の向上</t>
    <rPh sb="0" eb="3">
      <t>チイキセイ</t>
    </rPh>
    <rPh sb="5" eb="7">
      <t>ハイリョ</t>
    </rPh>
    <rPh sb="8" eb="11">
      <t>カイテキセイ</t>
    </rPh>
    <rPh sb="12" eb="14">
      <t>コウジョウ</t>
    </rPh>
    <phoneticPr fontId="22"/>
  </si>
  <si>
    <t>地域性・アメニティへの配慮に関して取組みを行っていない。(評価ポイント0)</t>
  </si>
  <si>
    <t>地域性・アメニティへの配慮に関して取組みが十分とはいえない。(評価ポイント1)</t>
  </si>
  <si>
    <t>ホテルo</t>
    <phoneticPr fontId="22"/>
  </si>
  <si>
    <t>集合住宅o</t>
    <phoneticPr fontId="22"/>
  </si>
  <si>
    <t>延面積比率</t>
    <phoneticPr fontId="22"/>
  </si>
  <si>
    <t>Q</t>
    <phoneticPr fontId="22"/>
  </si>
  <si>
    <t xml:space="preserve"> Q</t>
    <phoneticPr fontId="22"/>
  </si>
  <si>
    <t>Q</t>
    <phoneticPr fontId="22"/>
  </si>
  <si>
    <t>建築物の環境品質</t>
    <phoneticPr fontId="22"/>
  </si>
  <si>
    <t>Q1</t>
    <phoneticPr fontId="34" type="noConversion"/>
  </si>
  <si>
    <t>室内環境</t>
    <phoneticPr fontId="22"/>
  </si>
  <si>
    <t>騒音</t>
    <phoneticPr fontId="22"/>
  </si>
  <si>
    <t>1.2.1</t>
    <phoneticPr fontId="22"/>
  </si>
  <si>
    <t>開口部遮音性能</t>
    <phoneticPr fontId="22"/>
  </si>
  <si>
    <t>1.2.2</t>
    <phoneticPr fontId="22"/>
  </si>
  <si>
    <t>1.2.3</t>
    <phoneticPr fontId="22"/>
  </si>
  <si>
    <t>1.2.4</t>
    <phoneticPr fontId="22"/>
  </si>
  <si>
    <t>2.1.1</t>
    <phoneticPr fontId="22"/>
  </si>
  <si>
    <t>2.3.1</t>
    <phoneticPr fontId="22"/>
  </si>
  <si>
    <t>2.3.1</t>
    <phoneticPr fontId="22"/>
  </si>
  <si>
    <t>2.3.2</t>
    <phoneticPr fontId="22"/>
  </si>
  <si>
    <t>2.3.2</t>
    <phoneticPr fontId="22"/>
  </si>
  <si>
    <t>時間外空調に対する配慮</t>
    <rPh sb="0" eb="3">
      <t>ジカンガイ</t>
    </rPh>
    <rPh sb="3" eb="5">
      <t>クウチョウ</t>
    </rPh>
    <rPh sb="6" eb="7">
      <t>タイ</t>
    </rPh>
    <rPh sb="9" eb="11">
      <t>ハイリョ</t>
    </rPh>
    <phoneticPr fontId="22"/>
  </si>
  <si>
    <t>監視システム</t>
    <rPh sb="0" eb="2">
      <t>カンシ</t>
    </rPh>
    <phoneticPr fontId="22"/>
  </si>
  <si>
    <t>湿度制御</t>
    <rPh sb="0" eb="2">
      <t>ｼﾂﾄﾞ</t>
    </rPh>
    <rPh sb="2" eb="4">
      <t>ｾｲｷﾞｮ</t>
    </rPh>
    <phoneticPr fontId="34" type="noConversion"/>
  </si>
  <si>
    <t>空調方式</t>
    <rPh sb="0" eb="2">
      <t>クウチョウ</t>
    </rPh>
    <rPh sb="2" eb="4">
      <t>ホウシキ</t>
    </rPh>
    <phoneticPr fontId="22"/>
  </si>
  <si>
    <t>上下温度差</t>
    <rPh sb="0" eb="2">
      <t>ジョウゲ</t>
    </rPh>
    <rPh sb="2" eb="5">
      <t>オンドサ</t>
    </rPh>
    <phoneticPr fontId="22"/>
  </si>
  <si>
    <t>建築基準法施行細則第8条（建築設備等の定期報告）に基づく換気設備定期点検を年1回実施し、改善している。
※特定行政庁が規定する特殊建築物に該当しない場合は取組み「0点」として評価する。</t>
    <phoneticPr fontId="22"/>
  </si>
  <si>
    <t>建築物環境衛生管理基準レベルの空調管理を実施し、記録を保管している。</t>
    <phoneticPr fontId="22"/>
  </si>
  <si>
    <t>ねずみ等の点検・防除は何も実施していない。</t>
    <phoneticPr fontId="22"/>
  </si>
  <si>
    <t>病・ホ・住</t>
    <phoneticPr fontId="22"/>
  </si>
  <si>
    <t>0.7≦　[壁長さ比率]</t>
    <phoneticPr fontId="22"/>
  </si>
  <si>
    <t>0.5≦　[壁長さ比率] ＜0.7</t>
    <phoneticPr fontId="22"/>
  </si>
  <si>
    <t>0.3≦　[壁長さ比率] ＜0.5</t>
    <phoneticPr fontId="22"/>
  </si>
  <si>
    <t>0.1≦　[壁長さ比率] ＜0.3</t>
    <phoneticPr fontId="22"/>
  </si>
  <si>
    <t xml:space="preserve"> [壁長さ比率] ＜0.1</t>
    <phoneticPr fontId="22"/>
  </si>
  <si>
    <t>専用面積（㎡）</t>
    <phoneticPr fontId="22"/>
  </si>
  <si>
    <r>
      <t xml:space="preserve">3.3.2 </t>
    </r>
    <r>
      <rPr>
        <b/>
        <sz val="10"/>
        <rFont val="ＭＳ Ｐゴシック"/>
        <family val="3"/>
        <charset val="128"/>
      </rPr>
      <t>給排水管の更新性</t>
    </r>
    <phoneticPr fontId="22"/>
  </si>
  <si>
    <t>将来用（更新用）スペース、ルートの確保されることなどによって、構造部材を痛めることなくほぼ全ての空調配管の更新・修繕ができる。 または中央式空調設備を持たない。</t>
    <phoneticPr fontId="22"/>
  </si>
  <si>
    <t>2.1.7 時間外空調に対する配慮</t>
    <phoneticPr fontId="22"/>
  </si>
  <si>
    <t>建物全体・共用部分</t>
    <phoneticPr fontId="22"/>
  </si>
  <si>
    <t>同一フロアで熱負荷別に複数にゾーニングがなされており、複数ゾーン監視のために制御センサとは別に複数の監視・計測用センサがある監視システムが設置されている。</t>
    <phoneticPr fontId="22"/>
  </si>
  <si>
    <t>型　枠</t>
    <rPh sb="0" eb="1">
      <t>カタ</t>
    </rPh>
    <rPh sb="2" eb="3">
      <t>ワク</t>
    </rPh>
    <phoneticPr fontId="22"/>
  </si>
  <si>
    <t>主要なリサイクル建材と利用利率</t>
    <rPh sb="0" eb="2">
      <t>シュヨウ</t>
    </rPh>
    <rPh sb="8" eb="10">
      <t>ケンザイ</t>
    </rPh>
    <rPh sb="11" eb="13">
      <t>リヨウ</t>
    </rPh>
    <rPh sb="13" eb="15">
      <t>リリツ</t>
    </rPh>
    <phoneticPr fontId="22"/>
  </si>
  <si>
    <t>高炉セメント
（躯体での利用率）</t>
    <rPh sb="0" eb="2">
      <t>コウロ</t>
    </rPh>
    <rPh sb="8" eb="10">
      <t>クタイ</t>
    </rPh>
    <rPh sb="12" eb="14">
      <t>リヨウ</t>
    </rPh>
    <rPh sb="14" eb="15">
      <t>リツ</t>
    </rPh>
    <phoneticPr fontId="22"/>
  </si>
  <si>
    <t>既存躯体の再利用
（躯体での利用率）</t>
    <rPh sb="0" eb="2">
      <t>キソン</t>
    </rPh>
    <rPh sb="2" eb="4">
      <t>クタイ</t>
    </rPh>
    <rPh sb="5" eb="8">
      <t>サイリヨウ</t>
    </rPh>
    <rPh sb="10" eb="12">
      <t>クタイ</t>
    </rPh>
    <rPh sb="14" eb="17">
      <t>リヨウリツ</t>
    </rPh>
    <phoneticPr fontId="22"/>
  </si>
  <si>
    <t>電炉鋼材（鉄筋）</t>
    <rPh sb="0" eb="2">
      <t>デンロ</t>
    </rPh>
    <rPh sb="2" eb="4">
      <t>コウザイ</t>
    </rPh>
    <phoneticPr fontId="22"/>
  </si>
  <si>
    <t>電炉鋼材（鋼材）</t>
    <rPh sb="0" eb="2">
      <t>デンロ</t>
    </rPh>
    <rPh sb="2" eb="4">
      <t>コウザイ</t>
    </rPh>
    <rPh sb="5" eb="7">
      <t>コウザイ</t>
    </rPh>
    <phoneticPr fontId="22"/>
  </si>
  <si>
    <t>更新周期（年）</t>
    <rPh sb="0" eb="2">
      <t>コウシン</t>
    </rPh>
    <rPh sb="2" eb="4">
      <t>シュウキ</t>
    </rPh>
    <rPh sb="5" eb="6">
      <t>ネン</t>
    </rPh>
    <phoneticPr fontId="22"/>
  </si>
  <si>
    <t>平均修繕率（％/年）</t>
    <rPh sb="0" eb="2">
      <t>ヘイキン</t>
    </rPh>
    <rPh sb="2" eb="4">
      <t>シュウゼン</t>
    </rPh>
    <rPh sb="4" eb="5">
      <t>リツ</t>
    </rPh>
    <rPh sb="8" eb="9">
      <t>ネン</t>
    </rPh>
    <phoneticPr fontId="22"/>
  </si>
  <si>
    <t>一般的な冬期30～45％、夏期55％～80％の範囲で計画されている。</t>
    <phoneticPr fontId="22"/>
  </si>
  <si>
    <t>加湿・除湿機能を有し、かつASHRAE快適域やPOEM-Oを参考に45％～55％の範囲で計画されている。</t>
    <phoneticPr fontId="22"/>
  </si>
  <si>
    <t>加湿・除湿機能を有し、ASHRAE快適域やPOEM-Oを参考に45％～55％の範囲で計画されている。</t>
    <phoneticPr fontId="22"/>
  </si>
  <si>
    <t>加湿・除湿機能を有し、45％～55％の快適範囲を設定し、なおかつ、熱橋となる部分の断熱補強、防湿層、通気層の設置等の結露防止対策がとられている。</t>
    <phoneticPr fontId="22"/>
  </si>
  <si>
    <t>レベル３を満たさない。</t>
    <phoneticPr fontId="22"/>
  </si>
  <si>
    <t>何も配慮していない。</t>
    <phoneticPr fontId="22"/>
  </si>
  <si>
    <t>加湿機能を有し、かつ一般的な冬期40％、夏期50％の湿度を実現する設備容量が確保されている。</t>
    <phoneticPr fontId="22"/>
  </si>
  <si>
    <t>加湿機能を有し、かつ一般的な冬期40～70％、夏期50～65％の湿度を実現する設備容量が確保されている。</t>
    <phoneticPr fontId="22"/>
  </si>
  <si>
    <t>一般的な冬期30～45％、夏期55％～80％の範囲にある。</t>
    <phoneticPr fontId="22"/>
  </si>
  <si>
    <t>加湿機能を有し、かつ一般的な夏期50％、冬期40％の湿度を実現する設備容量が確保されている。</t>
    <phoneticPr fontId="22"/>
  </si>
  <si>
    <t>寒冷地域</t>
    <rPh sb="0" eb="2">
      <t>カンレイ</t>
    </rPh>
    <rPh sb="2" eb="4">
      <t>チイキ</t>
    </rPh>
    <phoneticPr fontId="22"/>
  </si>
  <si>
    <t>暑熱地域</t>
    <rPh sb="0" eb="2">
      <t>ショネツ</t>
    </rPh>
    <rPh sb="2" eb="4">
      <t>チイキ</t>
    </rPh>
    <phoneticPr fontId="22"/>
  </si>
  <si>
    <t>○○</t>
    <phoneticPr fontId="22"/>
  </si>
  <si>
    <t>テレビ、ラジオ、会話等の一般の発生音がかなり聞こえる。</t>
    <phoneticPr fontId="22"/>
  </si>
  <si>
    <t xml:space="preserve">隣戸の生活がかなり分かる。 </t>
    <phoneticPr fontId="22"/>
  </si>
  <si>
    <t>人の話し声が気にならない。</t>
    <phoneticPr fontId="22"/>
  </si>
  <si>
    <t>会話等の一般の発生音が小さく聞える。</t>
    <phoneticPr fontId="22"/>
  </si>
  <si>
    <t>テレビ、ラジオ、会話等の一般の発生音が小さく聞こえる。</t>
    <phoneticPr fontId="22"/>
  </si>
  <si>
    <t>隣戸住宅の生活がわかるがあまり気にならない。</t>
    <phoneticPr fontId="22"/>
  </si>
  <si>
    <t>会話等の一般の発生音がほとんど聞えない。</t>
    <phoneticPr fontId="22"/>
  </si>
  <si>
    <t>Dr-40未満</t>
    <phoneticPr fontId="22"/>
  </si>
  <si>
    <t>Dr-40</t>
    <phoneticPr fontId="22"/>
  </si>
  <si>
    <t>Dr-45</t>
    <phoneticPr fontId="22"/>
  </si>
  <si>
    <t>Dr-50</t>
    <phoneticPr fontId="22"/>
  </si>
  <si>
    <t>1.2.3 界床遮音性能（軽量衝撃源）</t>
    <phoneticPr fontId="22"/>
  </si>
  <si>
    <t>建物全体・共用部分</t>
    <phoneticPr fontId="22"/>
  </si>
  <si>
    <t>病・ホ・住</t>
    <phoneticPr fontId="22"/>
  </si>
  <si>
    <t>椅子の移動音、物の落下音がかなりうるさい。　</t>
    <phoneticPr fontId="22"/>
  </si>
  <si>
    <t>採点結果</t>
    <rPh sb="0" eb="2">
      <t>サイテン</t>
    </rPh>
    <rPh sb="2" eb="4">
      <t>ケッカ</t>
    </rPh>
    <phoneticPr fontId="22"/>
  </si>
  <si>
    <r>
      <t>CO</t>
    </r>
    <r>
      <rPr>
        <vertAlign val="subscript"/>
        <sz val="10"/>
        <rFont val="ＭＳ Ｐゴシック"/>
        <family val="3"/>
        <charset val="128"/>
      </rPr>
      <t>2</t>
    </r>
    <r>
      <rPr>
        <sz val="10"/>
        <rFont val="ＭＳ Ｐゴシック"/>
        <family val="3"/>
        <charset val="128"/>
      </rPr>
      <t>排出量</t>
    </r>
    <rPh sb="3" eb="5">
      <t>ハイシュツ</t>
    </rPh>
    <rPh sb="5" eb="6">
      <t>リョウ</t>
    </rPh>
    <phoneticPr fontId="22"/>
  </si>
  <si>
    <t>Q2/2.2.1 躯体材料の耐用年数</t>
    <rPh sb="9" eb="11">
      <t>クタイ</t>
    </rPh>
    <rPh sb="11" eb="13">
      <t>ザイリョウ</t>
    </rPh>
    <rPh sb="14" eb="16">
      <t>タイヨウ</t>
    </rPh>
    <rPh sb="16" eb="18">
      <t>ネンスウ</t>
    </rPh>
    <phoneticPr fontId="22"/>
  </si>
  <si>
    <t>ホテル</t>
  </si>
  <si>
    <t>評価対象の構造</t>
    <rPh sb="0" eb="2">
      <t>ヒョウカ</t>
    </rPh>
    <rPh sb="2" eb="4">
      <t>タイショウ</t>
    </rPh>
    <rPh sb="5" eb="7">
      <t>コウゾウ</t>
    </rPh>
    <phoneticPr fontId="22"/>
  </si>
  <si>
    <t>LR2/2.2 既存建築躯体等の継続使用</t>
    <rPh sb="8" eb="10">
      <t>キソン</t>
    </rPh>
    <rPh sb="10" eb="12">
      <t>ケンチク</t>
    </rPh>
    <rPh sb="12" eb="14">
      <t>クタイ</t>
    </rPh>
    <rPh sb="14" eb="15">
      <t>トウ</t>
    </rPh>
    <rPh sb="16" eb="18">
      <t>ケイゾク</t>
    </rPh>
    <rPh sb="18" eb="20">
      <t>シヨウ</t>
    </rPh>
    <phoneticPr fontId="22"/>
  </si>
  <si>
    <t>用途地域</t>
    <rPh sb="0" eb="2">
      <t>ﾖｳﾄ</t>
    </rPh>
    <rPh sb="2" eb="4">
      <t>ﾁｲｷ</t>
    </rPh>
    <phoneticPr fontId="34" type="noConversion"/>
  </si>
  <si>
    <t>熱反ガラスを使用し、且つ水平庇１．０ｍ以上が計画されている。又は、高性能熱反ガラスを使用し、かつ水平庇0.5～1.0ｍが計画されている。</t>
    <rPh sb="6" eb="8">
      <t>シヨウ</t>
    </rPh>
    <rPh sb="10" eb="11">
      <t>カ</t>
    </rPh>
    <rPh sb="12" eb="14">
      <t>スイヘイ</t>
    </rPh>
    <rPh sb="14" eb="15">
      <t>ヒサシ</t>
    </rPh>
    <rPh sb="22" eb="24">
      <t>ケイカク</t>
    </rPh>
    <rPh sb="30" eb="31">
      <t>マタ</t>
    </rPh>
    <phoneticPr fontId="22"/>
  </si>
  <si>
    <r>
      <t>厚さが</t>
    </r>
    <r>
      <rPr>
        <sz val="11"/>
        <rFont val="ＭＳ Ｐゴシック"/>
        <family val="3"/>
        <charset val="128"/>
      </rPr>
      <t>20mm</t>
    </r>
    <r>
      <rPr>
        <sz val="9"/>
        <rFont val="ＭＳ Ｐゴシック"/>
        <family val="3"/>
        <charset val="128"/>
      </rPr>
      <t>以上の吹付け硬質ｳﾚﾀﾝﾌｫｰﾑ断熱材その他これに相当する断熱性能を使用し、且つ低放射複層ガラスを使用している</t>
    </r>
    <rPh sb="45" eb="46">
      <t>カ</t>
    </rPh>
    <phoneticPr fontId="22"/>
  </si>
  <si>
    <t>同一フロアで用途別や熱負荷別に複数にゾーニングがなされており、同一フロアで冷房・暖房は切り替えとなる空調システムが計画されている。</t>
  </si>
  <si>
    <t>単一ダクト方式、２管式ＦＣＵ方式（ゾーニングのグレード評価、冷暖切り替え）</t>
    <phoneticPr fontId="22"/>
  </si>
  <si>
    <t>レベル３程度の空調のゾーニングがなされており、さらにゾーン別に冷房・暖房の選択が可能な空調システムとしている。</t>
    <phoneticPr fontId="22"/>
  </si>
  <si>
    <t>二重ダクト方式（ＡＨＵで４管式）、４管式ＦＣＵ方式、タスク・アンビエント空調方式（ゾーニングのグレード、冷暖同時の双方を評価）</t>
    <phoneticPr fontId="22"/>
  </si>
  <si>
    <t>同一フロアで、熱負荷別に売り場・テナント用に細かくゾーニングがなされており、各ゾーン単位で冷房・暖房が可能な空調システムが計画されている。</t>
  </si>
  <si>
    <t>風害対策に対する要請がない。または、自主的な対策を評価しない場合は、レベル３</t>
    <rPh sb="0" eb="2">
      <t>フウガイ</t>
    </rPh>
    <rPh sb="2" eb="4">
      <t>タイサク</t>
    </rPh>
    <rPh sb="5" eb="6">
      <t>タイ</t>
    </rPh>
    <rPh sb="8" eb="10">
      <t>ヨウセイ</t>
    </rPh>
    <rPh sb="18" eb="21">
      <t>ジシュテキ</t>
    </rPh>
    <rPh sb="22" eb="24">
      <t>タイサク</t>
    </rPh>
    <rPh sb="25" eb="27">
      <t>ヒョウカ</t>
    </rPh>
    <rPh sb="30" eb="32">
      <t>バアイ</t>
    </rPh>
    <phoneticPr fontId="22"/>
  </si>
  <si>
    <t>周辺のまちなみや景観に対して、標準的な配慮が行われている。(評価ポイント3)</t>
    <phoneticPr fontId="22"/>
  </si>
  <si>
    <t>1）建物の配置・形態等のまちなみへの調和</t>
    <phoneticPr fontId="22"/>
  </si>
  <si>
    <t>建物高さ、壁面位置、外装･屋根･庇･開口部･塀等の形状や色彩において、周辺のまちなみや風景にバランスよく調和させている。</t>
    <phoneticPr fontId="22"/>
  </si>
  <si>
    <t>Ⅲ 給水・給湯管理
   （飲用・炊事用・浴用等）の評価</t>
    <rPh sb="2" eb="4">
      <t>キュウスイ</t>
    </rPh>
    <rPh sb="5" eb="7">
      <t>キュウトウ</t>
    </rPh>
    <rPh sb="7" eb="9">
      <t>カンリ</t>
    </rPh>
    <rPh sb="14" eb="16">
      <t>インヨウ</t>
    </rPh>
    <rPh sb="17" eb="20">
      <t>スイジヨウ</t>
    </rPh>
    <rPh sb="21" eb="24">
      <t>ヨクヨウナド</t>
    </rPh>
    <rPh sb="26" eb="28">
      <t>ヒョウカ</t>
    </rPh>
    <phoneticPr fontId="22"/>
  </si>
  <si>
    <t>建築物環境衛生管理基準の給水設備において不適切項目がある。</t>
    <rPh sb="0" eb="3">
      <t>ケンチクブツ</t>
    </rPh>
    <rPh sb="3" eb="5">
      <t>カンキョウ</t>
    </rPh>
    <rPh sb="5" eb="7">
      <t>エイセイ</t>
    </rPh>
    <rPh sb="7" eb="9">
      <t>カンリ</t>
    </rPh>
    <rPh sb="9" eb="11">
      <t>キジュン</t>
    </rPh>
    <rPh sb="12" eb="14">
      <t>キュウスイ</t>
    </rPh>
    <rPh sb="14" eb="16">
      <t>セツビ</t>
    </rPh>
    <rPh sb="20" eb="23">
      <t>フテキセツ</t>
    </rPh>
    <rPh sb="23" eb="25">
      <t>コウモク</t>
    </rPh>
    <phoneticPr fontId="22"/>
  </si>
  <si>
    <t>建築物環境衛生管理基準を満たしている。</t>
    <rPh sb="0" eb="3">
      <t>ケンチクブツ</t>
    </rPh>
    <rPh sb="3" eb="5">
      <t>カンキョウ</t>
    </rPh>
    <rPh sb="5" eb="7">
      <t>エイセイ</t>
    </rPh>
    <rPh sb="7" eb="9">
      <t>カンリ</t>
    </rPh>
    <rPh sb="9" eb="11">
      <t>キジュン</t>
    </rPh>
    <rPh sb="12" eb="13">
      <t>ミ</t>
    </rPh>
    <phoneticPr fontId="22"/>
  </si>
  <si>
    <t>耐用性・信頼性</t>
    <rPh sb="0" eb="2">
      <t>タイヨウ</t>
    </rPh>
    <rPh sb="2" eb="3">
      <t>セイ</t>
    </rPh>
    <rPh sb="4" eb="7">
      <t>シンライセイ</t>
    </rPh>
    <phoneticPr fontId="22"/>
  </si>
  <si>
    <t>(該当するレベルなし)</t>
    <phoneticPr fontId="22"/>
  </si>
  <si>
    <t>建築基準法に定められた耐震性を有する。</t>
  </si>
  <si>
    <t>建築基準法に定められた25％増の耐震性を有する。</t>
  </si>
  <si>
    <t>建築基準法に定められた50％増の耐震性を有する。あるいは損傷制御設計が行われている。</t>
  </si>
  <si>
    <t>　（２）温暖化対策推進法に基づく温室効果ガス排出量の算定方法を参考とする場合</t>
    <rPh sb="31" eb="33">
      <t>サンコウ</t>
    </rPh>
    <phoneticPr fontId="22"/>
  </si>
  <si>
    <t>事業者名</t>
  </si>
  <si>
    <t>その他</t>
    <rPh sb="2" eb="3">
      <t>タ</t>
    </rPh>
    <phoneticPr fontId="22"/>
  </si>
  <si>
    <t>日本住宅性能表示基準「5-1断熱等性能等級」における等級2相当の屋根・外壁・床の部材構成、開口部の仕様を設定している。</t>
    <phoneticPr fontId="22"/>
  </si>
  <si>
    <t>日本住宅性能表示基準「5-1断熱等性能等級」における等級3相当の屋根・外壁・床の部材構成、開口部の仕様を設定している。</t>
    <phoneticPr fontId="22"/>
  </si>
  <si>
    <t>日本住宅性能表示基準「5-1断熱等性能等級」における等級4相当の屋根・外壁・床の部材構成、開口部の仕様を設定している。</t>
    <phoneticPr fontId="22"/>
  </si>
  <si>
    <t>全般照明方式の場合で、照度が500lx以上1000lx未満。
タスク・アンビエント照明方式もしくはこれに準ずる照明方式の場合で、タスク照度が500lx以上1000lx未満、かつアンビエント照度がタスク照度の1/3以上2/3未満。</t>
    <phoneticPr fontId="22"/>
  </si>
  <si>
    <t>全般照明方式の場合で、300lx≦[照度] ＜500lx。
タスク・アンビエント照明方式もしくはこれに準ずる照明方式の場合で、タスク照度が300lx以上500lx未満、またはアンビエント照度がタスク照度の1/3未満もしくは2/3以上。</t>
    <phoneticPr fontId="22"/>
  </si>
  <si>
    <t>窓が開閉不可能な居室において、自然換気有効開口がない、または25cm2/m2未満。あるいは窓が開閉可能な居室において、自然換気有効開口面積が居室床面積の1/50以上</t>
    <phoneticPr fontId="22"/>
  </si>
  <si>
    <t>窓が開閉不可能な居室において自然換気有効開口がない、または50cm2/m2未満。あるいは窓が開閉可能な居室において、自然換気有効開口面積が居室床面積の1/20以上</t>
    <phoneticPr fontId="22"/>
  </si>
  <si>
    <t>窓が開閉不可能な居室において、自然換気有効開口面積が100 cm2/m2以上。あるいは、窓が開閉可能な居室において、自然換気有効開口面積が居室床面積の1/10以上。あるいは、レベル４の自然換気有効開口面積を満たし、かつ必要外気量の２倍以上の外気冷房の採用により室内空気質の向上が期待できる。</t>
    <phoneticPr fontId="22"/>
  </si>
  <si>
    <t>リフレッシュスペースが執務スペースの1％未満</t>
    <phoneticPr fontId="22"/>
  </si>
  <si>
    <t>■効率的な運用</t>
    <rPh sb="1" eb="4">
      <t>コウリツテキ</t>
    </rPh>
    <rPh sb="5" eb="7">
      <t>ウンヨウ</t>
    </rPh>
    <phoneticPr fontId="22"/>
  </si>
  <si>
    <t>建築物衛生法における特定建築物</t>
  </si>
  <si>
    <t>1) 汚染源対策</t>
    <rPh sb="3" eb="6">
      <t>オセンゲン</t>
    </rPh>
    <rPh sb="6" eb="8">
      <t>タイサク</t>
    </rPh>
    <phoneticPr fontId="22"/>
  </si>
  <si>
    <t>2) 清掃方法</t>
    <rPh sb="3" eb="5">
      <t>セイソウ</t>
    </rPh>
    <rPh sb="5" eb="7">
      <t>ホウホウ</t>
    </rPh>
    <phoneticPr fontId="22"/>
  </si>
  <si>
    <t>3) 清掃資材</t>
    <rPh sb="3" eb="5">
      <t>セイソウ</t>
    </rPh>
    <rPh sb="5" eb="7">
      <t>シザイ</t>
    </rPh>
    <phoneticPr fontId="22"/>
  </si>
  <si>
    <r>
      <t xml:space="preserve">2.2.6 </t>
    </r>
    <r>
      <rPr>
        <b/>
        <sz val="10"/>
        <rFont val="ＭＳ Ｐゴシック"/>
        <family val="3"/>
        <charset val="128"/>
      </rPr>
      <t>主要設備機器の更新必要間隔</t>
    </r>
    <phoneticPr fontId="22"/>
  </si>
  <si>
    <t>７年未満</t>
    <phoneticPr fontId="22"/>
  </si>
  <si>
    <r>
      <t xml:space="preserve">2.3.1 </t>
    </r>
    <r>
      <rPr>
        <b/>
        <sz val="10"/>
        <rFont val="ＭＳ Ｐゴシック"/>
        <family val="3"/>
        <charset val="128"/>
      </rPr>
      <t>屋上（屋根）・外壁仕上げ材の更新</t>
    </r>
    <phoneticPr fontId="22"/>
  </si>
  <si>
    <r>
      <t xml:space="preserve">2.3.2 </t>
    </r>
    <r>
      <rPr>
        <b/>
        <sz val="10"/>
        <rFont val="ＭＳ Ｐゴシック"/>
        <family val="3"/>
        <charset val="128"/>
      </rPr>
      <t>配管・配線材の更新</t>
    </r>
    <phoneticPr fontId="22"/>
  </si>
  <si>
    <t>重み係数(既定）＝</t>
    <phoneticPr fontId="22"/>
  </si>
  <si>
    <t>-</t>
    <phoneticPr fontId="22"/>
  </si>
  <si>
    <r>
      <t xml:space="preserve">2.3.3 </t>
    </r>
    <r>
      <rPr>
        <b/>
        <sz val="10"/>
        <rFont val="ＭＳ Ｐゴシック"/>
        <family val="3"/>
        <charset val="128"/>
      </rPr>
      <t>主要設備機器の更新</t>
    </r>
    <phoneticPr fontId="22"/>
  </si>
  <si>
    <r>
      <t xml:space="preserve">2.4.1 </t>
    </r>
    <r>
      <rPr>
        <b/>
        <sz val="10"/>
        <rFont val="ＭＳ Ｐゴシック"/>
        <family val="3"/>
        <charset val="128"/>
      </rPr>
      <t>空調・換気設備</t>
    </r>
    <phoneticPr fontId="22"/>
  </si>
  <si>
    <t>評価する取組みがない。</t>
    <phoneticPr fontId="22"/>
  </si>
  <si>
    <t>一般的な冬期20℃、夏期26℃の設定。</t>
    <phoneticPr fontId="22"/>
  </si>
  <si>
    <t>各居室において一般的な冬期22℃、夏期26℃を設定している。</t>
    <phoneticPr fontId="22"/>
  </si>
  <si>
    <t>ASHRAE快適域やPOEM-Oを参考に冬期22℃～24℃、夏期24℃～26℃の範囲を設定している。</t>
    <phoneticPr fontId="22"/>
  </si>
  <si>
    <t>各居室において冬期22～24℃、夏期24～26℃の範囲を設定している。</t>
    <phoneticPr fontId="22"/>
  </si>
  <si>
    <t>冬期21℃、夏期28℃と多少我慢を強いる室温を実現するための最低限の設備容量が確保されている。</t>
    <phoneticPr fontId="22"/>
  </si>
  <si>
    <t>冬期20℃、夏期28℃と多少我慢を強いる室温を実現するための最低限の設備容量が確保されている。</t>
    <phoneticPr fontId="22"/>
  </si>
  <si>
    <t>一般的な設定値である冬期22℃、夏期26℃の室温を実現するための設備容量が確保されている。</t>
    <phoneticPr fontId="22"/>
  </si>
  <si>
    <t>一般的な設定値である冬期23℃、夏期26℃の室温を実現するための設備容量が確保されている。</t>
    <phoneticPr fontId="22"/>
  </si>
  <si>
    <t>一般的な冬期20℃、夏期27℃の室温を実現するための設備容量が確保されている。</t>
    <phoneticPr fontId="22"/>
  </si>
  <si>
    <t>冬期21℃、夏期28℃と程度と多少我慢を強いる室温設定。</t>
    <rPh sb="12" eb="14">
      <t>テイド</t>
    </rPh>
    <phoneticPr fontId="22"/>
  </si>
  <si>
    <t>レベル３を満たさない。</t>
  </si>
  <si>
    <t>冬期20℃、夏期28℃と多少我慢を強いる室温設定。</t>
  </si>
  <si>
    <t>評価する取組みが1つ。または中央式空調換気設備を持たない場合。</t>
  </si>
  <si>
    <t>評価する取組みがない。</t>
    <rPh sb="0" eb="2">
      <t>ヒョウカ</t>
    </rPh>
    <rPh sb="4" eb="5">
      <t>ト</t>
    </rPh>
    <rPh sb="5" eb="6">
      <t>ク</t>
    </rPh>
    <phoneticPr fontId="22"/>
  </si>
  <si>
    <t>評価する取組みが2つ。</t>
    <phoneticPr fontId="22"/>
  </si>
  <si>
    <t>評価する取組みが1つ。</t>
    <rPh sb="0" eb="2">
      <t>ヒョウカ</t>
    </rPh>
    <rPh sb="4" eb="5">
      <t>ト</t>
    </rPh>
    <rPh sb="5" eb="6">
      <t>ク</t>
    </rPh>
    <phoneticPr fontId="22"/>
  </si>
  <si>
    <t>評価する取組みが3つ以上。</t>
  </si>
  <si>
    <t>評価する取組みが2つ以上。</t>
  </si>
  <si>
    <t>評価する取組みが2つ以上。</t>
    <rPh sb="0" eb="2">
      <t>ヒョウカ</t>
    </rPh>
    <rPh sb="4" eb="5">
      <t>ト</t>
    </rPh>
    <rPh sb="5" eb="6">
      <t>ク</t>
    </rPh>
    <rPh sb="10" eb="12">
      <t>イジョウ</t>
    </rPh>
    <phoneticPr fontId="22"/>
  </si>
  <si>
    <t>評価する取り組み</t>
    <rPh sb="0" eb="2">
      <t>ヒョウカ</t>
    </rPh>
    <rPh sb="4" eb="5">
      <t>ト</t>
    </rPh>
    <rPh sb="6" eb="7">
      <t>ク</t>
    </rPh>
    <phoneticPr fontId="22"/>
  </si>
  <si>
    <t>用途</t>
    <rPh sb="0" eb="2">
      <t>ヨウト</t>
    </rPh>
    <phoneticPr fontId="22"/>
  </si>
  <si>
    <t>床面積</t>
    <rPh sb="0" eb="3">
      <t>ユカメンセキ</t>
    </rPh>
    <phoneticPr fontId="22"/>
  </si>
  <si>
    <t>耐震クラスB（大地震後に人命の安全および二次災害の防止が図られている。）または、動的解析を行った上で設計用水平震度KHを1.0以上としている。</t>
    <phoneticPr fontId="22"/>
  </si>
  <si>
    <t>製造熱量/熱源機消費エネルギー（1次エネルギー基準）/蓄熱槽有効蓄熱量/蓄熱槽利用効率</t>
    <phoneticPr fontId="22"/>
  </si>
  <si>
    <t>昇降機</t>
  </si>
  <si>
    <t>各種管制運転効果</t>
  </si>
  <si>
    <t>削減エネルギー量</t>
    <phoneticPr fontId="22"/>
  </si>
  <si>
    <t>太陽光発電設備評価</t>
  </si>
  <si>
    <t>発電効率/定格効率/年間効率</t>
    <phoneticPr fontId="22"/>
  </si>
  <si>
    <t>発電効率/総合効率/省エネルギー率</t>
  </si>
  <si>
    <t>セキュリティ連動による消照効果/換気停止の効果等</t>
  </si>
  <si>
    <t>NOx、SOx、ばいじんについて、発生源におけるガス又はばいじんの濃度が、大気汚染防止法、低NOx型小規模燃焼機器の推奨ガイドライン（環境省）ならびに地域の条例等で定められる現行の排出基準を上回っている。</t>
    <phoneticPr fontId="22"/>
  </si>
  <si>
    <t>NOx、SOx、ばいじんについて、発生源におけるガス又はばいじんの濃度が、大気汚染防止法、低NOx型小規模燃焼機器の推奨ガイドライン（環境省）ならびに地域の条例等で定められる現行の排出基準以下に抑えられている。</t>
    <phoneticPr fontId="22"/>
  </si>
  <si>
    <t>NOx、SOx、ばいじんについて、発生源におけるガス又はばいじんの濃度が、大気汚染防止法、低NOx型小規模燃焼機器の推奨ガイドライン（環境省）ならびに地域の条例等で定められる現行の排出基準より大幅に抑えられている。</t>
    <phoneticPr fontId="22"/>
  </si>
  <si>
    <t>一次ｴﾈﾙｷﾞｰ消費量</t>
    <rPh sb="0" eb="2">
      <t>イチジ</t>
    </rPh>
    <rPh sb="8" eb="11">
      <t>ショウヒリョウ</t>
    </rPh>
    <phoneticPr fontId="22"/>
  </si>
  <si>
    <r>
      <t>kg-CO</t>
    </r>
    <r>
      <rPr>
        <vertAlign val="subscript"/>
        <sz val="10"/>
        <rFont val="ＭＳ Ｐゴシック"/>
        <family val="3"/>
        <charset val="128"/>
      </rPr>
      <t>2</t>
    </r>
    <r>
      <rPr>
        <sz val="10"/>
        <rFont val="ＭＳ Ｐゴシック"/>
        <family val="3"/>
        <charset val="128"/>
      </rPr>
      <t>/年</t>
    </r>
    <rPh sb="7" eb="8">
      <t>ネン</t>
    </rPh>
    <phoneticPr fontId="22"/>
  </si>
  <si>
    <t>時間外や休日時には、居住者のフロア全体が空調可能なシステムとなっている。</t>
  </si>
  <si>
    <t>時間外や休日時には、居住者のゾーンのみ空調可能なシステムとなっている。</t>
  </si>
  <si>
    <t>湿度制御</t>
    <rPh sb="0" eb="2">
      <t>シツド</t>
    </rPh>
    <rPh sb="2" eb="4">
      <t>セイギョ</t>
    </rPh>
    <phoneticPr fontId="22"/>
  </si>
  <si>
    <t>事・物・飲・会・病・ホ・工・住</t>
    <rPh sb="0" eb="1">
      <t>コト</t>
    </rPh>
    <rPh sb="2" eb="3">
      <t>モノ</t>
    </rPh>
    <rPh sb="4" eb="5">
      <t>イン</t>
    </rPh>
    <rPh sb="6" eb="7">
      <t>カイ</t>
    </rPh>
    <rPh sb="8" eb="9">
      <t>ヤマイ</t>
    </rPh>
    <phoneticPr fontId="22"/>
  </si>
  <si>
    <t>学(大学等)</t>
    <rPh sb="0" eb="1">
      <t>ガク</t>
    </rPh>
    <phoneticPr fontId="22"/>
  </si>
  <si>
    <t>何も配慮していない。</t>
  </si>
  <si>
    <t>適切な換気機能を有し、熱橋となる部分の断熱補強、防湿層、通気層の設置等の結露防止対策がとられている。</t>
  </si>
  <si>
    <t>除湿機能を有し、熱橋となる部分の断熱補強、防湿層、通気層の設置等の結露防止対策がとられている。</t>
  </si>
  <si>
    <t>レベル３を満たさない。</t>
    <phoneticPr fontId="22"/>
  </si>
  <si>
    <t>簡易評価</t>
    <rPh sb="0" eb="2">
      <t>カンイ</t>
    </rPh>
    <rPh sb="2" eb="4">
      <t>ヒョウカ</t>
    </rPh>
    <phoneticPr fontId="22"/>
  </si>
  <si>
    <t>省エネルギー計画書による評価</t>
    <rPh sb="0" eb="1">
      <t>ショウ</t>
    </rPh>
    <rPh sb="6" eb="9">
      <t>ケイカクショ</t>
    </rPh>
    <rPh sb="12" eb="14">
      <t>ヒョウカ</t>
    </rPh>
    <phoneticPr fontId="22"/>
  </si>
  <si>
    <t>竣工段階</t>
    <rPh sb="0" eb="2">
      <t>シュンコウ</t>
    </rPh>
    <rPh sb="2" eb="4">
      <t>ダンカイ</t>
    </rPh>
    <phoneticPr fontId="22"/>
  </si>
  <si>
    <t>標準計算</t>
    <rPh sb="0" eb="2">
      <t>ヒョウジュン</t>
    </rPh>
    <rPh sb="2" eb="4">
      <t>ケイサン</t>
    </rPh>
    <phoneticPr fontId="22"/>
  </si>
  <si>
    <t>→LCCO2算定条件シート（標準計算）を入力</t>
    <rPh sb="6" eb="8">
      <t>サンテイ</t>
    </rPh>
    <rPh sb="8" eb="10">
      <t>ジョウケン</t>
    </rPh>
    <rPh sb="14" eb="16">
      <t>ヒョウジュン</t>
    </rPh>
    <rPh sb="16" eb="18">
      <t>ケイサン</t>
    </rPh>
    <rPh sb="20" eb="22">
      <t>ニュウリョク</t>
    </rPh>
    <phoneticPr fontId="22"/>
  </si>
  <si>
    <t>個別計算</t>
    <rPh sb="0" eb="2">
      <t>コベツ</t>
    </rPh>
    <rPh sb="2" eb="4">
      <t>ケイサン</t>
    </rPh>
    <phoneticPr fontId="22"/>
  </si>
  <si>
    <t>→LCCO2算定条件シート（個別計算）を入力</t>
    <rPh sb="6" eb="8">
      <t>サンテイ</t>
    </rPh>
    <rPh sb="8" eb="10">
      <t>ジョウケン</t>
    </rPh>
    <rPh sb="14" eb="16">
      <t>コベツ</t>
    </rPh>
    <rPh sb="16" eb="18">
      <t>ケイサン</t>
    </rPh>
    <rPh sb="20" eb="22">
      <t>ニュウリョク</t>
    </rPh>
    <phoneticPr fontId="22"/>
  </si>
  <si>
    <t>事務所</t>
  </si>
  <si>
    <t>学校</t>
  </si>
  <si>
    <t>物販店</t>
  </si>
  <si>
    <t>飲食店</t>
  </si>
  <si>
    <t>集会所</t>
    <rPh sb="2" eb="3">
      <t>ショ</t>
    </rPh>
    <phoneticPr fontId="22"/>
  </si>
  <si>
    <t>病院</t>
  </si>
  <si>
    <t>ホテル</t>
    <phoneticPr fontId="22"/>
  </si>
  <si>
    <t>集合住宅</t>
  </si>
  <si>
    <t>工場</t>
    <rPh sb="0" eb="2">
      <t>コウジョウ</t>
    </rPh>
    <phoneticPr fontId="22"/>
  </si>
  <si>
    <t>合計</t>
    <rPh sb="0" eb="2">
      <t>ゴウケイ</t>
    </rPh>
    <phoneticPr fontId="22"/>
  </si>
  <si>
    <t>空気取り入れ口は敷地周囲の状況を勘案して、汚染源のない方位に設けられている。かつ、各種排気口と6ｍ以上離れて設置されている。</t>
  </si>
  <si>
    <t>共用部</t>
    <rPh sb="0" eb="3">
      <t>キョウヨウブ</t>
    </rPh>
    <phoneticPr fontId="22"/>
  </si>
  <si>
    <t>事・学(大学等)・病・ホ・工・住</t>
    <rPh sb="4" eb="6">
      <t>ダイガク</t>
    </rPh>
    <rPh sb="6" eb="7">
      <t>トウ</t>
    </rPh>
    <rPh sb="15" eb="16">
      <t>ジュウ</t>
    </rPh>
    <phoneticPr fontId="22"/>
  </si>
  <si>
    <t>学（小中高）</t>
    <rPh sb="0" eb="1">
      <t>ガク</t>
    </rPh>
    <rPh sb="2" eb="3">
      <t>ショウ</t>
    </rPh>
    <rPh sb="3" eb="4">
      <t>チュウ</t>
    </rPh>
    <rPh sb="4" eb="5">
      <t>コウ</t>
    </rPh>
    <phoneticPr fontId="22"/>
  </si>
  <si>
    <t>何もない。</t>
  </si>
  <si>
    <t>建物全体・共用部分</t>
    <phoneticPr fontId="22"/>
  </si>
  <si>
    <t>学（小中高）</t>
    <rPh sb="0" eb="1">
      <t>ガク</t>
    </rPh>
    <rPh sb="2" eb="5">
      <t>ショウチュウコウ</t>
    </rPh>
    <phoneticPr fontId="22"/>
  </si>
  <si>
    <t>判定表</t>
    <rPh sb="0" eb="2">
      <t>ハンテイ</t>
    </rPh>
    <rPh sb="2" eb="3">
      <t>ヒョウ</t>
    </rPh>
    <phoneticPr fontId="22"/>
  </si>
  <si>
    <t>　評価項目</t>
  </si>
  <si>
    <t>（ア）</t>
  </si>
  <si>
    <t>児童生徒等から見て、黒板の外側15°以内の範囲に輝きの強い光源（昼光の場合は窓）がない。</t>
  </si>
  <si>
    <t>（イ）</t>
  </si>
  <si>
    <t>見え方を妨害するような光沢が、黒板及び机上面にない。</t>
  </si>
  <si>
    <t>（ウ）</t>
  </si>
  <si>
    <t>見え方を妨害するような電灯や明るい窓等が、テレビ及びコンピュータ等の画面に映じていない。</t>
  </si>
  <si>
    <t>ホ・住</t>
    <rPh sb="2" eb="3">
      <t>ジュウ</t>
    </rPh>
    <phoneticPr fontId="22"/>
  </si>
  <si>
    <t>レベル３を満たし、かつ壁面の鉛直面照度が100lx以上</t>
  </si>
  <si>
    <t>レベル３を満たし、かつ壁面の鉛直面照度が100lx以上</t>
    <rPh sb="11" eb="13">
      <t>ヘキメン</t>
    </rPh>
    <rPh sb="14" eb="15">
      <t>ナマリ</t>
    </rPh>
    <rPh sb="15" eb="17">
      <t>チョクメン</t>
    </rPh>
    <rPh sb="17" eb="19">
      <t>ショウド</t>
    </rPh>
    <rPh sb="25" eb="27">
      <t>イジョウ</t>
    </rPh>
    <phoneticPr fontId="22"/>
  </si>
  <si>
    <t>バックアップ設備のためのスペースが計画的に確保されている。</t>
  </si>
  <si>
    <t>生物環境の保全と創出</t>
    <rPh sb="2" eb="4">
      <t>カンキョウ</t>
    </rPh>
    <rPh sb="8" eb="10">
      <t>ソウシュツ</t>
    </rPh>
    <phoneticPr fontId="22"/>
  </si>
  <si>
    <t>事・学・物・飲・会・病・ホ・工・住</t>
    <rPh sb="0" eb="1">
      <t>コト</t>
    </rPh>
    <rPh sb="2" eb="3">
      <t>ガク</t>
    </rPh>
    <rPh sb="4" eb="5">
      <t>モノ</t>
    </rPh>
    <rPh sb="6" eb="7">
      <t>イン</t>
    </rPh>
    <rPh sb="8" eb="9">
      <t>カイ</t>
    </rPh>
    <rPh sb="10" eb="11">
      <t>ヤマイ</t>
    </rPh>
    <phoneticPr fontId="22"/>
  </si>
  <si>
    <t>対応可能な</t>
    <rPh sb="0" eb="2">
      <t>タイオウ</t>
    </rPh>
    <rPh sb="2" eb="3">
      <t>カ</t>
    </rPh>
    <rPh sb="3" eb="4">
      <t>ノウ</t>
    </rPh>
    <phoneticPr fontId="22"/>
  </si>
  <si>
    <t>同一フロアで冷暖房のゾーニングが無く、１系統で空調システムが計画されている。空調モードの選択では冷暖房の切り替えが必要である。</t>
  </si>
  <si>
    <t>単一ダクト方式、２管式ＦＣＵ方式（ゾーニングがない、冷暖切り替え）</t>
  </si>
  <si>
    <t>方位別、ペリメータとインテリア別や内部負荷の分布などを考慮し、大まかな空調のゾーニングがなされており、冷房・暖房は切り替えとなる空調システムとしている。</t>
    <phoneticPr fontId="22"/>
  </si>
  <si>
    <t>⑦　外部ガラスや給排気口、照明など高所の維持管理作業を安全に行える設計をしている。</t>
    <phoneticPr fontId="22"/>
  </si>
  <si>
    <t xml:space="preserve"> Q1 2.1</t>
  </si>
  <si>
    <t>室温設定</t>
  </si>
  <si>
    <t>2.1.2</t>
  </si>
  <si>
    <t>負荷変動・追従制御性</t>
  </si>
  <si>
    <t>2.1.3</t>
  </si>
  <si>
    <t>外皮性能</t>
  </si>
  <si>
    <t>-</t>
    <phoneticPr fontId="22"/>
  </si>
  <si>
    <t>レベル3</t>
    <phoneticPr fontId="22"/>
  </si>
  <si>
    <t>レベル4</t>
    <phoneticPr fontId="22"/>
  </si>
  <si>
    <t>レベル5</t>
    <phoneticPr fontId="22"/>
  </si>
  <si>
    <t>ホテル</t>
    <phoneticPr fontId="22"/>
  </si>
  <si>
    <t>人・時間あたり指標</t>
    <rPh sb="0" eb="1">
      <t>ニン</t>
    </rPh>
    <rPh sb="2" eb="4">
      <t>ジカン</t>
    </rPh>
    <rPh sb="7" eb="9">
      <t>シヒョウ</t>
    </rPh>
    <phoneticPr fontId="22"/>
  </si>
  <si>
    <t>レベル3</t>
    <phoneticPr fontId="22"/>
  </si>
  <si>
    <t>レベル4</t>
    <phoneticPr fontId="22"/>
  </si>
  <si>
    <t>レベル5</t>
    <phoneticPr fontId="22"/>
  </si>
  <si>
    <t>事務所</t>
    <phoneticPr fontId="22"/>
  </si>
  <si>
    <r>
      <t>■LCCO</t>
    </r>
    <r>
      <rPr>
        <b/>
        <vertAlign val="subscript"/>
        <sz val="12"/>
        <rFont val="ＭＳ Ｐゴシック"/>
        <family val="3"/>
        <charset val="128"/>
      </rPr>
      <t>2</t>
    </r>
    <r>
      <rPr>
        <b/>
        <sz val="12"/>
        <rFont val="ＭＳ Ｐゴシック"/>
        <family val="3"/>
        <charset val="128"/>
      </rPr>
      <t>算定条件シート(標準計算）</t>
    </r>
    <rPh sb="14" eb="16">
      <t>ヒョウジュン</t>
    </rPh>
    <rPh sb="16" eb="18">
      <t>ケイサン</t>
    </rPh>
    <phoneticPr fontId="22"/>
  </si>
  <si>
    <t>バウンダリー</t>
    <phoneticPr fontId="22"/>
  </si>
  <si>
    <r>
      <t>ｍ</t>
    </r>
    <r>
      <rPr>
        <vertAlign val="superscript"/>
        <sz val="10"/>
        <rFont val="ＭＳ Ｐゴシック"/>
        <family val="3"/>
        <charset val="128"/>
      </rPr>
      <t>3</t>
    </r>
    <r>
      <rPr>
        <sz val="10"/>
        <rFont val="ＭＳ Ｐゴシック"/>
        <family val="3"/>
        <charset val="128"/>
      </rPr>
      <t>/㎡</t>
    </r>
    <phoneticPr fontId="22"/>
  </si>
  <si>
    <t>□　□</t>
    <phoneticPr fontId="22"/>
  </si>
  <si>
    <t>○○</t>
    <phoneticPr fontId="22"/>
  </si>
  <si>
    <t>kg/㎡</t>
    <phoneticPr fontId="22"/>
  </si>
  <si>
    <r>
      <t>kg-CO</t>
    </r>
    <r>
      <rPr>
        <vertAlign val="subscript"/>
        <sz val="10"/>
        <rFont val="ＭＳ Ｐゴシック"/>
        <family val="3"/>
        <charset val="128"/>
      </rPr>
      <t>2</t>
    </r>
    <r>
      <rPr>
        <sz val="10"/>
        <rFont val="ＭＳ Ｐゴシック"/>
        <family val="3"/>
        <charset val="128"/>
      </rPr>
      <t>/m</t>
    </r>
    <r>
      <rPr>
        <vertAlign val="superscript"/>
        <sz val="10"/>
        <rFont val="ＭＳ Ｐゴシック"/>
        <family val="3"/>
        <charset val="128"/>
      </rPr>
      <t>3</t>
    </r>
    <phoneticPr fontId="22"/>
  </si>
  <si>
    <t>〃</t>
    <phoneticPr fontId="22"/>
  </si>
  <si>
    <t>修繕・更新・</t>
    <phoneticPr fontId="22"/>
  </si>
  <si>
    <t>解体段階</t>
    <phoneticPr fontId="22"/>
  </si>
  <si>
    <t>①参照値／
②建築物の取組み</t>
    <phoneticPr fontId="22"/>
  </si>
  <si>
    <t>③上記+②以外の
　オンサイト手法</t>
    <phoneticPr fontId="22"/>
  </si>
  <si>
    <t>－</t>
    <phoneticPr fontId="22"/>
  </si>
  <si>
    <t>kg-CO2/年㎡</t>
    <phoneticPr fontId="22"/>
  </si>
  <si>
    <t>kg-CO2/年㎡</t>
    <phoneticPr fontId="22"/>
  </si>
  <si>
    <t>kg-CO2/年㎡</t>
    <phoneticPr fontId="22"/>
  </si>
  <si>
    <t>－</t>
    <phoneticPr fontId="22"/>
  </si>
  <si>
    <t>④上記+
　オフサイト手法</t>
    <phoneticPr fontId="22"/>
  </si>
  <si>
    <t>kg-CO2/年㎡</t>
    <phoneticPr fontId="22"/>
  </si>
  <si>
    <t>(a)　グリーン電力証書によるカーボンオフセット</t>
    <phoneticPr fontId="22"/>
  </si>
  <si>
    <t>(b)グリーン熱証書によるカーボンオフセット</t>
    <phoneticPr fontId="22"/>
  </si>
  <si>
    <t>（ｃ）その他カーボンクレジット</t>
    <phoneticPr fontId="22"/>
  </si>
  <si>
    <t>(d)調整後排出量（調整後排出係数による）と実排出量の差</t>
    <phoneticPr fontId="22"/>
  </si>
  <si>
    <r>
      <t xml:space="preserve">2.2.1 </t>
    </r>
    <r>
      <rPr>
        <b/>
        <sz val="10"/>
        <rFont val="ＭＳ Ｐゴシック"/>
        <family val="3"/>
        <charset val="128"/>
      </rPr>
      <t>躯体材料の耐用年数</t>
    </r>
    <rPh sb="6" eb="8">
      <t>クタイ</t>
    </rPh>
    <rPh sb="8" eb="10">
      <t>ザイリョウ</t>
    </rPh>
    <rPh sb="11" eb="13">
      <t>タイヨウ</t>
    </rPh>
    <rPh sb="13" eb="15">
      <t>ネンスウ</t>
    </rPh>
    <phoneticPr fontId="22"/>
  </si>
  <si>
    <t>10年未満</t>
  </si>
  <si>
    <t>10年以上～20年未満</t>
  </si>
  <si>
    <t>20年</t>
  </si>
  <si>
    <t>冬期20℃以上 、夏期25℃以下の設定。</t>
    <rPh sb="5" eb="7">
      <t>イジョウ</t>
    </rPh>
    <rPh sb="14" eb="16">
      <t>イカ</t>
    </rPh>
    <phoneticPr fontId="22"/>
  </si>
  <si>
    <t>冬期22℃以上、夏期24℃以下の設定。</t>
    <rPh sb="5" eb="7">
      <t>イジョウ</t>
    </rPh>
    <rPh sb="13" eb="15">
      <t>イカ</t>
    </rPh>
    <phoneticPr fontId="22"/>
  </si>
  <si>
    <t>冬期20℃以上、夏期25℃以下の室温を実現するための設備容量が確保されている。</t>
    <rPh sb="5" eb="7">
      <t>イジョウ</t>
    </rPh>
    <rPh sb="13" eb="15">
      <t>イカ</t>
    </rPh>
    <phoneticPr fontId="22"/>
  </si>
  <si>
    <t>冬期22℃、夏期24℃の室温を実現することが可能な設備容量が確保されている。</t>
    <phoneticPr fontId="22"/>
  </si>
  <si>
    <t>冬期22℃以上、夏期24℃以下の室温を実現することが可能な設備容量が確保されている。</t>
    <rPh sb="5" eb="7">
      <t>イジョウ</t>
    </rPh>
    <rPh sb="13" eb="15">
      <t>イカ</t>
    </rPh>
    <phoneticPr fontId="22"/>
  </si>
  <si>
    <t>ASHRAE快適域やPOEM-Oを参考に冬期20℃～22℃、夏期24℃～26℃の範囲を設定している。</t>
    <phoneticPr fontId="22"/>
  </si>
  <si>
    <r>
      <t>LR2</t>
    </r>
    <r>
      <rPr>
        <b/>
        <sz val="12"/>
        <rFont val="ＭＳ Ｐゴシック"/>
        <family val="3"/>
        <charset val="128"/>
      </rPr>
      <t>　資源・マテリアル</t>
    </r>
    <rPh sb="4" eb="6">
      <t>シゲン</t>
    </rPh>
    <phoneticPr fontId="22"/>
  </si>
  <si>
    <t>水資源保護</t>
    <rPh sb="0" eb="1">
      <t>ミズ</t>
    </rPh>
    <rPh sb="1" eb="3">
      <t>シゲン</t>
    </rPh>
    <rPh sb="3" eb="5">
      <t>ホゴ</t>
    </rPh>
    <phoneticPr fontId="22"/>
  </si>
  <si>
    <t>事・学・物・飲・会・病・ホ･工・住</t>
    <rPh sb="0" eb="1">
      <t>コト</t>
    </rPh>
    <rPh sb="2" eb="3">
      <t>ガク</t>
    </rPh>
    <rPh sb="4" eb="5">
      <t>モノ</t>
    </rPh>
    <rPh sb="6" eb="7">
      <t>イン</t>
    </rPh>
    <rPh sb="8" eb="9">
      <t>カイ</t>
    </rPh>
    <rPh sb="10" eb="11">
      <t>ヤマイ</t>
    </rPh>
    <rPh sb="16" eb="17">
      <t>ジュウ</t>
    </rPh>
    <phoneticPr fontId="22"/>
  </si>
  <si>
    <t>主要水栓に節水コマなどが取り付けられている。</t>
  </si>
  <si>
    <t>雨水利用・雑排水等の利用</t>
    <rPh sb="0" eb="2">
      <t>ｳｽｲ</t>
    </rPh>
    <rPh sb="2" eb="4">
      <t>ﾘﾖｳ</t>
    </rPh>
    <rPh sb="5" eb="8">
      <t>ｻﾞﾂﾊｲｽｲ</t>
    </rPh>
    <rPh sb="8" eb="9">
      <t>ﾄｳ</t>
    </rPh>
    <rPh sb="10" eb="12">
      <t>ﾘﾖｳ</t>
    </rPh>
    <phoneticPr fontId="60" type="noConversion"/>
  </si>
  <si>
    <r>
      <t xml:space="preserve">1.2.2 </t>
    </r>
    <r>
      <rPr>
        <b/>
        <sz val="10"/>
        <rFont val="ＭＳ Ｐゴシック"/>
        <family val="3"/>
        <charset val="128"/>
      </rPr>
      <t>雑排水等利用システム導入の有無</t>
    </r>
    <rPh sb="9" eb="10">
      <t>トウ</t>
    </rPh>
    <rPh sb="11" eb="12">
      <t>ヨウ</t>
    </rPh>
    <phoneticPr fontId="22"/>
  </si>
  <si>
    <t>小中高は既存も新築の基準</t>
    <rPh sb="0" eb="3">
      <t>ショウチュウコウ</t>
    </rPh>
    <rPh sb="4" eb="6">
      <t>キソン</t>
    </rPh>
    <rPh sb="7" eb="9">
      <t>シンチク</t>
    </rPh>
    <rPh sb="10" eb="12">
      <t>キジュン</t>
    </rPh>
    <phoneticPr fontId="22"/>
  </si>
  <si>
    <t>学校施設として標準的な取り組みをしている</t>
    <rPh sb="0" eb="2">
      <t>ガッコウ</t>
    </rPh>
    <rPh sb="2" eb="4">
      <t>シセツ</t>
    </rPh>
    <rPh sb="7" eb="10">
      <t>ヒョウジュンテキ</t>
    </rPh>
    <rPh sb="11" eb="12">
      <t>ト</t>
    </rPh>
    <rPh sb="13" eb="14">
      <t>ク</t>
    </rPh>
    <phoneticPr fontId="22"/>
  </si>
  <si>
    <t>主要構造部が非木造躯体（RC造/SRC造/S造）である場合で、評価する取組み表の評価ポイントの合計値が3ポイント以上</t>
    <rPh sb="56" eb="58">
      <t>イジョウ</t>
    </rPh>
    <phoneticPr fontId="22"/>
  </si>
  <si>
    <t>主要構造部が非木造躯体（RC造/SRC造/S造）である場合で、評価する取組み表の評価ポイントの合計値が5ポイント以上</t>
    <rPh sb="56" eb="58">
      <t>イジョウ</t>
    </rPh>
    <phoneticPr fontId="22"/>
  </si>
  <si>
    <t>主要構造部に強度の高い材料を使用することにより、使用材料の軽減化を図っている</t>
    <rPh sb="0" eb="2">
      <t>シュヨウ</t>
    </rPh>
    <rPh sb="2" eb="4">
      <t>コウゾウ</t>
    </rPh>
    <rPh sb="4" eb="5">
      <t>ブ</t>
    </rPh>
    <rPh sb="6" eb="8">
      <t>キョウド</t>
    </rPh>
    <rPh sb="9" eb="10">
      <t>タカ</t>
    </rPh>
    <rPh sb="11" eb="13">
      <t>ザイリョウ</t>
    </rPh>
    <rPh sb="14" eb="16">
      <t>シヨウ</t>
    </rPh>
    <rPh sb="24" eb="26">
      <t>シヨウ</t>
    </rPh>
    <rPh sb="26" eb="28">
      <t>ザイリョウ</t>
    </rPh>
    <rPh sb="29" eb="32">
      <t>ケイゲンカ</t>
    </rPh>
    <rPh sb="33" eb="34">
      <t>ハカ</t>
    </rPh>
    <phoneticPr fontId="22"/>
  </si>
  <si>
    <t>既存建築躯体等の継続使用</t>
    <rPh sb="0" eb="2">
      <t>キソン</t>
    </rPh>
    <rPh sb="2" eb="4">
      <t>ケンチク</t>
    </rPh>
    <rPh sb="4" eb="6">
      <t>クタイ</t>
    </rPh>
    <rPh sb="6" eb="7">
      <t>トウ</t>
    </rPh>
    <rPh sb="8" eb="10">
      <t>ケイゾク</t>
    </rPh>
    <rPh sb="10" eb="12">
      <t>シヨウ</t>
    </rPh>
    <phoneticPr fontId="22"/>
  </si>
  <si>
    <t>既存の建築躯体を再利用している。</t>
  </si>
  <si>
    <t>清掃業務において感染症対策に配慮した方法を採用している。</t>
    <rPh sb="0" eb="2">
      <t>セイソウ</t>
    </rPh>
    <rPh sb="2" eb="4">
      <t>ギョウム</t>
    </rPh>
    <rPh sb="8" eb="11">
      <t>カンセンショウ</t>
    </rPh>
    <rPh sb="11" eb="13">
      <t>タイサク</t>
    </rPh>
    <rPh sb="14" eb="16">
      <t>ハイリョ</t>
    </rPh>
    <rPh sb="18" eb="20">
      <t>ホウホウ</t>
    </rPh>
    <rPh sb="21" eb="23">
      <t>サイヨウ</t>
    </rPh>
    <phoneticPr fontId="22"/>
  </si>
  <si>
    <t>5) 安全対策</t>
    <rPh sb="3" eb="5">
      <t>アンゼン</t>
    </rPh>
    <rPh sb="5" eb="7">
      <t>タイサク</t>
    </rPh>
    <phoneticPr fontId="22"/>
  </si>
  <si>
    <t>清掃業務において安全に配慮した方法を採用している。</t>
    <rPh sb="0" eb="2">
      <t>セイソウ</t>
    </rPh>
    <rPh sb="2" eb="4">
      <t>ギョウム</t>
    </rPh>
    <rPh sb="8" eb="10">
      <t>アンゼン</t>
    </rPh>
    <rPh sb="11" eb="13">
      <t>ハイリョ</t>
    </rPh>
    <rPh sb="15" eb="17">
      <t>ホウホウ</t>
    </rPh>
    <rPh sb="18" eb="20">
      <t>サイヨウ</t>
    </rPh>
    <phoneticPr fontId="22"/>
  </si>
  <si>
    <t>判定基準</t>
  </si>
  <si>
    <t>シックハウス配慮</t>
  </si>
  <si>
    <t>急性経口毒性</t>
  </si>
  <si>
    <t>VOC濃度</t>
  </si>
  <si>
    <t>有害性が判明している化学物質</t>
  </si>
  <si>
    <r>
      <t xml:space="preserve">1.3.3 </t>
    </r>
    <r>
      <rPr>
        <b/>
        <sz val="10"/>
        <rFont val="ＭＳ Ｐゴシック"/>
        <family val="3"/>
        <charset val="128"/>
      </rPr>
      <t>衛生管理業務</t>
    </r>
    <rPh sb="6" eb="8">
      <t>エイセイ</t>
    </rPh>
    <rPh sb="8" eb="10">
      <t>カンリ</t>
    </rPh>
    <rPh sb="10" eb="12">
      <t>ギョウム</t>
    </rPh>
    <phoneticPr fontId="22"/>
  </si>
  <si>
    <r>
      <t xml:space="preserve">2.4.2 </t>
    </r>
    <r>
      <rPr>
        <b/>
        <sz val="10"/>
        <rFont val="ＭＳ Ｐゴシック"/>
        <family val="3"/>
        <charset val="128"/>
      </rPr>
      <t>給排水・衛生設備</t>
    </r>
    <phoneticPr fontId="22"/>
  </si>
  <si>
    <t>事・学・会・病・ホ・工・住</t>
    <phoneticPr fontId="22"/>
  </si>
  <si>
    <t>物・飲</t>
    <phoneticPr fontId="22"/>
  </si>
  <si>
    <t>評価する取組みが1つ。</t>
    <phoneticPr fontId="22"/>
  </si>
  <si>
    <t>②無停電電源設備を備えている。</t>
    <phoneticPr fontId="22"/>
  </si>
  <si>
    <r>
      <t xml:space="preserve">2.4.4 </t>
    </r>
    <r>
      <rPr>
        <b/>
        <sz val="10"/>
        <rFont val="ＭＳ Ｐゴシック"/>
        <family val="3"/>
        <charset val="128"/>
      </rPr>
      <t>機械・配管支持方法</t>
    </r>
    <phoneticPr fontId="22"/>
  </si>
  <si>
    <r>
      <t>方位別やペリメータとインテリア別など空調系統が分かれている上、さらに細かな空調ゾーニング（概ね40m</t>
    </r>
    <r>
      <rPr>
        <vertAlign val="superscript"/>
        <sz val="9"/>
        <rFont val="ＭＳ Ｐゴシック"/>
        <family val="3"/>
        <charset val="128"/>
      </rPr>
      <t>2</t>
    </r>
    <r>
      <rPr>
        <sz val="9"/>
        <rFont val="ＭＳ Ｐゴシック"/>
        <family val="3"/>
        <charset val="128"/>
      </rPr>
      <t>以下）がされている。さらにゾーン別に冷房・暖房の選択が自由な空調システムとしている。</t>
    </r>
    <phoneticPr fontId="22"/>
  </si>
  <si>
    <t>ＰＩＤ制御による温度・室内湿度になっている。</t>
    <phoneticPr fontId="22"/>
  </si>
  <si>
    <t>快適センサーなどによる温度・湿度制御（快適範囲における温度制御）が可能である。</t>
    <phoneticPr fontId="22"/>
  </si>
  <si>
    <t>住居・宿泊部分</t>
    <phoneticPr fontId="22"/>
  </si>
  <si>
    <t>竣工年</t>
    <rPh sb="0" eb="2">
      <t>ｼｭﾝｺｳ</t>
    </rPh>
    <rPh sb="2" eb="3">
      <t>ﾈﾝ</t>
    </rPh>
    <phoneticPr fontId="34" type="noConversion"/>
  </si>
  <si>
    <t>評価の実施日</t>
    <rPh sb="0" eb="2">
      <t>ヒョウカ</t>
    </rPh>
    <rPh sb="3" eb="6">
      <t>ジッシビ</t>
    </rPh>
    <phoneticPr fontId="22"/>
  </si>
  <si>
    <t>敷地面積</t>
    <rPh sb="0" eb="2">
      <t>ｼｷﾁ</t>
    </rPh>
    <rPh sb="2" eb="4">
      <t>ﾒﾝｾｷ</t>
    </rPh>
    <phoneticPr fontId="34" type="noConversion"/>
  </si>
  <si>
    <t>作成者</t>
    <rPh sb="0" eb="3">
      <t>サクセイシャ</t>
    </rPh>
    <phoneticPr fontId="22"/>
  </si>
  <si>
    <r>
      <t>Q1</t>
    </r>
    <r>
      <rPr>
        <sz val="11"/>
        <rFont val="ＭＳ Ｐゴシック"/>
        <family val="3"/>
        <charset val="128"/>
      </rPr>
      <t>　
室内環境</t>
    </r>
    <rPh sb="4" eb="6">
      <t>シツナイ</t>
    </rPh>
    <rPh sb="6" eb="8">
      <t>カンキョウ</t>
    </rPh>
    <phoneticPr fontId="22"/>
  </si>
  <si>
    <t>建築面積</t>
    <rPh sb="0" eb="2">
      <t>ｹﾝﾁｸ</t>
    </rPh>
    <rPh sb="2" eb="4">
      <t>ﾒﾝｾｷ</t>
    </rPh>
    <phoneticPr fontId="34" type="noConversion"/>
  </si>
  <si>
    <t>確認日</t>
    <rPh sb="0" eb="2">
      <t>カクニン</t>
    </rPh>
    <rPh sb="2" eb="3">
      <t>ビ</t>
    </rPh>
    <phoneticPr fontId="22"/>
  </si>
  <si>
    <t>Rank(red star)</t>
    <phoneticPr fontId="22"/>
  </si>
  <si>
    <t>延床面積</t>
    <rPh sb="0" eb="1">
      <t>ﾉ</t>
    </rPh>
    <rPh sb="1" eb="4">
      <t>ﾕｶﾒﾝｾｷ</t>
    </rPh>
    <phoneticPr fontId="34" type="noConversion"/>
  </si>
  <si>
    <t>確認者</t>
    <rPh sb="0" eb="2">
      <t>カクニン</t>
    </rPh>
    <rPh sb="2" eb="3">
      <t>シャ</t>
    </rPh>
    <phoneticPr fontId="22"/>
  </si>
  <si>
    <t>(blank star)</t>
    <phoneticPr fontId="22"/>
  </si>
  <si>
    <t>改修工事期間</t>
  </si>
  <si>
    <t>改修対象項目</t>
  </si>
  <si>
    <t>躯体</t>
  </si>
  <si>
    <t>改修目的</t>
  </si>
  <si>
    <t>外装</t>
  </si>
  <si>
    <t>改修後の想定使用年数</t>
    <rPh sb="6" eb="8">
      <t>シヨウ</t>
    </rPh>
    <phoneticPr fontId="22"/>
  </si>
  <si>
    <t>内装</t>
  </si>
  <si>
    <t>現在までの主な改修履歴</t>
  </si>
  <si>
    <t>設備</t>
  </si>
  <si>
    <r>
      <t>2-1</t>
    </r>
    <r>
      <rPr>
        <b/>
        <sz val="12"/>
        <color indexed="9"/>
        <rFont val="ＭＳ Ｐゴシック"/>
        <family val="3"/>
        <charset val="128"/>
      </rPr>
      <t>　建築物の環境効率（</t>
    </r>
    <r>
      <rPr>
        <b/>
        <sz val="12"/>
        <color indexed="9"/>
        <rFont val="Arial"/>
        <family val="2"/>
      </rPr>
      <t>BEE</t>
    </r>
    <r>
      <rPr>
        <b/>
        <sz val="12"/>
        <color indexed="9"/>
        <rFont val="ＭＳ Ｐゴシック"/>
        <family val="3"/>
        <charset val="128"/>
      </rPr>
      <t>ランク</t>
    </r>
    <r>
      <rPr>
        <b/>
        <sz val="12"/>
        <color indexed="9"/>
        <rFont val="Arial"/>
        <family val="2"/>
      </rPr>
      <t>&amp;</t>
    </r>
    <r>
      <rPr>
        <b/>
        <sz val="12"/>
        <color indexed="9"/>
        <rFont val="ＭＳ Ｐゴシック"/>
        <family val="3"/>
        <charset val="128"/>
      </rPr>
      <t>チャート）</t>
    </r>
    <rPh sb="4" eb="7">
      <t>ｹﾝﾁｸﾌﾞﾂ</t>
    </rPh>
    <phoneticPr fontId="34" type="noConversion"/>
  </si>
  <si>
    <r>
      <t xml:space="preserve">2-2 </t>
    </r>
    <r>
      <rPr>
        <b/>
        <sz val="12"/>
        <color indexed="9"/>
        <rFont val="ＭＳ Ｐゴシック"/>
        <family val="3"/>
        <charset val="128"/>
      </rPr>
      <t>ライフサイクルCO</t>
    </r>
    <r>
      <rPr>
        <b/>
        <vertAlign val="subscript"/>
        <sz val="12"/>
        <color indexed="9"/>
        <rFont val="ＭＳ Ｐゴシック"/>
        <family val="3"/>
        <charset val="128"/>
      </rPr>
      <t>2</t>
    </r>
    <r>
      <rPr>
        <b/>
        <sz val="10"/>
        <color indexed="9"/>
        <rFont val="ＭＳ Ｐゴシック"/>
        <family val="3"/>
        <charset val="128"/>
      </rPr>
      <t>(温暖化影響チャート）</t>
    </r>
    <rPh sb="15" eb="18">
      <t>オンダンカ</t>
    </rPh>
    <rPh sb="18" eb="20">
      <t>エイキョウ</t>
    </rPh>
    <phoneticPr fontId="22"/>
  </si>
  <si>
    <r>
      <t>2-3</t>
    </r>
    <r>
      <rPr>
        <b/>
        <sz val="12"/>
        <color indexed="9"/>
        <rFont val="ＭＳ Ｐゴシック"/>
        <family val="3"/>
        <charset val="128"/>
      </rPr>
      <t>　大項目の評価（ﾚｰﾀﾞｰﾁｬｰﾄ）</t>
    </r>
    <rPh sb="4" eb="7">
      <t>ダイコウモク</t>
    </rPh>
    <rPh sb="8" eb="10">
      <t>ヒョウカ</t>
    </rPh>
    <phoneticPr fontId="22"/>
  </si>
  <si>
    <t>基準</t>
    <rPh sb="0" eb="2">
      <t>キジュン</t>
    </rPh>
    <phoneticPr fontId="22"/>
  </si>
  <si>
    <t>評価</t>
    <rPh sb="0" eb="2">
      <t>ヒョウカ</t>
    </rPh>
    <phoneticPr fontId="22"/>
  </si>
  <si>
    <t>原点</t>
    <rPh sb="0" eb="2">
      <t>ゲンテン</t>
    </rPh>
    <phoneticPr fontId="22"/>
  </si>
  <si>
    <r>
      <t>BEE</t>
    </r>
    <r>
      <rPr>
        <sz val="11"/>
        <rFont val="ＭＳ Ｐゴシック"/>
        <family val="3"/>
        <charset val="128"/>
      </rPr>
      <t>の分母側</t>
    </r>
    <r>
      <rPr>
        <sz val="11"/>
        <rFont val="Arial"/>
        <family val="2"/>
      </rPr>
      <t>(L)</t>
    </r>
    <rPh sb="4" eb="6">
      <t>ブンボ</t>
    </rPh>
    <rPh sb="6" eb="7">
      <t>ガワ</t>
    </rPh>
    <phoneticPr fontId="22"/>
  </si>
  <si>
    <t>X目盛線</t>
    <rPh sb="1" eb="3">
      <t>メモ</t>
    </rPh>
    <rPh sb="3" eb="4">
      <t>セン</t>
    </rPh>
    <phoneticPr fontId="22"/>
  </si>
  <si>
    <t>Y目盛線</t>
    <rPh sb="1" eb="3">
      <t>メモ</t>
    </rPh>
    <rPh sb="3" eb="4">
      <t>セン</t>
    </rPh>
    <phoneticPr fontId="22"/>
  </si>
  <si>
    <r>
      <t>BEE</t>
    </r>
    <r>
      <rPr>
        <sz val="11"/>
        <rFont val="ＭＳ Ｐゴシック"/>
        <family val="3"/>
        <charset val="128"/>
      </rPr>
      <t>の分子側</t>
    </r>
    <r>
      <rPr>
        <sz val="11"/>
        <rFont val="Arial"/>
        <family val="2"/>
      </rPr>
      <t>(Q)</t>
    </r>
    <rPh sb="4" eb="6">
      <t>ブンシ</t>
    </rPh>
    <rPh sb="6" eb="7">
      <t>ガワ</t>
    </rPh>
    <phoneticPr fontId="22"/>
  </si>
  <si>
    <r>
      <t>このグラフは、</t>
    </r>
    <r>
      <rPr>
        <sz val="11"/>
        <color indexed="10"/>
        <rFont val="Arial"/>
        <family val="2"/>
      </rPr>
      <t>LR3</t>
    </r>
    <r>
      <rPr>
        <sz val="11"/>
        <color indexed="10"/>
        <rFont val="ＭＳ Ｐゴシック"/>
        <family val="3"/>
        <charset val="128"/>
      </rPr>
      <t>中の「地球温暖化への配慮」の内容を、一般的な建物（参照値）と比べたライフサイクル</t>
    </r>
    <r>
      <rPr>
        <sz val="11"/>
        <color indexed="10"/>
        <rFont val="Arial"/>
        <family val="2"/>
      </rPr>
      <t xml:space="preserve">CO2 </t>
    </r>
    <r>
      <rPr>
        <sz val="11"/>
        <color indexed="10"/>
        <rFont val="ＭＳ Ｐゴシック"/>
        <family val="3"/>
        <charset val="128"/>
      </rPr>
      <t>排出量の目安で示したものです</t>
    </r>
    <rPh sb="32" eb="34">
      <t>タテモノ</t>
    </rPh>
    <phoneticPr fontId="22"/>
  </si>
  <si>
    <t>椅子の移動音、物の落下音がかなり気になる。</t>
    <phoneticPr fontId="22"/>
  </si>
  <si>
    <t>椅子の移動音、物の落下音が小さく聞こえる。　</t>
    <phoneticPr fontId="22"/>
  </si>
  <si>
    <t>椅子の移動音、物の落下音が小さく聞こえる。</t>
    <phoneticPr fontId="22"/>
  </si>
  <si>
    <t>椅子の移動音、物の落下音がほとんど聞こえない。</t>
    <phoneticPr fontId="22"/>
  </si>
  <si>
    <t>Lr-65より悪い</t>
    <phoneticPr fontId="22"/>
  </si>
  <si>
    <t>Lr-55より悪い</t>
    <phoneticPr fontId="22"/>
  </si>
  <si>
    <t>Lr-65</t>
    <phoneticPr fontId="22"/>
  </si>
  <si>
    <r>
      <t>解体段階のCO</t>
    </r>
    <r>
      <rPr>
        <vertAlign val="subscript"/>
        <sz val="10"/>
        <rFont val="ＭＳ Ｐゴシック"/>
        <family val="3"/>
        <charset val="128"/>
      </rPr>
      <t>2</t>
    </r>
    <r>
      <rPr>
        <sz val="10"/>
        <rFont val="ＭＳ Ｐゴシック"/>
        <family val="3"/>
        <charset val="128"/>
      </rPr>
      <t>排出量の算定方法</t>
    </r>
    <rPh sb="0" eb="2">
      <t>カイタイ</t>
    </rPh>
    <rPh sb="2" eb="4">
      <t>ダンカイ</t>
    </rPh>
    <rPh sb="8" eb="10">
      <t>ハイシュツ</t>
    </rPh>
    <rPh sb="10" eb="11">
      <t>リョウ</t>
    </rPh>
    <rPh sb="12" eb="14">
      <t>サンテイ</t>
    </rPh>
    <rPh sb="14" eb="16">
      <t>ホウホウ</t>
    </rPh>
    <phoneticPr fontId="22"/>
  </si>
  <si>
    <t>解体廃棄物量として、2000kg／㎡を仮定して、30kmの道路運送分を評価</t>
    <rPh sb="0" eb="2">
      <t>カイタイ</t>
    </rPh>
    <rPh sb="2" eb="5">
      <t>ハイキブツ</t>
    </rPh>
    <rPh sb="5" eb="6">
      <t>リョウ</t>
    </rPh>
    <rPh sb="19" eb="21">
      <t>カテイ</t>
    </rPh>
    <rPh sb="29" eb="31">
      <t>ドウロ</t>
    </rPh>
    <rPh sb="31" eb="33">
      <t>ウンソウ</t>
    </rPh>
    <rPh sb="33" eb="34">
      <t>ブン</t>
    </rPh>
    <rPh sb="35" eb="37">
      <t>ヒョウカ</t>
    </rPh>
    <phoneticPr fontId="22"/>
  </si>
  <si>
    <t>同左</t>
    <rPh sb="0" eb="2">
      <t>ドウサ</t>
    </rPh>
    <phoneticPr fontId="22"/>
  </si>
  <si>
    <t>運用
段階</t>
    <rPh sb="0" eb="2">
      <t>ウンヨウ</t>
    </rPh>
    <rPh sb="3" eb="5">
      <t>ダンカイ</t>
    </rPh>
    <phoneticPr fontId="22"/>
  </si>
  <si>
    <t>参考</t>
    <rPh sb="0" eb="2">
      <t>サンコウ</t>
    </rPh>
    <phoneticPr fontId="22"/>
  </si>
  <si>
    <t>非住宅部</t>
    <rPh sb="0" eb="1">
      <t>ヒ</t>
    </rPh>
    <rPh sb="1" eb="3">
      <t>ジュウタク</t>
    </rPh>
    <rPh sb="3" eb="4">
      <t>ブ</t>
    </rPh>
    <phoneticPr fontId="22"/>
  </si>
  <si>
    <t>品確法</t>
    <rPh sb="0" eb="3">
      <t>ヒンカクホウ</t>
    </rPh>
    <phoneticPr fontId="22"/>
  </si>
  <si>
    <t>GJ/年</t>
    <rPh sb="3" eb="4">
      <t>ネン</t>
    </rPh>
    <phoneticPr fontId="22"/>
  </si>
  <si>
    <t>LR1/3.設備システムの高効率化</t>
    <rPh sb="6" eb="8">
      <t>セツビ</t>
    </rPh>
    <rPh sb="13" eb="17">
      <t>コウコウリツカ</t>
    </rPh>
    <phoneticPr fontId="22"/>
  </si>
  <si>
    <t>統計値　MJ/年㎡</t>
    <rPh sb="0" eb="2">
      <t>トウケイ</t>
    </rPh>
    <rPh sb="2" eb="3">
      <t>チ</t>
    </rPh>
    <rPh sb="7" eb="8">
      <t>ネン</t>
    </rPh>
    <phoneticPr fontId="22"/>
  </si>
  <si>
    <t>低減率</t>
    <rPh sb="0" eb="2">
      <t>テイゲン</t>
    </rPh>
    <rPh sb="2" eb="3">
      <t>リツ</t>
    </rPh>
    <phoneticPr fontId="22"/>
  </si>
  <si>
    <t>LR1/4.　効率的な運用</t>
    <rPh sb="7" eb="10">
      <t>コウリツテキ</t>
    </rPh>
    <rPh sb="11" eb="13">
      <t>ウンヨウ</t>
    </rPh>
    <phoneticPr fontId="22"/>
  </si>
  <si>
    <t>用途別面積</t>
    <rPh sb="0" eb="2">
      <t>ヨウト</t>
    </rPh>
    <rPh sb="2" eb="3">
      <t>ベツ</t>
    </rPh>
    <rPh sb="3" eb="5">
      <t>メンセキ</t>
    </rPh>
    <phoneticPr fontId="24"/>
  </si>
  <si>
    <t>適切な換気機能を有し、熱橋となる部分の断熱補強、防湿層、通気層の設置等の結露防止対策がとられている。</t>
    <phoneticPr fontId="22"/>
  </si>
  <si>
    <t>除湿機能を有し、熱橋となる部分の断熱補強、防湿層、通気層の設置等の結露防止対策がとられている。</t>
    <phoneticPr fontId="22"/>
  </si>
  <si>
    <t>加湿機能・除湿機能を有し、かつ45％～55％の範囲の湿度を実現することが可能な設備容量が確保されている。</t>
    <phoneticPr fontId="22"/>
  </si>
  <si>
    <t>3）空間提供による地域貢献</t>
    <phoneticPr fontId="22"/>
  </si>
  <si>
    <t>アルコーブ・ピロティ・庇などの空間を設けるなどの建築的な工夫を取入れて、雨宿り、待合わせに供する等、都市空間の活動上のアメニティ向上に貢献している。
または、</t>
    <phoneticPr fontId="22"/>
  </si>
  <si>
    <t>広場や歩道状空地、路地などのスペースを確保し、憩いの場に供するなど地域の活動上のアメニティ向上に貢献している。</t>
    <phoneticPr fontId="22"/>
  </si>
  <si>
    <t>5）建物内外を連関させる豊かな中間領域の形成</t>
    <phoneticPr fontId="22"/>
  </si>
  <si>
    <t>地球温暖化への配慮</t>
    <rPh sb="0" eb="2">
      <t>ﾁｷｭｳ</t>
    </rPh>
    <rPh sb="2" eb="5">
      <t>ｵﾝﾀﾞﾝｶ</t>
    </rPh>
    <rPh sb="7" eb="9">
      <t>ﾊｲﾘｮ</t>
    </rPh>
    <phoneticPr fontId="34" type="noConversion"/>
  </si>
  <si>
    <t>地域環境への配慮</t>
    <rPh sb="0" eb="2">
      <t>ﾁｲｷ</t>
    </rPh>
    <rPh sb="2" eb="4">
      <t>ｶﾝｷｮｳ</t>
    </rPh>
    <rPh sb="6" eb="8">
      <t>ﾊｲﾘｮ</t>
    </rPh>
    <phoneticPr fontId="34" type="noConversion"/>
  </si>
  <si>
    <t>大気汚染防止</t>
    <rPh sb="0" eb="2">
      <t>ﾀｲｷ</t>
    </rPh>
    <rPh sb="2" eb="4">
      <t>ｵｾﾝ</t>
    </rPh>
    <rPh sb="4" eb="6">
      <t>ﾎﾞｳｼ</t>
    </rPh>
    <phoneticPr fontId="34" type="noConversion"/>
  </si>
  <si>
    <t>地域インフラへの負荷抑制</t>
    <rPh sb="0" eb="2">
      <t>チイキ</t>
    </rPh>
    <rPh sb="8" eb="10">
      <t>フカ</t>
    </rPh>
    <rPh sb="10" eb="12">
      <t>ヨクセイ</t>
    </rPh>
    <phoneticPr fontId="22"/>
  </si>
  <si>
    <t>交通負荷抑制</t>
    <rPh sb="0" eb="2">
      <t>ｺｳﾂｳ</t>
    </rPh>
    <rPh sb="2" eb="4">
      <t>ﾌｶ</t>
    </rPh>
    <rPh sb="4" eb="6">
      <t>ﾖｸｾｲ</t>
    </rPh>
    <phoneticPr fontId="34" type="noConversion"/>
  </si>
  <si>
    <t>XXX</t>
    <phoneticPr fontId="22"/>
  </si>
  <si>
    <t>㎡</t>
    <phoneticPr fontId="22"/>
  </si>
  <si>
    <t>XX</t>
    <phoneticPr fontId="22"/>
  </si>
  <si>
    <t>XXX</t>
    <phoneticPr fontId="22"/>
  </si>
  <si>
    <r>
      <t>c</t>
    </r>
    <r>
      <rPr>
        <sz val="11"/>
        <rFont val="ＭＳ Ｐゴシック"/>
        <family val="3"/>
        <charset val="128"/>
      </rPr>
      <t>ommon</t>
    </r>
    <phoneticPr fontId="22"/>
  </si>
  <si>
    <t>Residential</t>
    <phoneticPr fontId="22"/>
  </si>
  <si>
    <t>ホテル</t>
    <phoneticPr fontId="22"/>
  </si>
  <si>
    <t>屋上等の雨水排水溝に、泥や砂等が堆積していないこと。また、雨水配水管の末端は、砂や泥等により管径が縮小していないこと。（毎学年１回）</t>
    <rPh sb="0" eb="2">
      <t>オクジョウ</t>
    </rPh>
    <rPh sb="2" eb="3">
      <t>トウ</t>
    </rPh>
    <rPh sb="4" eb="6">
      <t>ウスイ</t>
    </rPh>
    <rPh sb="6" eb="9">
      <t>ハイスイコウ</t>
    </rPh>
    <rPh sb="11" eb="12">
      <t>ドロ</t>
    </rPh>
    <rPh sb="13" eb="14">
      <t>スナ</t>
    </rPh>
    <rPh sb="14" eb="15">
      <t>トウ</t>
    </rPh>
    <rPh sb="16" eb="18">
      <t>タイセキ</t>
    </rPh>
    <rPh sb="29" eb="31">
      <t>ウスイ</t>
    </rPh>
    <rPh sb="31" eb="34">
      <t>ハイスイカン</t>
    </rPh>
    <rPh sb="35" eb="37">
      <t>マッタン</t>
    </rPh>
    <rPh sb="39" eb="40">
      <t>スナ</t>
    </rPh>
    <rPh sb="41" eb="42">
      <t>ドロ</t>
    </rPh>
    <rPh sb="42" eb="43">
      <t>トウ</t>
    </rPh>
    <rPh sb="46" eb="47">
      <t>カン</t>
    </rPh>
    <rPh sb="47" eb="48">
      <t>ケイ</t>
    </rPh>
    <rPh sb="49" eb="51">
      <t>シュクショウ</t>
    </rPh>
    <rPh sb="60" eb="63">
      <t>マイガクネン</t>
    </rPh>
    <rPh sb="64" eb="65">
      <t>カイ</t>
    </rPh>
    <phoneticPr fontId="22"/>
  </si>
  <si>
    <t>排水の施設・設備</t>
    <rPh sb="0" eb="2">
      <t>ハイスイ</t>
    </rPh>
    <rPh sb="3" eb="5">
      <t>シセツ</t>
    </rPh>
    <rPh sb="6" eb="8">
      <t>セツビ</t>
    </rPh>
    <phoneticPr fontId="22"/>
  </si>
  <si>
    <t>汚水槽、雑排水槽等の施設・設備は、故障等がなく適切に機能していること。
（毎学年１回）</t>
    <rPh sb="0" eb="3">
      <t>オスイソウ</t>
    </rPh>
    <rPh sb="4" eb="5">
      <t>ザツ</t>
    </rPh>
    <rPh sb="5" eb="7">
      <t>ハイスイ</t>
    </rPh>
    <rPh sb="7" eb="8">
      <t>ソウ</t>
    </rPh>
    <rPh sb="8" eb="9">
      <t>トウ</t>
    </rPh>
    <rPh sb="10" eb="12">
      <t>シセツ</t>
    </rPh>
    <rPh sb="13" eb="15">
      <t>セツビ</t>
    </rPh>
    <rPh sb="17" eb="19">
      <t>コショウ</t>
    </rPh>
    <rPh sb="19" eb="20">
      <t>トウ</t>
    </rPh>
    <rPh sb="23" eb="25">
      <t>テキセツ</t>
    </rPh>
    <rPh sb="26" eb="28">
      <t>キノウ</t>
    </rPh>
    <rPh sb="37" eb="40">
      <t>マイガクネン</t>
    </rPh>
    <rPh sb="41" eb="42">
      <t>カイ</t>
    </rPh>
    <phoneticPr fontId="22"/>
  </si>
  <si>
    <t>木　材</t>
  </si>
  <si>
    <t>＜参考＞　個別計算にあたって、利用できる計算値</t>
    <rPh sb="1" eb="3">
      <t>サンコウ</t>
    </rPh>
    <rPh sb="5" eb="7">
      <t>コベツ</t>
    </rPh>
    <rPh sb="7" eb="9">
      <t>ケイサン</t>
    </rPh>
    <rPh sb="15" eb="17">
      <t>リヨウ</t>
    </rPh>
    <rPh sb="20" eb="23">
      <t>ケイサンチ</t>
    </rPh>
    <phoneticPr fontId="22"/>
  </si>
  <si>
    <t>やや高度な対策を行っている（評価する取組みにおいて3項目以上を採用）</t>
    <phoneticPr fontId="22"/>
  </si>
  <si>
    <t>.建物全体・共用部分</t>
    <phoneticPr fontId="22"/>
  </si>
  <si>
    <t>住居・宿泊部分</t>
    <phoneticPr fontId="22"/>
  </si>
  <si>
    <t>設備騒音の種類</t>
    <phoneticPr fontId="22"/>
  </si>
  <si>
    <t>対策例</t>
    <phoneticPr fontId="22"/>
  </si>
  <si>
    <t>防音カバー、機械室の吸音・遮音、位置など</t>
    <phoneticPr fontId="22"/>
  </si>
  <si>
    <t>設備騒音の種類</t>
    <phoneticPr fontId="22"/>
  </si>
  <si>
    <t>対策例</t>
    <phoneticPr fontId="22"/>
  </si>
  <si>
    <t>（屋外）冷却塔、室外機等からの騒音</t>
    <phoneticPr fontId="22"/>
  </si>
  <si>
    <t>⑥　屋外や共用通路などに清掃作業を想定した電源を計画している。</t>
    <rPh sb="2" eb="4">
      <t>オクガイ</t>
    </rPh>
    <rPh sb="5" eb="7">
      <t>キョウヨウ</t>
    </rPh>
    <rPh sb="7" eb="9">
      <t>ツウロ</t>
    </rPh>
    <rPh sb="12" eb="14">
      <t>セイソウ</t>
    </rPh>
    <rPh sb="14" eb="16">
      <t>サギョウ</t>
    </rPh>
    <rPh sb="17" eb="19">
      <t>ソウテイ</t>
    </rPh>
    <rPh sb="21" eb="23">
      <t>デンゲン</t>
    </rPh>
    <rPh sb="24" eb="26">
      <t>ケイカク</t>
    </rPh>
    <phoneticPr fontId="22"/>
  </si>
  <si>
    <t>⑧　洗面台や給湯室流し、台所流しの各排水トラップは取り外し、清掃できるようになっている。　</t>
    <rPh sb="2" eb="5">
      <t>センメンダイ</t>
    </rPh>
    <rPh sb="6" eb="9">
      <t>キュウトウシツ</t>
    </rPh>
    <rPh sb="9" eb="10">
      <t>ナガ</t>
    </rPh>
    <rPh sb="12" eb="14">
      <t>ダイドコロ</t>
    </rPh>
    <rPh sb="14" eb="15">
      <t>ナガ</t>
    </rPh>
    <rPh sb="17" eb="18">
      <t>カク</t>
    </rPh>
    <rPh sb="18" eb="20">
      <t>ハイスイ</t>
    </rPh>
    <rPh sb="25" eb="26">
      <t>ト</t>
    </rPh>
    <rPh sb="27" eb="28">
      <t>ハズ</t>
    </rPh>
    <rPh sb="30" eb="32">
      <t>セイソウ</t>
    </rPh>
    <phoneticPr fontId="22"/>
  </si>
  <si>
    <t>学校版</t>
    <rPh sb="0" eb="2">
      <t>ガッコウ</t>
    </rPh>
    <rPh sb="2" eb="3">
      <t>バン</t>
    </rPh>
    <phoneticPr fontId="22"/>
  </si>
  <si>
    <t>大掃除の実施</t>
    <rPh sb="0" eb="3">
      <t>オオソウジ</t>
    </rPh>
    <rPh sb="4" eb="6">
      <t>ジッシ</t>
    </rPh>
    <phoneticPr fontId="22"/>
  </si>
  <si>
    <t>大掃除は、定期に行われていること。（毎学年３回）</t>
    <rPh sb="0" eb="3">
      <t>オオソウジ</t>
    </rPh>
    <rPh sb="5" eb="7">
      <t>テイキ</t>
    </rPh>
    <rPh sb="8" eb="9">
      <t>オコナ</t>
    </rPh>
    <rPh sb="18" eb="21">
      <t>マイガクネン</t>
    </rPh>
    <rPh sb="22" eb="23">
      <t>カイ</t>
    </rPh>
    <phoneticPr fontId="22"/>
  </si>
  <si>
    <t>主要構造部が木造躯体の時は評価対象外とする。</t>
    <rPh sb="0" eb="2">
      <t>シュヨウ</t>
    </rPh>
    <rPh sb="2" eb="4">
      <t>コウゾウ</t>
    </rPh>
    <rPh sb="4" eb="5">
      <t>ブ</t>
    </rPh>
    <rPh sb="6" eb="8">
      <t>モクゾウ</t>
    </rPh>
    <rPh sb="8" eb="10">
      <t>クタイ</t>
    </rPh>
    <rPh sb="11" eb="12">
      <t>トキ</t>
    </rPh>
    <rPh sb="13" eb="15">
      <t>ヒョウカ</t>
    </rPh>
    <rPh sb="15" eb="18">
      <t>タイショウガイ</t>
    </rPh>
    <phoneticPr fontId="22"/>
  </si>
  <si>
    <t>主要構造部が非木造躯体（RC造/SRC造/S造）である場合で、評価する取組み表の評価ポイントの合計値が0ポイント</t>
    <rPh sb="0" eb="2">
      <t>シュヨウ</t>
    </rPh>
    <rPh sb="2" eb="4">
      <t>コウゾウ</t>
    </rPh>
    <rPh sb="4" eb="5">
      <t>ブ</t>
    </rPh>
    <rPh sb="6" eb="7">
      <t>ヒ</t>
    </rPh>
    <rPh sb="7" eb="9">
      <t>モクゾウ</t>
    </rPh>
    <rPh sb="9" eb="11">
      <t>クタイ</t>
    </rPh>
    <rPh sb="14" eb="15">
      <t>ゾウ</t>
    </rPh>
    <rPh sb="19" eb="20">
      <t>ゾウ</t>
    </rPh>
    <rPh sb="22" eb="23">
      <t>ゾウ</t>
    </rPh>
    <rPh sb="27" eb="29">
      <t>バアイ</t>
    </rPh>
    <rPh sb="31" eb="33">
      <t>ヒョウカ</t>
    </rPh>
    <phoneticPr fontId="22"/>
  </si>
  <si>
    <t>主要構造部が非木造躯体（RC造/SRC造/S造）である場合で、評価する取組み表の評価ポイントの合計値が1ポイント以上</t>
    <rPh sb="56" eb="58">
      <t>イジョウ</t>
    </rPh>
    <phoneticPr fontId="22"/>
  </si>
  <si>
    <t>電気％</t>
    <rPh sb="0" eb="2">
      <t>デンキ</t>
    </rPh>
    <phoneticPr fontId="22"/>
  </si>
  <si>
    <t>住宅　専有部（住戸全体）</t>
    <rPh sb="0" eb="2">
      <t>ジュウタク</t>
    </rPh>
    <rPh sb="3" eb="5">
      <t>センユウ</t>
    </rPh>
    <rPh sb="5" eb="6">
      <t>ブ</t>
    </rPh>
    <rPh sb="7" eb="9">
      <t>ジュウコ</t>
    </rPh>
    <rPh sb="9" eb="11">
      <t>ゼンタイ</t>
    </rPh>
    <phoneticPr fontId="22"/>
  </si>
  <si>
    <t>太陽光発電の発電量</t>
    <phoneticPr fontId="22"/>
  </si>
  <si>
    <t>太陽光発電によるCO2削減量　（発電量が③ｵﾝｻｲﾄの取組分相当の場合で、かつ削減分に電力の排出係数を用いる場合。）</t>
    <rPh sb="0" eb="3">
      <t>タイヨウコウ</t>
    </rPh>
    <rPh sb="3" eb="5">
      <t>ハツデン</t>
    </rPh>
    <rPh sb="11" eb="13">
      <t>サクゲン</t>
    </rPh>
    <rPh sb="13" eb="14">
      <t>リョウ</t>
    </rPh>
    <rPh sb="39" eb="41">
      <t>サクゲン</t>
    </rPh>
    <rPh sb="41" eb="42">
      <t>ブン</t>
    </rPh>
    <phoneticPr fontId="22"/>
  </si>
  <si>
    <r>
      <t>このグラフは、一般的な建物（参照値）と比べたライフサイクル</t>
    </r>
    <r>
      <rPr>
        <sz val="11"/>
        <color indexed="10"/>
        <rFont val="Arial"/>
        <family val="2"/>
      </rPr>
      <t xml:space="preserve">CO2 </t>
    </r>
    <r>
      <rPr>
        <sz val="11"/>
        <color indexed="10"/>
        <rFont val="ＭＳ Ｐゴシック"/>
        <family val="3"/>
        <charset val="128"/>
      </rPr>
      <t>排出量を評価者自身の計算（個別計算）により算出した結果を示しています。</t>
    </r>
    <r>
      <rPr>
        <sz val="11"/>
        <color indexed="10"/>
        <rFont val="Arial"/>
        <family val="2"/>
      </rPr>
      <t>LCCO2</t>
    </r>
    <r>
      <rPr>
        <sz val="11"/>
        <color indexed="10"/>
        <rFont val="ＭＳ Ｐゴシック"/>
        <family val="3"/>
        <charset val="128"/>
      </rPr>
      <t>の算定条件等については、「</t>
    </r>
    <r>
      <rPr>
        <sz val="11"/>
        <color indexed="10"/>
        <rFont val="Arial"/>
        <family val="2"/>
      </rPr>
      <t>LCCO2</t>
    </r>
    <r>
      <rPr>
        <sz val="11"/>
        <color indexed="10"/>
        <rFont val="ＭＳ Ｐゴシック"/>
        <family val="3"/>
        <charset val="128"/>
      </rPr>
      <t>算定条件シート（個別計算）」を参照されたい</t>
    </r>
    <rPh sb="11" eb="13">
      <t>タテモノ</t>
    </rPh>
    <rPh sb="37" eb="39">
      <t>ヒョウカ</t>
    </rPh>
    <rPh sb="39" eb="40">
      <t>シャ</t>
    </rPh>
    <rPh sb="40" eb="42">
      <t>ジシン</t>
    </rPh>
    <rPh sb="43" eb="45">
      <t>ケイサン</t>
    </rPh>
    <rPh sb="46" eb="48">
      <t>コベツ</t>
    </rPh>
    <rPh sb="48" eb="50">
      <t>ケイサン</t>
    </rPh>
    <rPh sb="54" eb="56">
      <t>サンシュツ</t>
    </rPh>
    <rPh sb="58" eb="60">
      <t>ケッカ</t>
    </rPh>
    <rPh sb="61" eb="62">
      <t>シメ</t>
    </rPh>
    <rPh sb="99" eb="101">
      <t>コベツ</t>
    </rPh>
    <rPh sb="101" eb="103">
      <t>ケイサン</t>
    </rPh>
    <phoneticPr fontId="22"/>
  </si>
  <si>
    <t>建設</t>
    <rPh sb="0" eb="2">
      <t>ケンセツ</t>
    </rPh>
    <phoneticPr fontId="22"/>
  </si>
  <si>
    <t>修繕・更新・解体</t>
    <rPh sb="0" eb="2">
      <t>シュウゼン</t>
    </rPh>
    <rPh sb="3" eb="5">
      <t>コウシン</t>
    </rPh>
    <rPh sb="6" eb="8">
      <t>カイタイ</t>
    </rPh>
    <phoneticPr fontId="22"/>
  </si>
  <si>
    <t>運用</t>
    <rPh sb="0" eb="2">
      <t>ウンヨウ</t>
    </rPh>
    <phoneticPr fontId="22"/>
  </si>
  <si>
    <t>Ref</t>
    <phoneticPr fontId="22"/>
  </si>
  <si>
    <r>
      <t>Q</t>
    </r>
    <r>
      <rPr>
        <b/>
        <sz val="11"/>
        <color indexed="26"/>
        <rFont val="ＭＳ Ｐゴシック"/>
        <family val="3"/>
        <charset val="128"/>
      </rPr>
      <t>　環境品質</t>
    </r>
    <rPh sb="2" eb="4">
      <t>カンキョウ</t>
    </rPh>
    <rPh sb="4" eb="6">
      <t>ヒンシツ</t>
    </rPh>
    <phoneticPr fontId="22"/>
  </si>
  <si>
    <r>
      <t>Q</t>
    </r>
    <r>
      <rPr>
        <b/>
        <i/>
        <sz val="14"/>
        <color indexed="9"/>
        <rFont val="ＭＳ Ｐゴシック"/>
        <family val="3"/>
        <charset val="128"/>
      </rPr>
      <t>のスコア</t>
    </r>
    <r>
      <rPr>
        <b/>
        <i/>
        <sz val="14"/>
        <color indexed="9"/>
        <rFont val="Arial"/>
        <family val="2"/>
      </rPr>
      <t>=</t>
    </r>
    <phoneticPr fontId="22"/>
  </si>
  <si>
    <t>Subjest1</t>
    <phoneticPr fontId="22"/>
  </si>
  <si>
    <t>Subjest2</t>
    <phoneticPr fontId="22"/>
  </si>
  <si>
    <t>Subjest3</t>
    <phoneticPr fontId="22"/>
  </si>
  <si>
    <t>Score</t>
    <phoneticPr fontId="22"/>
  </si>
  <si>
    <t>開口部遮音性能</t>
    <phoneticPr fontId="22"/>
  </si>
  <si>
    <t>界壁遮音性能</t>
  </si>
  <si>
    <t>界床遮音性能（軽量衝撃源）</t>
  </si>
  <si>
    <t>界床遮音性能（重量衝撃源）</t>
  </si>
  <si>
    <t>吸音</t>
  </si>
  <si>
    <t>温熱環境</t>
    <rPh sb="0" eb="2">
      <t>ｵﾝﾈﾂ</t>
    </rPh>
    <rPh sb="2" eb="4">
      <t>ｶﾝｷｮｳ</t>
    </rPh>
    <phoneticPr fontId="34" type="noConversion"/>
  </si>
  <si>
    <t>室温制御</t>
    <rPh sb="0" eb="2">
      <t>ｼﾂｵﾝ</t>
    </rPh>
    <rPh sb="2" eb="4">
      <t>ｾｲｷﾞｮ</t>
    </rPh>
    <phoneticPr fontId="34" type="noConversion"/>
  </si>
  <si>
    <t>外皮性能</t>
    <rPh sb="0" eb="2">
      <t>ガイヒ</t>
    </rPh>
    <rPh sb="2" eb="4">
      <t>セイノウ</t>
    </rPh>
    <phoneticPr fontId="22"/>
  </si>
  <si>
    <t>ゾーン別制御性</t>
    <rPh sb="3" eb="4">
      <t>ベツ</t>
    </rPh>
    <rPh sb="4" eb="7">
      <t>セイギョセイ</t>
    </rPh>
    <phoneticPr fontId="22"/>
  </si>
  <si>
    <t>個別制御</t>
    <rPh sb="0" eb="2">
      <t>コベツ</t>
    </rPh>
    <rPh sb="2" eb="4">
      <t>セイギョ</t>
    </rPh>
    <phoneticPr fontId="22"/>
  </si>
  <si>
    <t>※効率評価に関しては、機器/器具付随の制御用センサーのデータを用いた評価も可とする。</t>
  </si>
  <si>
    <t>レベル２に加えて、運用管理体制が組織化され、責任者が指名されている。</t>
  </si>
  <si>
    <t>風害・砂塵、日照阻害の抑制</t>
  </si>
  <si>
    <t>風害・砂塵、日照阻害の抑制</t>
    <phoneticPr fontId="34" type="noConversion"/>
  </si>
  <si>
    <t>窓が開閉不可能な居室において、自然換気有効開口面積が50ｃ㎡／㎡以上。あるいは、窓が開閉可能な居室において、自然換気有効開口面積が居室床面積の1/15以上。あるいは、必要外気量の２倍以上の外気冷房の採用により室内空気質の向上が期待できる。</t>
    <phoneticPr fontId="22"/>
  </si>
  <si>
    <t>居室面積の1/6以上の開閉可能な窓を確保している。</t>
    <phoneticPr fontId="22"/>
  </si>
  <si>
    <t>Q2 サービス性能</t>
    <phoneticPr fontId="22"/>
  </si>
  <si>
    <t>Q</t>
    <phoneticPr fontId="22"/>
  </si>
  <si>
    <t>Q3</t>
    <phoneticPr fontId="22"/>
  </si>
  <si>
    <t>BEE(Round)</t>
    <phoneticPr fontId="22"/>
  </si>
  <si>
    <t>LR1</t>
    <phoneticPr fontId="22"/>
  </si>
  <si>
    <t>LR1 
エネルギー</t>
    <phoneticPr fontId="22"/>
  </si>
  <si>
    <t>㎡</t>
    <phoneticPr fontId="34" type="noConversion"/>
  </si>
  <si>
    <t>Q1</t>
    <phoneticPr fontId="22"/>
  </si>
  <si>
    <t>㎡</t>
    <phoneticPr fontId="34" type="noConversion"/>
  </si>
  <si>
    <r>
      <t>BEE</t>
    </r>
    <r>
      <rPr>
        <sz val="11"/>
        <rFont val="ＭＳ Ｐゴシック"/>
        <family val="3"/>
        <charset val="128"/>
      </rPr>
      <t>グラフ</t>
    </r>
    <phoneticPr fontId="22"/>
  </si>
  <si>
    <t>BEE</t>
    <phoneticPr fontId="22"/>
  </si>
  <si>
    <t>X</t>
    <phoneticPr fontId="22"/>
  </si>
  <si>
    <t>S</t>
    <phoneticPr fontId="22"/>
  </si>
  <si>
    <t>A</t>
    <phoneticPr fontId="22"/>
  </si>
  <si>
    <t>B+</t>
    <phoneticPr fontId="22"/>
  </si>
  <si>
    <t>B</t>
    <phoneticPr fontId="22"/>
  </si>
  <si>
    <t>B-</t>
    <phoneticPr fontId="22"/>
  </si>
  <si>
    <t>Rank(green star)</t>
    <phoneticPr fontId="22"/>
  </si>
  <si>
    <t xml:space="preserve"> ④上記+
　オフサイト手法</t>
    <phoneticPr fontId="22"/>
  </si>
  <si>
    <t>RC造</t>
    <rPh sb="2" eb="3">
      <t>ゾウ</t>
    </rPh>
    <phoneticPr fontId="22"/>
  </si>
  <si>
    <t>S造</t>
    <rPh sb="1" eb="2">
      <t>ゾウ</t>
    </rPh>
    <phoneticPr fontId="22"/>
  </si>
  <si>
    <t>SRC造</t>
    <rPh sb="3" eb="4">
      <t>ゾウ</t>
    </rPh>
    <phoneticPr fontId="22"/>
  </si>
  <si>
    <t>木造</t>
    <rPh sb="0" eb="2">
      <t>モクゾウ</t>
    </rPh>
    <phoneticPr fontId="22"/>
  </si>
  <si>
    <t>既存</t>
    <rPh sb="0" eb="2">
      <t>キソン</t>
    </rPh>
    <phoneticPr fontId="22"/>
  </si>
  <si>
    <t>新築</t>
    <rPh sb="0" eb="2">
      <t>シンチク</t>
    </rPh>
    <phoneticPr fontId="22"/>
  </si>
  <si>
    <t>既存学校版</t>
    <rPh sb="0" eb="2">
      <t>キソン</t>
    </rPh>
    <rPh sb="2" eb="4">
      <t>ガッコウ</t>
    </rPh>
    <rPh sb="4" eb="5">
      <t>バン</t>
    </rPh>
    <phoneticPr fontId="22"/>
  </si>
  <si>
    <t>実施設計段階</t>
    <rPh sb="0" eb="2">
      <t>ジッシ</t>
    </rPh>
    <rPh sb="2" eb="4">
      <t>セッケイ</t>
    </rPh>
    <rPh sb="4" eb="6">
      <t>ダンカイ</t>
    </rPh>
    <phoneticPr fontId="22"/>
  </si>
  <si>
    <t>基本設計段階</t>
    <rPh sb="0" eb="2">
      <t>キホン</t>
    </rPh>
    <rPh sb="2" eb="4">
      <t>セッケイ</t>
    </rPh>
    <rPh sb="4" eb="6">
      <t>ダンカイ</t>
    </rPh>
    <phoneticPr fontId="22"/>
  </si>
  <si>
    <t>上記の他、換気ボイドなど、効果を促進させる建築的工夫がなされ、その影響範囲が、建物の過半（50%以上）に及ぶもの</t>
    <rPh sb="0" eb="1">
      <t>ジョウ</t>
    </rPh>
    <rPh sb="39" eb="41">
      <t>タテモノ</t>
    </rPh>
    <phoneticPr fontId="22"/>
  </si>
  <si>
    <t>レベル４に加え、利用量が15MJ/㎡・年以上となる場合。</t>
    <rPh sb="8" eb="10">
      <t>リヨウ</t>
    </rPh>
    <rPh sb="10" eb="11">
      <t>リョウ</t>
    </rPh>
    <rPh sb="19" eb="20">
      <t>トシ</t>
    </rPh>
    <rPh sb="20" eb="22">
      <t>イジョウ</t>
    </rPh>
    <rPh sb="25" eb="27">
      <t>バアイ</t>
    </rPh>
    <phoneticPr fontId="22"/>
  </si>
  <si>
    <t>上記の工夫が、建物の大半（80%以上）に及ぶもの</t>
    <rPh sb="0" eb="1">
      <t>ジョウ</t>
    </rPh>
    <rPh sb="7" eb="9">
      <t>タテモノ</t>
    </rPh>
    <phoneticPr fontId="22"/>
  </si>
  <si>
    <t>躯体材料の耐用年数</t>
    <rPh sb="0" eb="2">
      <t>クタイ</t>
    </rPh>
    <rPh sb="2" eb="4">
      <t>ザイリョウ</t>
    </rPh>
    <rPh sb="5" eb="7">
      <t>タイヨウ</t>
    </rPh>
    <rPh sb="7" eb="9">
      <t>ネンスウ</t>
    </rPh>
    <phoneticPr fontId="22"/>
  </si>
  <si>
    <t>外壁仕上げ材の補修必要間隔</t>
    <rPh sb="0" eb="2">
      <t>ガイヘキ</t>
    </rPh>
    <rPh sb="2" eb="4">
      <t>シア</t>
    </rPh>
    <rPh sb="5" eb="6">
      <t>ザイ</t>
    </rPh>
    <rPh sb="7" eb="9">
      <t>ホシュウ</t>
    </rPh>
    <rPh sb="9" eb="11">
      <t>ヒツヨウ</t>
    </rPh>
    <rPh sb="11" eb="13">
      <t>カンカク</t>
    </rPh>
    <phoneticPr fontId="22"/>
  </si>
  <si>
    <t>主要内装仕上げ材の更新必要間隔</t>
    <rPh sb="0" eb="2">
      <t>シュヨウ</t>
    </rPh>
    <rPh sb="2" eb="4">
      <t>ナイソウ</t>
    </rPh>
    <rPh sb="4" eb="6">
      <t>シア</t>
    </rPh>
    <rPh sb="7" eb="8">
      <t>ザイ</t>
    </rPh>
    <rPh sb="9" eb="11">
      <t>コウシン</t>
    </rPh>
    <rPh sb="11" eb="13">
      <t>ヒツヨウ</t>
    </rPh>
    <rPh sb="13" eb="15">
      <t>カンカク</t>
    </rPh>
    <phoneticPr fontId="22"/>
  </si>
  <si>
    <t>空調換気ダクトの更新必要間隔</t>
    <rPh sb="0" eb="2">
      <t>クウチョウ</t>
    </rPh>
    <rPh sb="2" eb="4">
      <t>カンキ</t>
    </rPh>
    <rPh sb="8" eb="10">
      <t>コウシン</t>
    </rPh>
    <rPh sb="10" eb="12">
      <t>ヒツヨウ</t>
    </rPh>
    <rPh sb="12" eb="14">
      <t>カンカク</t>
    </rPh>
    <phoneticPr fontId="22"/>
  </si>
  <si>
    <t>空調・給排水配管の更新必要間隔</t>
    <rPh sb="0" eb="2">
      <t>クウチョウ</t>
    </rPh>
    <rPh sb="3" eb="4">
      <t>キュウ</t>
    </rPh>
    <rPh sb="4" eb="6">
      <t>ハイスイ</t>
    </rPh>
    <rPh sb="6" eb="8">
      <t>ハイカン</t>
    </rPh>
    <rPh sb="9" eb="11">
      <t>コウシン</t>
    </rPh>
    <rPh sb="11" eb="13">
      <t>ヒツヨウ</t>
    </rPh>
    <rPh sb="13" eb="15">
      <t>カンカク</t>
    </rPh>
    <phoneticPr fontId="22"/>
  </si>
  <si>
    <t>主要設備機器の更新必要間隔</t>
    <rPh sb="0" eb="2">
      <t>シュヨウ</t>
    </rPh>
    <rPh sb="2" eb="4">
      <t>セツビ</t>
    </rPh>
    <rPh sb="4" eb="6">
      <t>キキ</t>
    </rPh>
    <rPh sb="7" eb="9">
      <t>コウシン</t>
    </rPh>
    <rPh sb="9" eb="11">
      <t>ヒツヨウ</t>
    </rPh>
    <rPh sb="11" eb="13">
      <t>カンカク</t>
    </rPh>
    <phoneticPr fontId="22"/>
  </si>
  <si>
    <t>適切な更新</t>
    <rPh sb="0" eb="2">
      <t>テキセツ</t>
    </rPh>
    <rPh sb="3" eb="5">
      <t>コウシン</t>
    </rPh>
    <phoneticPr fontId="22"/>
  </si>
  <si>
    <t>(b)グリーン熱証書によるカーボンオフセット</t>
    <phoneticPr fontId="22"/>
  </si>
  <si>
    <t>（ｃ）その他カーボンクレジット</t>
    <phoneticPr fontId="22"/>
  </si>
  <si>
    <t>(d)調整後排出量（調整後排出係数による）と実排出量の差</t>
    <phoneticPr fontId="22"/>
  </si>
  <si>
    <t>○○による</t>
    <phoneticPr fontId="22"/>
  </si>
  <si>
    <t>○○</t>
    <phoneticPr fontId="22"/>
  </si>
  <si>
    <t>○○</t>
    <phoneticPr fontId="22"/>
  </si>
  <si>
    <t>○○</t>
    <phoneticPr fontId="22"/>
  </si>
  <si>
    <t>合計</t>
    <phoneticPr fontId="22"/>
  </si>
  <si>
    <t>kWh/年</t>
    <phoneticPr fontId="22"/>
  </si>
  <si>
    <t>自家消費分</t>
    <phoneticPr fontId="22"/>
  </si>
  <si>
    <t>kWh/年</t>
    <phoneticPr fontId="22"/>
  </si>
  <si>
    <t>段階</t>
    <phoneticPr fontId="22"/>
  </si>
  <si>
    <t>余剰売電分</t>
    <phoneticPr fontId="22"/>
  </si>
  <si>
    <t>通常の空調方式であるが、居住域の上下温度差や気流速度に配慮した給排気計画がされている。上下温度差及び気流速度の目標値をおおよそ5℃以内、0.35m/s程度に設定している。</t>
    <phoneticPr fontId="22"/>
  </si>
  <si>
    <t>通常の空調方式であるが、居住域の上下温度差や気流速度および診療室内の間仕切りなどに配慮した給排気計画がされている。上下温度差及び気流速度の目標値をおおよそ5℃以内、0.35m/s程度に設定している。</t>
    <phoneticPr fontId="22"/>
  </si>
  <si>
    <t>水平方向から見て光源が露出し、グレアを制限していない器具。G3分類の器具。</t>
  </si>
  <si>
    <t>水平方向から見て光源が露出しグレアを制限していない器具。G3分類の器具。</t>
  </si>
  <si>
    <t>水平方向から見て光源が露出せず、グレアを制限している器具。G2分類の器具。</t>
  </si>
  <si>
    <t>反射板形状の工夫、ルーバー・透光性カバーなどにより、十分にグレアを制限している器具。G1、G0、V分類の器具。</t>
  </si>
  <si>
    <t>レベル３</t>
    <phoneticPr fontId="22"/>
  </si>
  <si>
    <t>評価する取組みがない。</t>
  </si>
  <si>
    <t>講堂・礼拝堂</t>
    <rPh sb="0" eb="2">
      <t>コウドウ</t>
    </rPh>
    <rPh sb="3" eb="6">
      <t>レイハイドウ</t>
    </rPh>
    <phoneticPr fontId="22"/>
  </si>
  <si>
    <t>運用管理体制の計画を行っていない。</t>
    <phoneticPr fontId="22"/>
  </si>
  <si>
    <t>運用管理の組織、体制、管理方針が計画されている。</t>
    <phoneticPr fontId="22"/>
  </si>
  <si>
    <t>節水の仕組みなし。</t>
    <phoneticPr fontId="22"/>
  </si>
  <si>
    <t>節水コマなどに加えて、省水型機器（例えば擬音、節水型便器など）などを用いている。</t>
    <phoneticPr fontId="22"/>
  </si>
  <si>
    <r>
      <t xml:space="preserve">1.2.1 </t>
    </r>
    <r>
      <rPr>
        <b/>
        <sz val="10"/>
        <rFont val="ＭＳ Ｐゴシック"/>
        <family val="3"/>
        <charset val="128"/>
      </rPr>
      <t>雨水利用システム導入の有無</t>
    </r>
    <phoneticPr fontId="22"/>
  </si>
  <si>
    <t>雨水利用の仕組みなし。</t>
    <phoneticPr fontId="2"/>
  </si>
  <si>
    <t>雨水利用をしている。</t>
    <phoneticPr fontId="2"/>
  </si>
  <si>
    <t>雨水利用によって雨水利用率の20%以上を満たす。</t>
    <phoneticPr fontId="2"/>
  </si>
  <si>
    <t>事・学・物・飲・会・病・ホ・工・住</t>
    <phoneticPr fontId="22"/>
  </si>
  <si>
    <t>(該当するレベルなし)</t>
    <phoneticPr fontId="22"/>
  </si>
  <si>
    <t>(該当するレベルなし)</t>
    <phoneticPr fontId="22"/>
  </si>
  <si>
    <t>主要構造躯体におけるその他の対策</t>
    <phoneticPr fontId="22"/>
  </si>
  <si>
    <t>節水</t>
    <rPh sb="0" eb="2">
      <t>セッスイ</t>
    </rPh>
    <phoneticPr fontId="22"/>
  </si>
  <si>
    <t>共用部</t>
    <rPh sb="0" eb="2">
      <t>キョウヨウ</t>
    </rPh>
    <rPh sb="2" eb="3">
      <t>ブ</t>
    </rPh>
    <phoneticPr fontId="22"/>
  </si>
  <si>
    <t>広さ感・景観</t>
    <rPh sb="0" eb="1">
      <t>ヒロ</t>
    </rPh>
    <rPh sb="2" eb="3">
      <t>カン</t>
    </rPh>
    <rPh sb="4" eb="6">
      <t>ケイカン</t>
    </rPh>
    <phoneticPr fontId="22"/>
  </si>
  <si>
    <t>2)風下となる地域への風通しに配慮し敷地外への熱的な影響を低減する</t>
  </si>
  <si>
    <t>①建築物の配置形状計画に当たっては風下となる地域への風の通り道を遮らないよう工夫する</t>
  </si>
  <si>
    <t>②夏期の卓越風向に対する建築物の見付け面積を小さくするよう努める</t>
  </si>
  <si>
    <t>③風を回復させるよう建築物の高さ形状建築物間の隣棟間隔等を工夫する</t>
  </si>
  <si>
    <t>3)地表面被覆材に配慮し敷地外への熱的な影響を低減する</t>
  </si>
  <si>
    <t>①地表面の被覆材に配慮する</t>
  </si>
  <si>
    <t>4)建築外装材料等に配慮し敷地外への熱的な影響を低減する</t>
  </si>
  <si>
    <t>①屋根面の緑化等と高反射材料を選定するように努める</t>
  </si>
  <si>
    <t>②外壁面の材料に配慮する</t>
  </si>
  <si>
    <t>5)建築設備から大気への排熱量を低減する</t>
  </si>
  <si>
    <t>①建築物の外壁窓等を通しての熱損失の防止及び空気調和設備等に係るエネルギーの効率的利用のための措置を講じる</t>
  </si>
  <si>
    <t>②建築設備に伴う排熱は低温排熱にすること等により気温上昇の抑制に努める</t>
  </si>
  <si>
    <t>6)シミュレーション等による温熱環境悪化改善の効果の確認</t>
  </si>
  <si>
    <t>水質汚濁防止法あるいは下水道法、または地方公共団体等で定める排出基準のうち厳しい基準を満たしている。</t>
    <rPh sb="37" eb="38">
      <t>キビ</t>
    </rPh>
    <rPh sb="40" eb="42">
      <t>キジュン</t>
    </rPh>
    <phoneticPr fontId="22"/>
  </si>
  <si>
    <r>
      <t xml:space="preserve">2.3.4 </t>
    </r>
    <r>
      <rPr>
        <b/>
        <sz val="10"/>
        <rFont val="ＭＳ Ｐゴシック"/>
        <family val="3"/>
        <charset val="128"/>
      </rPr>
      <t>廃棄物処理負荷抑制</t>
    </r>
    <rPh sb="13" eb="15">
      <t>ヨクセイ</t>
    </rPh>
    <phoneticPr fontId="22"/>
  </si>
  <si>
    <t>既存は住の基準あり</t>
    <rPh sb="0" eb="2">
      <t>キソン</t>
    </rPh>
    <rPh sb="3" eb="4">
      <t>ジュウ</t>
    </rPh>
    <rPh sb="5" eb="7">
      <t>キジュン</t>
    </rPh>
    <phoneticPr fontId="22"/>
  </si>
  <si>
    <t>1)ゴミ処理負荷低減対策の計画のために、敷地内（室内・室外）から日常的に発生するゴミの種類や量を推計している場合。</t>
  </si>
  <si>
    <t>2)室内および室外にゴミの多種分別回収が可能なストックスペースを計画している場合</t>
  </si>
  <si>
    <t>3)室内や室外にゴミの分別回収容器・ボックスの設置を計画している場合</t>
  </si>
  <si>
    <t>4)有価物の計画的な回収を計画している場合（集団回収など）</t>
  </si>
  <si>
    <t>新築なし</t>
    <rPh sb="0" eb="2">
      <t>シンチク</t>
    </rPh>
    <phoneticPr fontId="22"/>
  </si>
  <si>
    <t>5)年間の廃棄物の再利用率が
　50％以上75％未満である場合　1ポイント
　75％以上である場合　　　　　　　2ポイント</t>
    <rPh sb="2" eb="4">
      <t>ネンカン</t>
    </rPh>
    <rPh sb="5" eb="8">
      <t>ハイキブツ</t>
    </rPh>
    <rPh sb="9" eb="13">
      <t>サイリヨウリツ</t>
    </rPh>
    <rPh sb="19" eb="21">
      <t>イジョウ</t>
    </rPh>
    <rPh sb="24" eb="26">
      <t>ミマン</t>
    </rPh>
    <rPh sb="29" eb="31">
      <t>バアイ</t>
    </rPh>
    <rPh sb="42" eb="44">
      <t>イジョウ</t>
    </rPh>
    <rPh sb="47" eb="49">
      <t>バアイ</t>
    </rPh>
    <phoneticPr fontId="22"/>
  </si>
  <si>
    <t>5)生ゴミの減容化・減量化、堆肥化対策を計画している場合（ディスポーザー、生ゴミの自家処理・コンポスト化、バイオマス利用など）</t>
    <rPh sb="58" eb="60">
      <t>リヨウ</t>
    </rPh>
    <phoneticPr fontId="22"/>
  </si>
  <si>
    <t>6)ビン・缶類などの減容化・減量化対策を計画している場合</t>
  </si>
  <si>
    <t>騒音・振動・悪臭の防止</t>
    <rPh sb="0" eb="2">
      <t>ソウオン</t>
    </rPh>
    <rPh sb="3" eb="5">
      <t>シンドウ</t>
    </rPh>
    <rPh sb="6" eb="8">
      <t>アクシュウ</t>
    </rPh>
    <rPh sb="9" eb="11">
      <t>ボウシ</t>
    </rPh>
    <phoneticPr fontId="22"/>
  </si>
  <si>
    <r>
      <t xml:space="preserve">3.1.1 </t>
    </r>
    <r>
      <rPr>
        <b/>
        <sz val="10"/>
        <rFont val="ＭＳ Ｐゴシック"/>
        <family val="3"/>
        <charset val="128"/>
      </rPr>
      <t>騒音</t>
    </r>
    <rPh sb="6" eb="8">
      <t>ソウオン</t>
    </rPh>
    <phoneticPr fontId="22"/>
  </si>
  <si>
    <t>騒音に関する規制基準値</t>
    <rPh sb="0" eb="2">
      <t>ソウオン</t>
    </rPh>
    <rPh sb="3" eb="4">
      <t>カン</t>
    </rPh>
    <rPh sb="6" eb="8">
      <t>キセイ</t>
    </rPh>
    <rPh sb="8" eb="11">
      <t>キジュンチ</t>
    </rPh>
    <phoneticPr fontId="22"/>
  </si>
  <si>
    <t>第1種区域</t>
    <rPh sb="0" eb="1">
      <t>ダイ</t>
    </rPh>
    <rPh sb="2" eb="3">
      <t>シュ</t>
    </rPh>
    <rPh sb="3" eb="5">
      <t>クイキ</t>
    </rPh>
    <phoneticPr fontId="22"/>
  </si>
  <si>
    <t>第２種区域</t>
    <rPh sb="3" eb="5">
      <t>クイキ</t>
    </rPh>
    <phoneticPr fontId="22"/>
  </si>
  <si>
    <t>　レベル 1</t>
  </si>
  <si>
    <t>レベル３を
満たさない</t>
  </si>
  <si>
    <t>45dB以下</t>
  </si>
  <si>
    <t>40dB以下</t>
  </si>
  <si>
    <t>35dB以下</t>
  </si>
  <si>
    <t>第３種区域</t>
    <rPh sb="0" eb="1">
      <t>ダイ</t>
    </rPh>
    <rPh sb="2" eb="3">
      <t>シュ</t>
    </rPh>
    <rPh sb="3" eb="5">
      <t>クイキ</t>
    </rPh>
    <phoneticPr fontId="22"/>
  </si>
  <si>
    <t>第４種区域</t>
    <rPh sb="0" eb="1">
      <t>ダイ</t>
    </rPh>
    <rPh sb="2" eb="3">
      <t>シュ</t>
    </rPh>
    <rPh sb="3" eb="5">
      <t>クイキ</t>
    </rPh>
    <phoneticPr fontId="22"/>
  </si>
  <si>
    <t>60dB以下</t>
  </si>
  <si>
    <t>55dB以下</t>
  </si>
  <si>
    <t>50dB以下</t>
  </si>
  <si>
    <t>70dB以下</t>
  </si>
  <si>
    <t>強風域の発生などについての事前調査や風害抑制対策を行っていない。</t>
  </si>
  <si>
    <t>事前調査や低減・回避対策等は行っているが、評価を行っていない。又は机上予測に基づいて風力階級による評価を行っているが、一部悪化している、又は立地に対応する風環境のランクを下回る測定点がある。</t>
  </si>
  <si>
    <t>光・視環境</t>
    <rPh sb="0" eb="1">
      <t>ヒカリ</t>
    </rPh>
    <rPh sb="2" eb="3">
      <t>シ</t>
    </rPh>
    <rPh sb="3" eb="5">
      <t>カンキョウ</t>
    </rPh>
    <phoneticPr fontId="22"/>
  </si>
  <si>
    <t>昼光利用</t>
    <rPh sb="0" eb="1">
      <t>ヒル</t>
    </rPh>
    <rPh sb="1" eb="2">
      <t>ヒカリ</t>
    </rPh>
    <rPh sb="2" eb="4">
      <t>リヨウ</t>
    </rPh>
    <phoneticPr fontId="22"/>
  </si>
  <si>
    <r>
      <t xml:space="preserve">3.1.1 </t>
    </r>
    <r>
      <rPr>
        <b/>
        <sz val="10"/>
        <rFont val="ＭＳ Ｐゴシック"/>
        <family val="3"/>
        <charset val="128"/>
      </rPr>
      <t>昼光率</t>
    </r>
    <rPh sb="6" eb="7">
      <t>ヒル</t>
    </rPh>
    <rPh sb="7" eb="8">
      <t>ヒカリ</t>
    </rPh>
    <rPh sb="8" eb="9">
      <t>リツ</t>
    </rPh>
    <phoneticPr fontId="22"/>
  </si>
  <si>
    <t>事・学・病・ホ・工・住</t>
    <rPh sb="10" eb="11">
      <t>ジュウ</t>
    </rPh>
    <phoneticPr fontId="22"/>
  </si>
  <si>
    <t>[昼光率] ＜1.0％</t>
  </si>
  <si>
    <t>[昼光率] ＜0.5％</t>
  </si>
  <si>
    <t>1.0％≦ [昼光率] ＜1.5％</t>
  </si>
  <si>
    <t>0.5%≦ [昼光率] ＜0.75％</t>
  </si>
  <si>
    <t>0.5％≦ [昼光率] ＜1.0％</t>
  </si>
  <si>
    <t>1.5％≦ [昼光率] ＜2.0％</t>
  </si>
  <si>
    <t>2.0％≦ [昼光率] ＜2.5％</t>
  </si>
  <si>
    <t>2.5％≦ [昼光率]</t>
  </si>
  <si>
    <r>
      <t xml:space="preserve">3.1.2 </t>
    </r>
    <r>
      <rPr>
        <b/>
        <sz val="10"/>
        <rFont val="ＭＳ Ｐゴシック"/>
        <family val="3"/>
        <charset val="128"/>
      </rPr>
      <t>方位別開口</t>
    </r>
    <rPh sb="6" eb="8">
      <t>ホウイ</t>
    </rPh>
    <rPh sb="8" eb="9">
      <t>ベツ</t>
    </rPh>
    <rPh sb="9" eb="11">
      <t>カイコウ</t>
    </rPh>
    <phoneticPr fontId="22"/>
  </si>
  <si>
    <t>南面に窓がない。</t>
  </si>
  <si>
    <t>南面に窓がある。</t>
  </si>
  <si>
    <t>南、東の両面に窓がある。</t>
  </si>
  <si>
    <r>
      <t xml:space="preserve">3.1.3 </t>
    </r>
    <r>
      <rPr>
        <b/>
        <sz val="10"/>
        <rFont val="ＭＳ Ｐゴシック"/>
        <family val="3"/>
        <charset val="128"/>
      </rPr>
      <t>昼光利用設備</t>
    </r>
    <rPh sb="6" eb="7">
      <t>ヒル</t>
    </rPh>
    <rPh sb="7" eb="8">
      <t>ヒカリ</t>
    </rPh>
    <rPh sb="8" eb="10">
      <t>リヨウ</t>
    </rPh>
    <rPh sb="10" eb="12">
      <t>セツビ</t>
    </rPh>
    <phoneticPr fontId="22"/>
  </si>
  <si>
    <t>事・学・工</t>
    <rPh sb="4" eb="5">
      <t>コウ</t>
    </rPh>
    <phoneticPr fontId="22"/>
  </si>
  <si>
    <t>病・ホ・住</t>
    <rPh sb="4" eb="5">
      <t>ジュウ</t>
    </rPh>
    <phoneticPr fontId="22"/>
  </si>
  <si>
    <t>昼光利用設備がない。</t>
  </si>
  <si>
    <t>昼光利用設備が１種類ある。</t>
  </si>
  <si>
    <t>グレア対策</t>
    <rPh sb="3" eb="5">
      <t>タイサク</t>
    </rPh>
    <phoneticPr fontId="22"/>
  </si>
  <si>
    <r>
      <t xml:space="preserve">3.2.1 </t>
    </r>
    <r>
      <rPr>
        <b/>
        <sz val="10"/>
        <rFont val="ＭＳ Ｐゴシック"/>
        <family val="3"/>
        <charset val="128"/>
      </rPr>
      <t>照明器具のグレア</t>
    </r>
    <rPh sb="6" eb="8">
      <t>ショウメイ</t>
    </rPh>
    <rPh sb="8" eb="10">
      <t>キグ</t>
    </rPh>
    <phoneticPr fontId="22"/>
  </si>
  <si>
    <t>教室の天井高がおおむね2.7mである。</t>
    <rPh sb="0" eb="2">
      <t>キョウシツ</t>
    </rPh>
    <rPh sb="3" eb="5">
      <t>テンジョウ</t>
    </rPh>
    <rPh sb="5" eb="6">
      <t>ダカ</t>
    </rPh>
    <phoneticPr fontId="22"/>
  </si>
  <si>
    <t>教室の天井高が2.7mを超えている。</t>
    <rPh sb="0" eb="2">
      <t>キョウシツ</t>
    </rPh>
    <rPh sb="3" eb="5">
      <t>テンジョウ</t>
    </rPh>
    <rPh sb="5" eb="6">
      <t>ダカ</t>
    </rPh>
    <rPh sb="12" eb="13">
      <t>コ</t>
    </rPh>
    <phoneticPr fontId="22"/>
  </si>
  <si>
    <r>
      <t xml:space="preserve">2.1.1 </t>
    </r>
    <r>
      <rPr>
        <b/>
        <sz val="10"/>
        <rFont val="ＭＳ Ｐゴシック"/>
        <family val="3"/>
        <charset val="128"/>
      </rPr>
      <t>室温</t>
    </r>
    <rPh sb="6" eb="8">
      <t>シツオン</t>
    </rPh>
    <phoneticPr fontId="22"/>
  </si>
  <si>
    <t>室温</t>
    <rPh sb="0" eb="2">
      <t>シツオン</t>
    </rPh>
    <phoneticPr fontId="22"/>
  </si>
  <si>
    <t>室温</t>
    <phoneticPr fontId="22"/>
  </si>
  <si>
    <t>冬期18℃以上、夏期28℃以下の室温を実現するための最低限の設備容量が確保されている。</t>
    <phoneticPr fontId="22"/>
  </si>
  <si>
    <t>事・学・物・会・ホ</t>
    <rPh sb="0" eb="1">
      <t>コト</t>
    </rPh>
    <rPh sb="2" eb="3">
      <t>ガク</t>
    </rPh>
    <rPh sb="4" eb="5">
      <t>モノ</t>
    </rPh>
    <rPh sb="6" eb="7">
      <t>カイ</t>
    </rPh>
    <phoneticPr fontId="22"/>
  </si>
  <si>
    <t>3つの設備管理業務の取り組みポイントが 0点</t>
    <rPh sb="3" eb="5">
      <t>セツビ</t>
    </rPh>
    <rPh sb="5" eb="7">
      <t>カンリ</t>
    </rPh>
    <rPh sb="7" eb="9">
      <t>ギョウム</t>
    </rPh>
    <rPh sb="10" eb="11">
      <t>ト</t>
    </rPh>
    <rPh sb="12" eb="13">
      <t>ク</t>
    </rPh>
    <rPh sb="21" eb="22">
      <t>テン</t>
    </rPh>
    <phoneticPr fontId="22"/>
  </si>
  <si>
    <t>3つの設備管理業務の取り組みポイントが 1～2点</t>
    <rPh sb="3" eb="5">
      <t>セツビ</t>
    </rPh>
    <rPh sb="5" eb="7">
      <t>カンリ</t>
    </rPh>
    <rPh sb="7" eb="9">
      <t>ギョウム</t>
    </rPh>
    <rPh sb="10" eb="11">
      <t>ト</t>
    </rPh>
    <rPh sb="12" eb="13">
      <t>ク</t>
    </rPh>
    <rPh sb="23" eb="24">
      <t>テン</t>
    </rPh>
    <phoneticPr fontId="22"/>
  </si>
  <si>
    <t>3つの設備管理業務の取り組みポイントが 3点</t>
    <rPh sb="3" eb="5">
      <t>セツビ</t>
    </rPh>
    <rPh sb="5" eb="7">
      <t>カンリ</t>
    </rPh>
    <rPh sb="7" eb="9">
      <t>ギョウム</t>
    </rPh>
    <rPh sb="10" eb="11">
      <t>ト</t>
    </rPh>
    <rPh sb="12" eb="13">
      <t>ク</t>
    </rPh>
    <rPh sb="21" eb="22">
      <t>テン</t>
    </rPh>
    <phoneticPr fontId="22"/>
  </si>
  <si>
    <t>Ⅰ 空調管理の評価</t>
  </si>
  <si>
    <t>建築物環境衛生管理基準の空調設備において不適切項目がある。</t>
    <rPh sb="0" eb="3">
      <t>ケンチクブツ</t>
    </rPh>
    <rPh sb="3" eb="5">
      <t>カンキョウ</t>
    </rPh>
    <rPh sb="5" eb="7">
      <t>エイセイ</t>
    </rPh>
    <rPh sb="7" eb="9">
      <t>カンリ</t>
    </rPh>
    <rPh sb="9" eb="11">
      <t>キジュン</t>
    </rPh>
    <rPh sb="12" eb="14">
      <t>クウチョウ</t>
    </rPh>
    <rPh sb="14" eb="16">
      <t>セツビ</t>
    </rPh>
    <rPh sb="20" eb="23">
      <t>フテキセツ</t>
    </rPh>
    <rPh sb="23" eb="25">
      <t>コウモク</t>
    </rPh>
    <phoneticPr fontId="22"/>
  </si>
  <si>
    <t>建築物環境衛生管理基準を満たし、フィルターの定期的な点検・清掃を行っている。</t>
    <rPh sb="0" eb="3">
      <t>ケンチクブツ</t>
    </rPh>
    <rPh sb="3" eb="5">
      <t>カンキョウ</t>
    </rPh>
    <rPh sb="5" eb="7">
      <t>エイセイ</t>
    </rPh>
    <rPh sb="7" eb="9">
      <t>カンリ</t>
    </rPh>
    <rPh sb="9" eb="11">
      <t>キジュン</t>
    </rPh>
    <rPh sb="12" eb="13">
      <t>ミ</t>
    </rPh>
    <rPh sb="22" eb="25">
      <t>テイキテキ</t>
    </rPh>
    <rPh sb="26" eb="28">
      <t>テンケン</t>
    </rPh>
    <rPh sb="29" eb="31">
      <t>セイソウ</t>
    </rPh>
    <rPh sb="32" eb="33">
      <t>オコナ</t>
    </rPh>
    <phoneticPr fontId="22"/>
  </si>
  <si>
    <t>建築物環境衛生管理基準を満たした以上に、特別な対策を行っている。</t>
    <rPh sb="0" eb="3">
      <t>ケンチクブツ</t>
    </rPh>
    <rPh sb="3" eb="5">
      <t>カンキョウ</t>
    </rPh>
    <rPh sb="5" eb="7">
      <t>エイセイ</t>
    </rPh>
    <rPh sb="7" eb="9">
      <t>カンリ</t>
    </rPh>
    <rPh sb="9" eb="11">
      <t>キジュン</t>
    </rPh>
    <rPh sb="12" eb="13">
      <t>ミ</t>
    </rPh>
    <rPh sb="16" eb="18">
      <t>イジョウ</t>
    </rPh>
    <rPh sb="20" eb="22">
      <t>トクベツ</t>
    </rPh>
    <rPh sb="23" eb="25">
      <t>タイサク</t>
    </rPh>
    <rPh sb="26" eb="27">
      <t>オコナ</t>
    </rPh>
    <phoneticPr fontId="22"/>
  </si>
  <si>
    <t>Ⅱ ねずみ等の点検・防除の評価</t>
    <rPh sb="5" eb="6">
      <t>トウ</t>
    </rPh>
    <rPh sb="7" eb="9">
      <t>テンケン</t>
    </rPh>
    <rPh sb="10" eb="12">
      <t>ボウジョ</t>
    </rPh>
    <rPh sb="13" eb="15">
      <t>ヒョウカ</t>
    </rPh>
    <phoneticPr fontId="22"/>
  </si>
  <si>
    <t>建築物環境衛生管理基準の害虫駆除において不適切項目がある。</t>
    <rPh sb="0" eb="3">
      <t>ケンチクブツ</t>
    </rPh>
    <rPh sb="3" eb="5">
      <t>カンキョウ</t>
    </rPh>
    <rPh sb="5" eb="7">
      <t>エイセイ</t>
    </rPh>
    <rPh sb="7" eb="9">
      <t>カンリ</t>
    </rPh>
    <rPh sb="9" eb="11">
      <t>キジュン</t>
    </rPh>
    <rPh sb="12" eb="14">
      <t>ガイチュウ</t>
    </rPh>
    <rPh sb="14" eb="16">
      <t>クジョ</t>
    </rPh>
    <rPh sb="20" eb="23">
      <t>フテキセツ</t>
    </rPh>
    <rPh sb="23" eb="25">
      <t>コウモク</t>
    </rPh>
    <phoneticPr fontId="22"/>
  </si>
  <si>
    <t>建物全体・共用部</t>
    <rPh sb="0" eb="2">
      <t>タテモノ</t>
    </rPh>
    <rPh sb="2" eb="4">
      <t>ゼンタイ</t>
    </rPh>
    <rPh sb="5" eb="7">
      <t>キョウヨウ</t>
    </rPh>
    <rPh sb="7" eb="8">
      <t>ブ</t>
    </rPh>
    <phoneticPr fontId="22"/>
  </si>
  <si>
    <t>小中高</t>
    <rPh sb="0" eb="3">
      <t>ショウチュウコウ</t>
    </rPh>
    <phoneticPr fontId="22"/>
  </si>
  <si>
    <t>住居・宿泊部</t>
    <rPh sb="0" eb="2">
      <t>ジュウキョ</t>
    </rPh>
    <rPh sb="3" eb="5">
      <t>シュクハク</t>
    </rPh>
    <rPh sb="5" eb="6">
      <t>ブ</t>
    </rPh>
    <phoneticPr fontId="22"/>
  </si>
  <si>
    <t>全体・共有</t>
    <rPh sb="0" eb="2">
      <t>ゼンタイ</t>
    </rPh>
    <rPh sb="3" eb="5">
      <t>キョウユウ</t>
    </rPh>
    <phoneticPr fontId="22"/>
  </si>
  <si>
    <t>住居・宿泊</t>
    <rPh sb="0" eb="2">
      <t>ジュウキョ</t>
    </rPh>
    <rPh sb="3" eb="5">
      <t>シュクハク</t>
    </rPh>
    <phoneticPr fontId="22"/>
  </si>
  <si>
    <t>項目名</t>
    <rPh sb="0" eb="2">
      <t>コウモク</t>
    </rPh>
    <rPh sb="2" eb="3">
      <t>メイ</t>
    </rPh>
    <phoneticPr fontId="22"/>
  </si>
  <si>
    <t>延面積</t>
    <rPh sb="0" eb="1">
      <t>ノ</t>
    </rPh>
    <rPh sb="1" eb="3">
      <t>メンセキ</t>
    </rPh>
    <phoneticPr fontId="22"/>
  </si>
  <si>
    <t>延面積比率</t>
    <rPh sb="0" eb="1">
      <t>ノ</t>
    </rPh>
    <rPh sb="1" eb="3">
      <t>メンセキ</t>
    </rPh>
    <rPh sb="3" eb="5">
      <t>ヒリツ</t>
    </rPh>
    <phoneticPr fontId="22"/>
  </si>
  <si>
    <r>
      <t>Q-1</t>
    </r>
    <r>
      <rPr>
        <sz val="11"/>
        <rFont val="ＭＳ Ｐゴシック"/>
        <family val="3"/>
        <charset val="128"/>
      </rPr>
      <t>　室内環境</t>
    </r>
    <rPh sb="4" eb="6">
      <t>シツナイ</t>
    </rPh>
    <rPh sb="6" eb="8">
      <t>カンキョウ</t>
    </rPh>
    <phoneticPr fontId="22"/>
  </si>
  <si>
    <r>
      <t xml:space="preserve">Q-3 </t>
    </r>
    <r>
      <rPr>
        <sz val="11"/>
        <rFont val="ＭＳ Ｐゴシック"/>
        <family val="3"/>
        <charset val="128"/>
      </rPr>
      <t>室外環境</t>
    </r>
    <r>
      <rPr>
        <sz val="11"/>
        <rFont val="Arial"/>
        <family val="2"/>
      </rPr>
      <t>(</t>
    </r>
    <r>
      <rPr>
        <sz val="11"/>
        <rFont val="ＭＳ Ｐゴシック"/>
        <family val="3"/>
        <charset val="128"/>
      </rPr>
      <t>敷地内</t>
    </r>
    <r>
      <rPr>
        <sz val="11"/>
        <rFont val="Arial"/>
        <family val="2"/>
      </rPr>
      <t>)</t>
    </r>
    <rPh sb="11" eb="12">
      <t>ナイ</t>
    </rPh>
    <phoneticPr fontId="22"/>
  </si>
  <si>
    <t>音環境</t>
  </si>
  <si>
    <t>機能性</t>
    <rPh sb="0" eb="3">
      <t>キノウセイ</t>
    </rPh>
    <phoneticPr fontId="22"/>
  </si>
  <si>
    <t>生物資源</t>
    <rPh sb="0" eb="2">
      <t>セイブツ</t>
    </rPh>
    <rPh sb="2" eb="4">
      <t>シゲン</t>
    </rPh>
    <phoneticPr fontId="22"/>
  </si>
  <si>
    <t>温熱環境</t>
  </si>
  <si>
    <t>耐用性・信頼性</t>
    <rPh sb="1" eb="2">
      <t>ヨウ</t>
    </rPh>
    <rPh sb="4" eb="7">
      <t>シンライセイ</t>
    </rPh>
    <phoneticPr fontId="22"/>
  </si>
  <si>
    <t>光・視環境</t>
  </si>
  <si>
    <t>対応性･更新性</t>
    <rPh sb="0" eb="3">
      <t>タイオウセイ</t>
    </rPh>
    <rPh sb="4" eb="6">
      <t>コウシン</t>
    </rPh>
    <rPh sb="6" eb="7">
      <t>セイ</t>
    </rPh>
    <phoneticPr fontId="22"/>
  </si>
  <si>
    <t>建築物の環境品質</t>
    <rPh sb="0" eb="3">
      <t>ケンチクブツ</t>
    </rPh>
    <rPh sb="4" eb="6">
      <t>カンキョウ</t>
    </rPh>
    <rPh sb="6" eb="8">
      <t>ヒンシツ</t>
    </rPh>
    <phoneticPr fontId="22"/>
  </si>
  <si>
    <t>住居宿泊・共用部面積比率</t>
    <rPh sb="0" eb="2">
      <t>ジュウキョ</t>
    </rPh>
    <rPh sb="2" eb="4">
      <t>シュクハク</t>
    </rPh>
    <rPh sb="5" eb="7">
      <t>キョウヨウ</t>
    </rPh>
    <rPh sb="7" eb="8">
      <t>ブ</t>
    </rPh>
    <rPh sb="8" eb="10">
      <t>メンセキ</t>
    </rPh>
    <rPh sb="10" eb="12">
      <t>ヒリツ</t>
    </rPh>
    <phoneticPr fontId="22"/>
  </si>
  <si>
    <t xml:space="preserve"> Q</t>
  </si>
  <si>
    <t xml:space="preserve"> Q1</t>
  </si>
  <si>
    <t xml:space="preserve"> Q1 1</t>
  </si>
  <si>
    <t>1.1.1</t>
  </si>
  <si>
    <t xml:space="preserve"> Q1 1.1</t>
  </si>
  <si>
    <t>室内騒音レベル</t>
    <rPh sb="0" eb="2">
      <t>シツナイ</t>
    </rPh>
    <rPh sb="2" eb="4">
      <t>ソウオン</t>
    </rPh>
    <phoneticPr fontId="22"/>
  </si>
  <si>
    <t>1.1.2</t>
  </si>
  <si>
    <t>設備騒音対策</t>
  </si>
  <si>
    <t xml:space="preserve"> Q1 1.2</t>
  </si>
  <si>
    <t xml:space="preserve"> Q1 2</t>
  </si>
  <si>
    <t>年間延床面積あたり削減量</t>
    <rPh sb="0" eb="2">
      <t>ネンカン</t>
    </rPh>
    <rPh sb="2" eb="3">
      <t>ノ</t>
    </rPh>
    <rPh sb="3" eb="6">
      <t>ユカメンセキ</t>
    </rPh>
    <rPh sb="9" eb="11">
      <t>サクゲン</t>
    </rPh>
    <rPh sb="11" eb="12">
      <t>リョウ</t>
    </rPh>
    <phoneticPr fontId="22"/>
  </si>
  <si>
    <t>削減率　％</t>
    <rPh sb="0" eb="2">
      <t>サクゲン</t>
    </rPh>
    <rPh sb="2" eb="3">
      <t>リツ</t>
    </rPh>
    <phoneticPr fontId="22"/>
  </si>
  <si>
    <t>%</t>
    <phoneticPr fontId="22"/>
  </si>
  <si>
    <t>運用エネルギー消費量</t>
    <rPh sb="0" eb="2">
      <t>ｳﾝﾖｳ</t>
    </rPh>
    <rPh sb="7" eb="10">
      <t>ｼｮｳﾋﾘｮｳ</t>
    </rPh>
    <phoneticPr fontId="34" type="noConversion"/>
  </si>
  <si>
    <r>
      <t>ＭＪ</t>
    </r>
    <r>
      <rPr>
        <sz val="10"/>
        <rFont val="Arial"/>
        <family val="2"/>
      </rPr>
      <t>/</t>
    </r>
    <r>
      <rPr>
        <sz val="10"/>
        <rFont val="ＭＳ Ｐゴシック"/>
        <family val="3"/>
        <charset val="128"/>
      </rPr>
      <t>年㎡</t>
    </r>
    <rPh sb="3" eb="4">
      <t>ネン</t>
    </rPh>
    <phoneticPr fontId="22"/>
  </si>
  <si>
    <r>
      <t>ＭＪ</t>
    </r>
    <r>
      <rPr>
        <sz val="10"/>
        <rFont val="Arial"/>
        <family val="2"/>
      </rPr>
      <t>/</t>
    </r>
    <r>
      <rPr>
        <sz val="10"/>
        <rFont val="ＭＳ Ｐゴシック"/>
        <family val="3"/>
        <charset val="128"/>
      </rPr>
      <t>人時</t>
    </r>
    <rPh sb="3" eb="4">
      <t>ニン</t>
    </rPh>
    <rPh sb="4" eb="5">
      <t>ジ</t>
    </rPh>
    <phoneticPr fontId="22"/>
  </si>
  <si>
    <r>
      <t>運用</t>
    </r>
    <r>
      <rPr>
        <sz val="10"/>
        <rFont val="Arial"/>
        <family val="2"/>
      </rPr>
      <t>CO</t>
    </r>
    <r>
      <rPr>
        <vertAlign val="subscript"/>
        <sz val="10"/>
        <rFont val="Arial"/>
        <family val="2"/>
      </rPr>
      <t>2</t>
    </r>
    <r>
      <rPr>
        <sz val="10"/>
        <rFont val="ＭＳ Ｐゴシック"/>
        <family val="3"/>
        <charset val="128"/>
      </rPr>
      <t>排出量</t>
    </r>
    <rPh sb="0" eb="2">
      <t>ｳﾝﾖｳ</t>
    </rPh>
    <rPh sb="5" eb="7">
      <t>ﾊｲｼｭﾂ</t>
    </rPh>
    <rPh sb="7" eb="8">
      <t>ﾘｮｳ</t>
    </rPh>
    <phoneticPr fontId="34" type="noConversion"/>
  </si>
  <si>
    <r>
      <t>kg-CO</t>
    </r>
    <r>
      <rPr>
        <vertAlign val="subscript"/>
        <sz val="10"/>
        <rFont val="Arial"/>
        <family val="2"/>
      </rPr>
      <t>2</t>
    </r>
    <r>
      <rPr>
        <sz val="10"/>
        <rFont val="Arial"/>
        <family val="2"/>
      </rPr>
      <t>/</t>
    </r>
    <r>
      <rPr>
        <sz val="10"/>
        <rFont val="ＭＳ Ｐゴシック"/>
        <family val="3"/>
        <charset val="128"/>
      </rPr>
      <t>年㎡</t>
    </r>
    <rPh sb="7" eb="8">
      <t>ネン</t>
    </rPh>
    <phoneticPr fontId="22"/>
  </si>
  <si>
    <r>
      <t>kg-CO</t>
    </r>
    <r>
      <rPr>
        <vertAlign val="subscript"/>
        <sz val="10"/>
        <rFont val="Arial"/>
        <family val="2"/>
      </rPr>
      <t>2</t>
    </r>
    <r>
      <rPr>
        <sz val="10"/>
        <rFont val="Arial"/>
        <family val="2"/>
      </rPr>
      <t>/</t>
    </r>
    <r>
      <rPr>
        <sz val="10"/>
        <rFont val="ＭＳ Ｐゴシック"/>
        <family val="3"/>
        <charset val="128"/>
      </rPr>
      <t>人時</t>
    </r>
    <rPh sb="7" eb="8">
      <t>ニン</t>
    </rPh>
    <rPh sb="8" eb="9">
      <t>ジ</t>
    </rPh>
    <phoneticPr fontId="22"/>
  </si>
  <si>
    <t>水消費量</t>
    <rPh sb="0" eb="1">
      <t>ﾐｽﾞ</t>
    </rPh>
    <rPh sb="1" eb="4">
      <t>ｼｮｳﾋﾘｮｳ</t>
    </rPh>
    <phoneticPr fontId="34" type="noConversion"/>
  </si>
  <si>
    <r>
      <t>m</t>
    </r>
    <r>
      <rPr>
        <vertAlign val="superscript"/>
        <sz val="10"/>
        <rFont val="Arial"/>
        <family val="2"/>
      </rPr>
      <t>3</t>
    </r>
    <r>
      <rPr>
        <sz val="10"/>
        <rFont val="Arial"/>
        <family val="2"/>
      </rPr>
      <t>/</t>
    </r>
    <r>
      <rPr>
        <sz val="10"/>
        <rFont val="ＭＳ Ｐゴシック"/>
        <family val="3"/>
        <charset val="128"/>
      </rPr>
      <t>年㎡</t>
    </r>
    <rPh sb="3" eb="4">
      <t>ネン</t>
    </rPh>
    <phoneticPr fontId="22"/>
  </si>
  <si>
    <r>
      <t>m</t>
    </r>
    <r>
      <rPr>
        <vertAlign val="superscript"/>
        <sz val="10"/>
        <rFont val="Arial"/>
        <family val="2"/>
      </rPr>
      <t>3</t>
    </r>
    <r>
      <rPr>
        <sz val="10"/>
        <rFont val="Arial"/>
        <family val="2"/>
      </rPr>
      <t>/</t>
    </r>
    <r>
      <rPr>
        <sz val="10"/>
        <rFont val="ＭＳ Ｐゴシック"/>
        <family val="3"/>
        <charset val="128"/>
      </rPr>
      <t>人時</t>
    </r>
    <rPh sb="3" eb="4">
      <t>ニン</t>
    </rPh>
    <rPh sb="4" eb="5">
      <t>ジ</t>
    </rPh>
    <phoneticPr fontId="22"/>
  </si>
  <si>
    <r>
      <t>LCCO</t>
    </r>
    <r>
      <rPr>
        <vertAlign val="subscript"/>
        <sz val="10"/>
        <rFont val="Arial"/>
        <family val="2"/>
      </rPr>
      <t>2</t>
    </r>
    <r>
      <rPr>
        <sz val="10"/>
        <rFont val="ＭＳ Ｐゴシック"/>
        <family val="3"/>
        <charset val="128"/>
      </rPr>
      <t>排出量</t>
    </r>
    <rPh sb="5" eb="7">
      <t>ハイシュツ</t>
    </rPh>
    <rPh sb="7" eb="8">
      <t>リョウ</t>
    </rPh>
    <phoneticPr fontId="22"/>
  </si>
  <si>
    <r>
      <t>LC</t>
    </r>
    <r>
      <rPr>
        <sz val="10"/>
        <rFont val="ＭＳ Ｐゴシック"/>
        <family val="3"/>
        <charset val="128"/>
      </rPr>
      <t>廃棄物量</t>
    </r>
    <rPh sb="2" eb="5">
      <t>ハイキブツ</t>
    </rPh>
    <rPh sb="5" eb="6">
      <t>リョウ</t>
    </rPh>
    <phoneticPr fontId="22"/>
  </si>
  <si>
    <r>
      <t>ｔ</t>
    </r>
    <r>
      <rPr>
        <sz val="10"/>
        <rFont val="Arial"/>
        <family val="2"/>
      </rPr>
      <t>/</t>
    </r>
    <r>
      <rPr>
        <sz val="10"/>
        <rFont val="ＭＳ Ｐゴシック"/>
        <family val="3"/>
        <charset val="128"/>
      </rPr>
      <t>年㎡</t>
    </r>
    <rPh sb="2" eb="3">
      <t>ネン</t>
    </rPh>
    <phoneticPr fontId="22"/>
  </si>
  <si>
    <r>
      <t>ｔ</t>
    </r>
    <r>
      <rPr>
        <sz val="10"/>
        <rFont val="Arial"/>
        <family val="2"/>
      </rPr>
      <t>/</t>
    </r>
    <r>
      <rPr>
        <sz val="10"/>
        <rFont val="ＭＳ Ｐゴシック"/>
        <family val="3"/>
        <charset val="128"/>
      </rPr>
      <t>人時</t>
    </r>
    <rPh sb="2" eb="3">
      <t>ニン</t>
    </rPh>
    <rPh sb="3" eb="4">
      <t>ジ</t>
    </rPh>
    <phoneticPr fontId="22"/>
  </si>
  <si>
    <r>
      <t>LC</t>
    </r>
    <r>
      <rPr>
        <sz val="10"/>
        <rFont val="ＭＳ Ｐゴシック"/>
        <family val="3"/>
        <charset val="128"/>
      </rPr>
      <t>資源消費量</t>
    </r>
    <rPh sb="2" eb="4">
      <t>シゲン</t>
    </rPh>
    <rPh sb="4" eb="6">
      <t>ショウヒ</t>
    </rPh>
    <rPh sb="6" eb="7">
      <t>リョウ</t>
    </rPh>
    <phoneticPr fontId="22"/>
  </si>
  <si>
    <r>
      <t>（</t>
    </r>
    <r>
      <rPr>
        <b/>
        <sz val="12"/>
        <color indexed="9"/>
        <rFont val="Arial"/>
        <family val="2"/>
      </rPr>
      <t>3</t>
    </r>
    <r>
      <rPr>
        <b/>
        <sz val="12"/>
        <color indexed="9"/>
        <rFont val="ＭＳ Ｐゴシック"/>
        <family val="3"/>
        <charset val="128"/>
      </rPr>
      <t>）</t>
    </r>
    <r>
      <rPr>
        <b/>
        <sz val="12"/>
        <color indexed="9"/>
        <rFont val="Arial"/>
        <family val="2"/>
      </rPr>
      <t>-2</t>
    </r>
    <r>
      <rPr>
        <b/>
        <sz val="12"/>
        <color indexed="9"/>
        <rFont val="ＭＳ Ｐゴシック"/>
        <family val="3"/>
        <charset val="128"/>
      </rPr>
      <t>　デザインプロセスの評価</t>
    </r>
    <rPh sb="15" eb="17">
      <t>ﾋｮｳｶ</t>
    </rPh>
    <phoneticPr fontId="34" type="noConversion"/>
  </si>
  <si>
    <t>設計段階</t>
    <rPh sb="0" eb="2">
      <t>ｾｯｹｲ</t>
    </rPh>
    <rPh sb="2" eb="4">
      <t>ﾀﾞﾝｶｲ</t>
    </rPh>
    <phoneticPr fontId="34" type="noConversion"/>
  </si>
  <si>
    <t>建設段階</t>
    <rPh sb="0" eb="2">
      <t>ｹﾝｾﾂ</t>
    </rPh>
    <rPh sb="2" eb="4">
      <t>ﾀﾞﾝｶｲ</t>
    </rPh>
    <phoneticPr fontId="34" type="noConversion"/>
  </si>
  <si>
    <t>有資格者による設計</t>
    <rPh sb="0" eb="4">
      <t>ﾕｳｼｶｸｼｬ</t>
    </rPh>
    <rPh sb="7" eb="9">
      <t>ｾｯｹｲ</t>
    </rPh>
    <phoneticPr fontId="34" type="noConversion"/>
  </si>
  <si>
    <t>環境管理計画</t>
    <rPh sb="0" eb="2">
      <t>ｶﾝｷｮｳ</t>
    </rPh>
    <rPh sb="2" eb="4">
      <t>ｶﾝﾘ</t>
    </rPh>
    <rPh sb="4" eb="6">
      <t>ｹｲｶｸ</t>
    </rPh>
    <phoneticPr fontId="34" type="noConversion"/>
  </si>
  <si>
    <r>
      <t>凡例　　　　　</t>
    </r>
    <r>
      <rPr>
        <sz val="8"/>
        <color indexed="10"/>
        <rFont val="Arial"/>
        <family val="2"/>
      </rPr>
      <t>Q</t>
    </r>
    <r>
      <rPr>
        <sz val="8"/>
        <color indexed="10"/>
        <rFont val="ＭＳ Ｐゴシック"/>
        <family val="3"/>
        <charset val="128"/>
      </rPr>
      <t>：</t>
    </r>
    <rPh sb="0" eb="2">
      <t>ハンレイ</t>
    </rPh>
    <phoneticPr fontId="22"/>
  </si>
  <si>
    <t>(該当するレベルなし)</t>
    <phoneticPr fontId="22"/>
  </si>
  <si>
    <t>-</t>
    <phoneticPr fontId="22"/>
  </si>
  <si>
    <t>映り込み対策</t>
    <rPh sb="0" eb="1">
      <t>ウツ</t>
    </rPh>
    <rPh sb="2" eb="3">
      <t>コ</t>
    </rPh>
    <rPh sb="4" eb="6">
      <t>タイサク</t>
    </rPh>
    <phoneticPr fontId="22"/>
  </si>
  <si>
    <t>照度</t>
    <rPh sb="0" eb="2">
      <t>ｼｮｳﾄﾞ</t>
    </rPh>
    <phoneticPr fontId="34" type="noConversion"/>
  </si>
  <si>
    <t>照度</t>
    <rPh sb="0" eb="2">
      <t>ショウド</t>
    </rPh>
    <phoneticPr fontId="22"/>
  </si>
  <si>
    <t>照度均斉度</t>
    <rPh sb="0" eb="2">
      <t>ショウド</t>
    </rPh>
    <rPh sb="2" eb="3">
      <t>タモツ</t>
    </rPh>
    <rPh sb="3" eb="4">
      <t>サイ</t>
    </rPh>
    <rPh sb="4" eb="5">
      <t>タビ</t>
    </rPh>
    <phoneticPr fontId="22"/>
  </si>
  <si>
    <t>照明制御</t>
    <rPh sb="0" eb="2">
      <t>ショウメイ</t>
    </rPh>
    <rPh sb="2" eb="4">
      <t>セイギョ</t>
    </rPh>
    <phoneticPr fontId="22"/>
  </si>
  <si>
    <t>空気質環境</t>
    <rPh sb="0" eb="2">
      <t>クウキ</t>
    </rPh>
    <rPh sb="2" eb="3">
      <t>シツ</t>
    </rPh>
    <rPh sb="3" eb="5">
      <t>カンキョウ</t>
    </rPh>
    <phoneticPr fontId="22"/>
  </si>
  <si>
    <t>発生源対策</t>
    <rPh sb="0" eb="3">
      <t>ﾊｯｾｲｹﾞﾝ</t>
    </rPh>
    <rPh sb="3" eb="5">
      <t>ﾀｲｻｸ</t>
    </rPh>
    <phoneticPr fontId="34" type="noConversion"/>
  </si>
  <si>
    <t>化学汚染物質</t>
    <rPh sb="0" eb="2">
      <t>カガク</t>
    </rPh>
    <rPh sb="4" eb="6">
      <t>ブッシツ</t>
    </rPh>
    <phoneticPr fontId="22"/>
  </si>
  <si>
    <t>アスベスト対策</t>
    <rPh sb="5" eb="7">
      <t>タイサク</t>
    </rPh>
    <phoneticPr fontId="22"/>
  </si>
  <si>
    <t>ダニ・カビ等</t>
    <rPh sb="5" eb="6">
      <t>ナド</t>
    </rPh>
    <phoneticPr fontId="22"/>
  </si>
  <si>
    <t>レジオネラ対策</t>
    <rPh sb="5" eb="7">
      <t>タイサク</t>
    </rPh>
    <phoneticPr fontId="22"/>
  </si>
  <si>
    <t>換気</t>
    <rPh sb="0" eb="2">
      <t>ｶﾝｷ</t>
    </rPh>
    <phoneticPr fontId="34" type="noConversion"/>
  </si>
  <si>
    <t>換気量</t>
    <rPh sb="0" eb="3">
      <t>カンキリョウ</t>
    </rPh>
    <phoneticPr fontId="22"/>
  </si>
  <si>
    <t>廃棄物処理負荷抑制</t>
    <rPh sb="0" eb="3">
      <t>ﾊｲｷﾌﾞﾂ</t>
    </rPh>
    <rPh sb="3" eb="5">
      <t>ｼｮﾘ</t>
    </rPh>
    <rPh sb="5" eb="7">
      <t>ﾌｶ</t>
    </rPh>
    <rPh sb="7" eb="9">
      <t>ﾖｸｾｲ</t>
    </rPh>
    <phoneticPr fontId="34" type="noConversion"/>
  </si>
  <si>
    <t>周辺環境への配慮</t>
    <rPh sb="0" eb="2">
      <t>ｼｭｳﾍﾝ</t>
    </rPh>
    <rPh sb="2" eb="4">
      <t>ｶﾝｷｮｳ</t>
    </rPh>
    <rPh sb="6" eb="8">
      <t>ﾊｲﾘｮ</t>
    </rPh>
    <phoneticPr fontId="34" type="noConversion"/>
  </si>
  <si>
    <t>騒音・振動・悪臭の防止</t>
    <rPh sb="0" eb="2">
      <t>ｿｳｵﾝ</t>
    </rPh>
    <rPh sb="3" eb="5">
      <t>ｼﾝﾄﾞｳ</t>
    </rPh>
    <rPh sb="6" eb="8">
      <t>ｱｸｼｭｳ</t>
    </rPh>
    <rPh sb="9" eb="11">
      <t>ﾎﾞｳｼ</t>
    </rPh>
    <phoneticPr fontId="34" type="noConversion"/>
  </si>
  <si>
    <t>騒音</t>
    <rPh sb="0" eb="2">
      <t>ｿｳｵﾝ</t>
    </rPh>
    <phoneticPr fontId="34" type="noConversion"/>
  </si>
  <si>
    <t>砂塵の抑制</t>
    <rPh sb="0" eb="2">
      <t>ｻｼﾞﾝ</t>
    </rPh>
    <rPh sb="3" eb="5">
      <t>ﾖｸｾｲ</t>
    </rPh>
    <phoneticPr fontId="34" type="noConversion"/>
  </si>
  <si>
    <t>光害の抑制</t>
    <rPh sb="0" eb="2">
      <t>ﾋｶﾘｶﾞｲ</t>
    </rPh>
    <rPh sb="3" eb="5">
      <t>ﾖｸｾｲ</t>
    </rPh>
    <phoneticPr fontId="34" type="noConversion"/>
  </si>
  <si>
    <t>屋外照明及び屋内照明のうち外に漏れる光への対策</t>
    <rPh sb="0" eb="2">
      <t>ｵｸｶﾞｲ</t>
    </rPh>
    <rPh sb="2" eb="4">
      <t>ｼｮｳﾒｲ</t>
    </rPh>
    <rPh sb="4" eb="5">
      <t>ｵﾖ</t>
    </rPh>
    <rPh sb="6" eb="8">
      <t>ｵｸﾅｲ</t>
    </rPh>
    <rPh sb="8" eb="10">
      <t>ｼｮｳﾒｲ</t>
    </rPh>
    <rPh sb="13" eb="14">
      <t>ｿﾄ</t>
    </rPh>
    <rPh sb="15" eb="16">
      <t>ﾓ</t>
    </rPh>
    <rPh sb="18" eb="19">
      <t>ﾋｶﾘ</t>
    </rPh>
    <rPh sb="21" eb="23">
      <t>ﾀｲｻｸ</t>
    </rPh>
    <phoneticPr fontId="34" type="noConversion"/>
  </si>
  <si>
    <t>一次エネルギー消費量（規模別）　[MJ/年㎡]　　延床面積の区分</t>
    <rPh sb="0" eb="2">
      <t>イチジ</t>
    </rPh>
    <rPh sb="7" eb="10">
      <t>ショウヒリョウ</t>
    </rPh>
    <rPh sb="11" eb="13">
      <t>キボ</t>
    </rPh>
    <rPh sb="13" eb="14">
      <t>ベツ</t>
    </rPh>
    <rPh sb="20" eb="21">
      <t>ネン</t>
    </rPh>
    <rPh sb="25" eb="27">
      <t>ノベユカ</t>
    </rPh>
    <rPh sb="27" eb="29">
      <t>メンセキ</t>
    </rPh>
    <rPh sb="30" eb="32">
      <t>クブン</t>
    </rPh>
    <phoneticPr fontId="5"/>
  </si>
  <si>
    <t>出典：</t>
    <rPh sb="0" eb="2">
      <t>シュッテン</t>
    </rPh>
    <phoneticPr fontId="22"/>
  </si>
  <si>
    <t>モニタリング</t>
    <phoneticPr fontId="22"/>
  </si>
  <si>
    <t xml:space="preserve">※1) 概ね、エネルギー消費全体の半分以上の用途構成の把握が可能なモニタリングが計画されていること。
</t>
    <phoneticPr fontId="22"/>
  </si>
  <si>
    <t>※2) 概ね4種類以上の効率評価を行えること。また、空調や照明、換気など系統数が多い場合は、代表系統での評価から全体の推定を行なうことも可</t>
    <phoneticPr fontId="22"/>
  </si>
  <si>
    <t>レベル４に加え、主要な設備システムに関しては、システム効率※2) の評価を行うことにより、システムの性能の評価が行えること。</t>
    <phoneticPr fontId="22"/>
  </si>
  <si>
    <t>定性評価</t>
    <rPh sb="0" eb="2">
      <t>テイセイ</t>
    </rPh>
    <rPh sb="2" eb="4">
      <t>ヒョウカ</t>
    </rPh>
    <phoneticPr fontId="22"/>
  </si>
  <si>
    <t>定量評価</t>
    <rPh sb="0" eb="2">
      <t>テイリョウ</t>
    </rPh>
    <rPh sb="2" eb="4">
      <t>ヒョウカ</t>
    </rPh>
    <phoneticPr fontId="22"/>
  </si>
  <si>
    <t>モニタリング</t>
    <phoneticPr fontId="4"/>
  </si>
  <si>
    <t>運用管理体制</t>
    <rPh sb="0" eb="2">
      <t>ウンヨウ</t>
    </rPh>
    <rPh sb="2" eb="4">
      <t>カンリ</t>
    </rPh>
    <rPh sb="4" eb="6">
      <t>タイセイ</t>
    </rPh>
    <phoneticPr fontId="22"/>
  </si>
  <si>
    <t>運用管理体制</t>
    <rPh sb="0" eb="2">
      <t>うんよう</t>
    </rPh>
    <rPh sb="2" eb="4">
      <t>かんり</t>
    </rPh>
    <rPh sb="4" eb="6">
      <t>たいせい</t>
    </rPh>
    <phoneticPr fontId="34" type="noConversion"/>
  </si>
  <si>
    <t>事・学（大学等）・物・飲・会・病・ホ・工</t>
    <rPh sb="4" eb="6">
      <t>ダイガク</t>
    </rPh>
    <rPh sb="6" eb="7">
      <t>トウ</t>
    </rPh>
    <rPh sb="19" eb="20">
      <t>コウ</t>
    </rPh>
    <phoneticPr fontId="22"/>
  </si>
  <si>
    <t>非住宅部分</t>
    <rPh sb="0" eb="1">
      <t>ひ</t>
    </rPh>
    <rPh sb="1" eb="3">
      <t>じゅうたく</t>
    </rPh>
    <rPh sb="3" eb="5">
      <t>ぶぶん</t>
    </rPh>
    <phoneticPr fontId="34" type="noConversion"/>
  </si>
  <si>
    <t>集合住宅以外の評価</t>
    <rPh sb="0" eb="2">
      <t>しゅうごう</t>
    </rPh>
    <rPh sb="2" eb="4">
      <t>じゅうたく</t>
    </rPh>
    <rPh sb="4" eb="6">
      <t>いがい</t>
    </rPh>
    <rPh sb="7" eb="9">
      <t>ひょうか</t>
    </rPh>
    <phoneticPr fontId="34" type="noConversion"/>
  </si>
  <si>
    <t>集合住宅の評価</t>
    <rPh sb="0" eb="2">
      <t>しゅうごう</t>
    </rPh>
    <rPh sb="2" eb="4">
      <t>じゅうたく</t>
    </rPh>
    <rPh sb="5" eb="7">
      <t>ひょうか</t>
    </rPh>
    <phoneticPr fontId="34" type="noConversion"/>
  </si>
  <si>
    <r>
      <t>エネルギーのCO</t>
    </r>
    <r>
      <rPr>
        <vertAlign val="subscript"/>
        <sz val="10"/>
        <rFont val="ＭＳ Ｐゴシック"/>
        <family val="3"/>
        <charset val="128"/>
      </rPr>
      <t>2</t>
    </r>
    <r>
      <rPr>
        <sz val="10"/>
        <rFont val="ＭＳ Ｐゴシック"/>
        <family val="3"/>
        <charset val="128"/>
      </rPr>
      <t>排出係数</t>
    </r>
    <rPh sb="11" eb="13">
      <t>ケイスウ</t>
    </rPh>
    <phoneticPr fontId="22"/>
  </si>
  <si>
    <t>レベル３の基準に加え、定期的に掃除を行っている、などの運用面の取組を行っている。</t>
    <phoneticPr fontId="22"/>
  </si>
  <si>
    <t>冷却塔の水処理、飛散対策等が最低限施されており、給湯器も最低限の対策が施されている。</t>
    <phoneticPr fontId="22"/>
  </si>
  <si>
    <t>冷却塔がない。または、冷却塔の水処理、飛散対策等が十分に施されており、給湯器は最低限の対策が施されている。</t>
    <phoneticPr fontId="22"/>
  </si>
  <si>
    <t>中央管理方式の空気調和設備が設置されている居室の場合は25㎥/ｈ人以上。中央管理方式でない場合は建築基準法（シックハウス対応含む）および建築物衛生法を満たす換気量となっている。</t>
    <phoneticPr fontId="22"/>
  </si>
  <si>
    <r>
      <t>厚さが4</t>
    </r>
    <r>
      <rPr>
        <sz val="11"/>
        <rFont val="ＭＳ Ｐゴシック"/>
        <family val="3"/>
        <charset val="128"/>
      </rPr>
      <t>0mm</t>
    </r>
    <r>
      <rPr>
        <sz val="9"/>
        <rFont val="ＭＳ Ｐゴシック"/>
        <family val="3"/>
        <charset val="128"/>
      </rPr>
      <t>以上の吹付け硬質ｳﾚﾀﾝﾌｫｰﾑ断熱材その他これに相当する断熱性能を使用し、且つ低放射複層ガラスを使用している</t>
    </r>
    <rPh sb="45" eb="46">
      <t>カ</t>
    </rPh>
    <phoneticPr fontId="22"/>
  </si>
  <si>
    <t>高性能熱反ガラスを使用し、且つ水平庇１．０ｍ以上が計画されている。</t>
    <rPh sb="9" eb="11">
      <t>シヨウ</t>
    </rPh>
    <rPh sb="13" eb="14">
      <t>カ</t>
    </rPh>
    <rPh sb="15" eb="17">
      <t>スイヘイ</t>
    </rPh>
    <rPh sb="17" eb="18">
      <t>ヒサシ</t>
    </rPh>
    <rPh sb="25" eb="27">
      <t>ケイカク</t>
    </rPh>
    <phoneticPr fontId="22"/>
  </si>
  <si>
    <t>レベル４に加え、ダブルスキン等の断熱に有効な手法が採用されている。</t>
    <rPh sb="14" eb="15">
      <t>トウ</t>
    </rPh>
    <rPh sb="16" eb="18">
      <t>ダンネツ</t>
    </rPh>
    <rPh sb="19" eb="21">
      <t>ユウコウ</t>
    </rPh>
    <rPh sb="22" eb="24">
      <t>シュホウ</t>
    </rPh>
    <rPh sb="25" eb="27">
      <t>サイヨウ</t>
    </rPh>
    <phoneticPr fontId="22"/>
  </si>
  <si>
    <t>レベル４に加え、外ルーバー等の日射遮蔽に有効な手法が採用されている。</t>
    <rPh sb="8" eb="9">
      <t>ソト</t>
    </rPh>
    <rPh sb="13" eb="14">
      <t>トウ</t>
    </rPh>
    <rPh sb="15" eb="17">
      <t>ニッシャ</t>
    </rPh>
    <rPh sb="17" eb="19">
      <t>シャヘイ</t>
    </rPh>
    <rPh sb="20" eb="22">
      <t>ユウコウ</t>
    </rPh>
    <rPh sb="23" eb="25">
      <t>シュホウ</t>
    </rPh>
    <rPh sb="26" eb="28">
      <t>サイヨウ</t>
    </rPh>
    <phoneticPr fontId="22"/>
  </si>
  <si>
    <t>＜各レベル間を</t>
    <rPh sb="1" eb="2">
      <t>カク</t>
    </rPh>
    <rPh sb="5" eb="6">
      <t>カン</t>
    </rPh>
    <phoneticPr fontId="22"/>
  </si>
  <si>
    <t>　直線補完し</t>
    <rPh sb="1" eb="3">
      <t>チョクセン</t>
    </rPh>
    <rPh sb="3" eb="5">
      <t>ホカン</t>
    </rPh>
    <phoneticPr fontId="22"/>
  </si>
  <si>
    <t>　小数点を評価＞</t>
    <rPh sb="1" eb="4">
      <t>ショウスウテン</t>
    </rPh>
    <rPh sb="5" eb="7">
      <t>ヒョウカ</t>
    </rPh>
    <phoneticPr fontId="22"/>
  </si>
  <si>
    <t>-</t>
    <phoneticPr fontId="22"/>
  </si>
  <si>
    <t>手術室・病室</t>
    <rPh sb="0" eb="3">
      <t>シュジュツシツ</t>
    </rPh>
    <rPh sb="4" eb="6">
      <t>ビョウシツ</t>
    </rPh>
    <phoneticPr fontId="22"/>
  </si>
  <si>
    <t>ライフサイクルCO2排出率が、一般的な建物（参照値）に対して５０％以下</t>
    <rPh sb="19" eb="21">
      <t>タテモノ</t>
    </rPh>
    <phoneticPr fontId="22"/>
  </si>
  <si>
    <t>排出率</t>
    <rPh sb="0" eb="2">
      <t>ハイシュツ</t>
    </rPh>
    <rPh sb="2" eb="3">
      <t>リツ</t>
    </rPh>
    <phoneticPr fontId="22"/>
  </si>
  <si>
    <t>換算スコア＝</t>
    <rPh sb="0" eb="2">
      <t>カンサン</t>
    </rPh>
    <phoneticPr fontId="22"/>
  </si>
  <si>
    <t>大気汚染防止</t>
    <rPh sb="0" eb="2">
      <t>タイキ</t>
    </rPh>
    <rPh sb="2" eb="4">
      <t>オセン</t>
    </rPh>
    <rPh sb="4" eb="6">
      <t>ボウシ</t>
    </rPh>
    <phoneticPr fontId="22"/>
  </si>
  <si>
    <t>温熱環境悪化の改善</t>
    <rPh sb="0" eb="2">
      <t>オンネツ</t>
    </rPh>
    <rPh sb="2" eb="4">
      <t>カンキョウ</t>
    </rPh>
    <rPh sb="4" eb="6">
      <t>アッカ</t>
    </rPh>
    <rPh sb="7" eb="9">
      <t>カイゼン</t>
    </rPh>
    <phoneticPr fontId="22"/>
  </si>
  <si>
    <t>評価内容</t>
  </si>
  <si>
    <t>冬期18℃以上、夏期28℃以下の範囲を設定している。</t>
    <phoneticPr fontId="22"/>
  </si>
  <si>
    <t>機械室からの騒音（透過騒音）</t>
  </si>
  <si>
    <t>2,000㎡未満の建築物</t>
    <rPh sb="6" eb="8">
      <t>ミマン</t>
    </rPh>
    <rPh sb="9" eb="12">
      <t>ケンチクブツ</t>
    </rPh>
    <phoneticPr fontId="22"/>
  </si>
  <si>
    <t>同上（固体伝搬音）</t>
  </si>
  <si>
    <t>防振架台、防振支持など</t>
    <rPh sb="7" eb="9">
      <t>シジ</t>
    </rPh>
    <phoneticPr fontId="22"/>
  </si>
  <si>
    <t>ダクト・配管からの騒音（透過騒音）</t>
  </si>
  <si>
    <t>消音ダクト、消音エルボ、消音ボックス、防音管巻き、位置など</t>
  </si>
  <si>
    <t>地域性・アメニティへの配慮に関して標準的な取組みが行われている。(評価ポイント2～3)</t>
  </si>
  <si>
    <t>地域性・アメニティへの配慮に関して比較的多くの取組みが行われている。(評価ポイント4)</t>
  </si>
  <si>
    <t>地域性・アメニティへの配慮に関して充実した取組みが行われている。(評価ポイント5以上）</t>
  </si>
  <si>
    <r>
      <t>kg-CO</t>
    </r>
    <r>
      <rPr>
        <vertAlign val="subscript"/>
        <sz val="10"/>
        <rFont val="ＭＳ Ｐゴシック"/>
        <family val="3"/>
        <charset val="128"/>
      </rPr>
      <t>2</t>
    </r>
    <r>
      <rPr>
        <sz val="10"/>
        <rFont val="ＭＳ Ｐゴシック"/>
        <family val="3"/>
        <charset val="128"/>
      </rPr>
      <t>/kWh</t>
    </r>
    <phoneticPr fontId="22"/>
  </si>
  <si>
    <t>余剰売電分</t>
    <phoneticPr fontId="22"/>
  </si>
  <si>
    <t>事・学・飲・工</t>
    <rPh sb="0" eb="1">
      <t>コト</t>
    </rPh>
    <rPh sb="2" eb="3">
      <t>ガク</t>
    </rPh>
    <rPh sb="4" eb="5">
      <t>イン</t>
    </rPh>
    <rPh sb="6" eb="7">
      <t>コウ</t>
    </rPh>
    <phoneticPr fontId="22"/>
  </si>
  <si>
    <t>病（診）</t>
    <rPh sb="0" eb="1">
      <t>ビョウ</t>
    </rPh>
    <rPh sb="2" eb="3">
      <t>ミ</t>
    </rPh>
    <phoneticPr fontId="22"/>
  </si>
  <si>
    <t>[照度] ＜300 lx</t>
    <phoneticPr fontId="22"/>
  </si>
  <si>
    <t>[照度] ＜150lx</t>
    <phoneticPr fontId="22"/>
  </si>
  <si>
    <t>[照度] ＜100 lx</t>
    <phoneticPr fontId="22"/>
  </si>
  <si>
    <t>[照度] ＜150 lx</t>
    <phoneticPr fontId="22"/>
  </si>
  <si>
    <t>300lx≦　[照度] ＜500lx、
または　750lx≦　[照度]</t>
    <phoneticPr fontId="22"/>
  </si>
  <si>
    <t>150 lx≦　[照度]</t>
    <phoneticPr fontId="22"/>
  </si>
  <si>
    <t>100 lx≦　[照度]</t>
    <phoneticPr fontId="22"/>
  </si>
  <si>
    <t>500lx≦　[照度] ＜750</t>
    <phoneticPr fontId="22"/>
  </si>
  <si>
    <t>病</t>
    <phoneticPr fontId="22"/>
  </si>
  <si>
    <t>LR1/1. 建物外皮の熱負荷抑制</t>
    <rPh sb="7" eb="9">
      <t>タテモノ</t>
    </rPh>
    <rPh sb="9" eb="11">
      <t>ガイヒ</t>
    </rPh>
    <rPh sb="12" eb="13">
      <t>ネツ</t>
    </rPh>
    <rPh sb="13" eb="15">
      <t>フカ</t>
    </rPh>
    <rPh sb="15" eb="17">
      <t>ヨクセイ</t>
    </rPh>
    <phoneticPr fontId="22"/>
  </si>
  <si>
    <t>調整後排出係数</t>
    <rPh sb="0" eb="3">
      <t>チョウセイゴ</t>
    </rPh>
    <rPh sb="3" eb="5">
      <t>ハイシュツ</t>
    </rPh>
    <rPh sb="5" eb="7">
      <t>ケイスウ</t>
    </rPh>
    <phoneticPr fontId="22"/>
  </si>
  <si>
    <t>実排出係数との差</t>
    <rPh sb="0" eb="1">
      <t>ジツ</t>
    </rPh>
    <rPh sb="1" eb="3">
      <t>ハイシュツ</t>
    </rPh>
    <rPh sb="3" eb="5">
      <t>ケイスウ</t>
    </rPh>
    <rPh sb="7" eb="8">
      <t>サ</t>
    </rPh>
    <phoneticPr fontId="22"/>
  </si>
  <si>
    <t>２５～３０</t>
    <phoneticPr fontId="22"/>
  </si>
  <si>
    <t>３０～３５</t>
    <phoneticPr fontId="22"/>
  </si>
  <si>
    <t>うるささ</t>
    <phoneticPr fontId="22"/>
  </si>
  <si>
    <t>やき声が聞こえる</t>
    <phoneticPr fontId="22"/>
  </si>
  <si>
    <t>電話は支障なし</t>
    <phoneticPr fontId="22"/>
  </si>
  <si>
    <t>スタジオ</t>
    <phoneticPr fontId="22"/>
  </si>
  <si>
    <t>アナウンススタジオ</t>
    <phoneticPr fontId="22"/>
  </si>
  <si>
    <t>ラジオスタジオ</t>
    <phoneticPr fontId="22"/>
  </si>
  <si>
    <t>テレビスタジオ</t>
    <phoneticPr fontId="22"/>
  </si>
  <si>
    <t>宝石店・美術品店</t>
    <phoneticPr fontId="22"/>
  </si>
  <si>
    <t>建物全体・共用部分</t>
    <phoneticPr fontId="22"/>
  </si>
  <si>
    <t>事・学・物・飲・会・病・ホ・工</t>
    <phoneticPr fontId="22"/>
  </si>
  <si>
    <t>事・学・物・飲・会・病・ホ・工（2000㎡未満）</t>
    <phoneticPr fontId="22"/>
  </si>
  <si>
    <t>病・ホ</t>
    <phoneticPr fontId="22"/>
  </si>
  <si>
    <t>病・ホ（2000㎡未満）</t>
    <phoneticPr fontId="22"/>
  </si>
  <si>
    <t>若干の対策を行っている（評価する取組みにおいて1項目以上を採用）</t>
    <phoneticPr fontId="22"/>
  </si>
  <si>
    <t>太陽光発電による削減分</t>
    <rPh sb="0" eb="2">
      <t>タイヨウ</t>
    </rPh>
    <rPh sb="2" eb="3">
      <t>ヒカリ</t>
    </rPh>
    <rPh sb="3" eb="5">
      <t>ハツデン</t>
    </rPh>
    <rPh sb="8" eb="10">
      <t>サクゲン</t>
    </rPh>
    <rPh sb="10" eb="11">
      <t>ブン</t>
    </rPh>
    <phoneticPr fontId="22"/>
  </si>
  <si>
    <t>(内訳）自家消費分</t>
    <rPh sb="1" eb="3">
      <t>ウチワケ</t>
    </rPh>
    <rPh sb="4" eb="6">
      <t>ジカ</t>
    </rPh>
    <rPh sb="6" eb="8">
      <t>ショウヒ</t>
    </rPh>
    <rPh sb="8" eb="9">
      <t>ブン</t>
    </rPh>
    <phoneticPr fontId="22"/>
  </si>
  <si>
    <t>余剰売電分</t>
    <rPh sb="0" eb="2">
      <t>ヨジョウ</t>
    </rPh>
    <rPh sb="2" eb="4">
      <t>バイデン</t>
    </rPh>
    <rPh sb="4" eb="5">
      <t>ブン</t>
    </rPh>
    <phoneticPr fontId="22"/>
  </si>
  <si>
    <t>その他再生可能エネルギー</t>
    <rPh sb="2" eb="3">
      <t>ホカ</t>
    </rPh>
    <rPh sb="3" eb="5">
      <t>サイセイ</t>
    </rPh>
    <rPh sb="5" eb="7">
      <t>カノウ</t>
    </rPh>
    <phoneticPr fontId="22"/>
  </si>
  <si>
    <t>エネルギー
消費量の算定方法</t>
    <rPh sb="6" eb="9">
      <t>ショウヒリョウ</t>
    </rPh>
    <rPh sb="10" eb="12">
      <t>サンテイ</t>
    </rPh>
    <rPh sb="12" eb="14">
      <t>ホウホウ</t>
    </rPh>
    <phoneticPr fontId="22"/>
  </si>
  <si>
    <t>昼間（am8時～pm7時）、夜間（pm7時～翌朝8時）のいずれの時間も下記の基準を満たしていること</t>
    <phoneticPr fontId="22"/>
  </si>
  <si>
    <r>
      <t xml:space="preserve">3.1.3 </t>
    </r>
    <r>
      <rPr>
        <b/>
        <sz val="10"/>
        <rFont val="ＭＳ Ｐゴシック"/>
        <family val="3"/>
        <charset val="128"/>
      </rPr>
      <t>悪臭</t>
    </r>
    <phoneticPr fontId="22"/>
  </si>
  <si>
    <t>風害・砂塵、日照阻害の抑制</t>
    <phoneticPr fontId="22"/>
  </si>
  <si>
    <r>
      <t xml:space="preserve">3.2.1 </t>
    </r>
    <r>
      <rPr>
        <b/>
        <sz val="10"/>
        <rFont val="ＭＳ Ｐゴシック"/>
        <family val="3"/>
        <charset val="128"/>
      </rPr>
      <t>風害の抑制</t>
    </r>
    <phoneticPr fontId="22"/>
  </si>
  <si>
    <t>校庭からの砂塵に対する取組みが十分ではない。（評価ポイント1）</t>
    <phoneticPr fontId="22"/>
  </si>
  <si>
    <t>校庭からの砂塵に対して、標準的な取組みが行われている。（評価ポイント2）</t>
    <phoneticPr fontId="22"/>
  </si>
  <si>
    <t>評価内容</t>
    <phoneticPr fontId="22"/>
  </si>
  <si>
    <t>I 校庭からの砂塵の飛散を抑制する取組み</t>
    <phoneticPr fontId="22"/>
  </si>
  <si>
    <t>1）校庭の周囲に防砂林や防砂ネットを整備し、砂塵の飛散を抑制している。</t>
    <phoneticPr fontId="22"/>
  </si>
  <si>
    <t>2)校庭の周囲を建物で囲い、砂塵の発生や飛散を抑制している。</t>
    <phoneticPr fontId="22"/>
  </si>
  <si>
    <t>II 校庭を砂塵が発生しない仕上げとする。</t>
    <phoneticPr fontId="22"/>
  </si>
  <si>
    <t>1）校庭にスプリンクラーを設置し、砂塵の発生を抑制している。</t>
    <phoneticPr fontId="22"/>
  </si>
  <si>
    <t>2）校庭を砂塵が発生しにくい舗装としている。</t>
    <phoneticPr fontId="22"/>
  </si>
  <si>
    <t>3.1.1</t>
    <phoneticPr fontId="22"/>
  </si>
  <si>
    <t>3.1.2</t>
    <phoneticPr fontId="22"/>
  </si>
  <si>
    <t>3.1.3</t>
    <phoneticPr fontId="22"/>
  </si>
  <si>
    <t>3.2.1</t>
    <phoneticPr fontId="22"/>
  </si>
  <si>
    <t>3.2.2</t>
    <phoneticPr fontId="22"/>
  </si>
  <si>
    <t>3.2.3</t>
    <phoneticPr fontId="22"/>
  </si>
  <si>
    <t>3.2.3</t>
    <phoneticPr fontId="22"/>
  </si>
  <si>
    <t>IV 緑の質の確保</t>
    <phoneticPr fontId="22"/>
  </si>
  <si>
    <t>V 生物資源の管理と利用</t>
    <phoneticPr fontId="22"/>
  </si>
  <si>
    <t>はい</t>
    <phoneticPr fontId="22"/>
  </si>
  <si>
    <t>いいえ</t>
    <phoneticPr fontId="22"/>
  </si>
  <si>
    <t>　レベル　1</t>
    <phoneticPr fontId="22"/>
  </si>
  <si>
    <t>■レベル　1</t>
    <phoneticPr fontId="22"/>
  </si>
  <si>
    <t>レベル</t>
    <phoneticPr fontId="22"/>
  </si>
  <si>
    <t>1.2.1</t>
    <phoneticPr fontId="22"/>
  </si>
  <si>
    <t>1.2.2</t>
    <phoneticPr fontId="22"/>
  </si>
  <si>
    <t>-</t>
    <phoneticPr fontId="22"/>
  </si>
  <si>
    <t>-</t>
    <phoneticPr fontId="22"/>
  </si>
  <si>
    <t>-</t>
    <phoneticPr fontId="22"/>
  </si>
  <si>
    <t>-</t>
    <phoneticPr fontId="22"/>
  </si>
  <si>
    <t>-</t>
    <phoneticPr fontId="22"/>
  </si>
  <si>
    <r>
      <t>LR3</t>
    </r>
    <r>
      <rPr>
        <b/>
        <sz val="14"/>
        <rFont val="ＭＳ Ｐゴシック"/>
        <family val="3"/>
        <charset val="128"/>
      </rPr>
      <t>　敷地外環境</t>
    </r>
    <rPh sb="4" eb="6">
      <t>シキチ</t>
    </rPh>
    <rPh sb="6" eb="7">
      <t>ガイ</t>
    </rPh>
    <phoneticPr fontId="22"/>
  </si>
  <si>
    <t>住</t>
    <phoneticPr fontId="22"/>
  </si>
  <si>
    <t>5年未満</t>
    <phoneticPr fontId="22"/>
  </si>
  <si>
    <t>16年以上～25年未満</t>
    <phoneticPr fontId="22"/>
  </si>
  <si>
    <t>20年以上</t>
    <phoneticPr fontId="22"/>
  </si>
  <si>
    <t>採用項目</t>
    <rPh sb="0" eb="2">
      <t>サイヨウ</t>
    </rPh>
    <rPh sb="2" eb="4">
      <t>コウモク</t>
    </rPh>
    <phoneticPr fontId="22"/>
  </si>
  <si>
    <t>（屋外）吸込み口・排気口からの騒音</t>
    <phoneticPr fontId="22"/>
  </si>
  <si>
    <t>建物全体・共用部分</t>
    <phoneticPr fontId="22"/>
  </si>
  <si>
    <t>病・ホ・住</t>
    <phoneticPr fontId="22"/>
  </si>
  <si>
    <t>騒音が気になる。</t>
    <phoneticPr fontId="22"/>
  </si>
  <si>
    <t>騒音がほとんど気にならない。</t>
    <phoneticPr fontId="22"/>
  </si>
  <si>
    <t>T-1未満</t>
    <phoneticPr fontId="22"/>
  </si>
  <si>
    <t>T-1</t>
    <phoneticPr fontId="22"/>
  </si>
  <si>
    <t>T-2以上</t>
    <phoneticPr fontId="22"/>
  </si>
  <si>
    <r>
      <t xml:space="preserve">1.2.2 </t>
    </r>
    <r>
      <rPr>
        <b/>
        <sz val="10"/>
        <rFont val="ＭＳ Ｐゴシック"/>
        <family val="3"/>
        <charset val="128"/>
      </rPr>
      <t>界壁遮音性能</t>
    </r>
    <phoneticPr fontId="22"/>
  </si>
  <si>
    <t>住</t>
    <phoneticPr fontId="22"/>
  </si>
  <si>
    <t>人の話し声が気になる。</t>
    <phoneticPr fontId="22"/>
  </si>
  <si>
    <t>実排出係数の場合</t>
    <rPh sb="0" eb="1">
      <t>ジツ</t>
    </rPh>
    <rPh sb="1" eb="3">
      <t>ハイシュツ</t>
    </rPh>
    <rPh sb="3" eb="5">
      <t>ケイスウ</t>
    </rPh>
    <rPh sb="6" eb="8">
      <t>バアイ</t>
    </rPh>
    <phoneticPr fontId="22"/>
  </si>
  <si>
    <t>調整後排出係数を用いた場合の実排出量との差</t>
    <rPh sb="0" eb="3">
      <t>チョウセイゴ</t>
    </rPh>
    <rPh sb="3" eb="5">
      <t>ハイシュツ</t>
    </rPh>
    <rPh sb="5" eb="7">
      <t>ケイスウ</t>
    </rPh>
    <rPh sb="8" eb="9">
      <t>モチ</t>
    </rPh>
    <rPh sb="11" eb="13">
      <t>バアイ</t>
    </rPh>
    <rPh sb="14" eb="15">
      <t>ジツ</t>
    </rPh>
    <rPh sb="15" eb="17">
      <t>ハイシュツ</t>
    </rPh>
    <rPh sb="17" eb="18">
      <t>リョウ</t>
    </rPh>
    <rPh sb="20" eb="21">
      <t>サ</t>
    </rPh>
    <phoneticPr fontId="22"/>
  </si>
  <si>
    <t>実排出係数</t>
    <rPh sb="0" eb="1">
      <t>ジツ</t>
    </rPh>
    <rPh sb="1" eb="3">
      <t>ハイシュツ</t>
    </rPh>
    <rPh sb="3" eb="5">
      <t>ケイスウ</t>
    </rPh>
    <phoneticPr fontId="22"/>
  </si>
  <si>
    <t>延床面積あたり　[2]</t>
    <rPh sb="0" eb="2">
      <t>ノベユカ</t>
    </rPh>
    <rPh sb="2" eb="4">
      <t>メンセキ</t>
    </rPh>
    <phoneticPr fontId="22"/>
  </si>
  <si>
    <t>重み係数</t>
    <rPh sb="0" eb="1">
      <t>オモ</t>
    </rPh>
    <rPh sb="2" eb="4">
      <t>ケイスウ</t>
    </rPh>
    <phoneticPr fontId="22"/>
  </si>
  <si>
    <t>重み係数（既定）</t>
    <rPh sb="0" eb="1">
      <t>オモ</t>
    </rPh>
    <rPh sb="2" eb="4">
      <t>ケイスウ</t>
    </rPh>
    <rPh sb="5" eb="7">
      <t>キテイ</t>
    </rPh>
    <phoneticPr fontId="22"/>
  </si>
  <si>
    <t>0.　既存</t>
    <rPh sb="3" eb="5">
      <t>キソン</t>
    </rPh>
    <phoneticPr fontId="22"/>
  </si>
  <si>
    <t>１．基本設計</t>
    <rPh sb="2" eb="4">
      <t>キホン</t>
    </rPh>
    <rPh sb="4" eb="6">
      <t>セッケイ</t>
    </rPh>
    <phoneticPr fontId="22"/>
  </si>
  <si>
    <t>２．実施・竣工段階</t>
    <rPh sb="2" eb="4">
      <t>ジッシ</t>
    </rPh>
    <rPh sb="5" eb="7">
      <t>シュンコウ</t>
    </rPh>
    <rPh sb="7" eb="9">
      <t>ダンカイ</t>
    </rPh>
    <phoneticPr fontId="22"/>
  </si>
  <si>
    <t>補正後</t>
    <rPh sb="0" eb="2">
      <t>ホセイ</t>
    </rPh>
    <rPh sb="2" eb="3">
      <t>ゴ</t>
    </rPh>
    <phoneticPr fontId="22"/>
  </si>
  <si>
    <t>補正前</t>
    <rPh sb="0" eb="2">
      <t>ホセイ</t>
    </rPh>
    <rPh sb="2" eb="3">
      <t>マエ</t>
    </rPh>
    <phoneticPr fontId="22"/>
  </si>
  <si>
    <t>補正前計</t>
    <rPh sb="0" eb="2">
      <t>ホセイ</t>
    </rPh>
    <rPh sb="2" eb="3">
      <t>マエ</t>
    </rPh>
    <rPh sb="3" eb="4">
      <t>ケイ</t>
    </rPh>
    <phoneticPr fontId="22"/>
  </si>
  <si>
    <t>対象外の選択</t>
    <rPh sb="0" eb="3">
      <t>タイショウガイ</t>
    </rPh>
    <rPh sb="4" eb="6">
      <t>センタク</t>
    </rPh>
    <phoneticPr fontId="22"/>
  </si>
  <si>
    <t>既定重み</t>
    <rPh sb="0" eb="2">
      <t>キテイ</t>
    </rPh>
    <rPh sb="2" eb="3">
      <t>オモ</t>
    </rPh>
    <phoneticPr fontId="22"/>
  </si>
  <si>
    <t>中庭やテラス、バルコニー、サンルーム、アルコーブ、屋根付広場、風光ボイド、アトリウム、等のように風や光が通り抜ける開放的な空間をうまく内部空間と連続させている。
または、</t>
    <phoneticPr fontId="22"/>
  </si>
  <si>
    <t>玄関廻り、バルコニー廻り等のプライバシーと公共性の接点の部分に、風光ボイド、花台、パーゴラ、奥行きのあるバルコニー等のしつらえによって、生活感が滲み出るような豊かな中間領域を形成している。</t>
    <phoneticPr fontId="22"/>
  </si>
  <si>
    <t>6）防犯性の配慮</t>
    <phoneticPr fontId="22"/>
  </si>
  <si>
    <t>建物外部の広場などのスペースにおいて、視線を遮らない様な樹木の配置、夜間照明の設置、防犯カメラの設置、防犯に役立つ窓の配置などを行い、防犯性に配慮している。
または、</t>
    <phoneticPr fontId="22"/>
  </si>
  <si>
    <t>広場や歩道状空地がない場合、建物周囲において、視線の行き届かない袋小路や通路などの死角空間を作らないようにし、また防犯に役立つ窓の配置をするなどして、防犯性に配慮している。</t>
    <phoneticPr fontId="22"/>
  </si>
  <si>
    <t>または、
敷地周囲に境界壁等を設ける場合、視線を遮るような連続した塀等を作らず，見通しの良いフェンスや背の低い生垣等を設けて防犯性・防災性に配慮している。</t>
    <phoneticPr fontId="22"/>
  </si>
  <si>
    <t>燃焼機器を使用しておらず、対象建築物の仮想閉空間から外部空間に対して大気汚染物質を全く発生しない。</t>
    <phoneticPr fontId="22"/>
  </si>
  <si>
    <t>評価する取組み表の評価ポイントの合計値が0ポイント</t>
    <phoneticPr fontId="22"/>
  </si>
  <si>
    <t>評価する取組み表の評価ポイントの合計値が1～5ポイント</t>
    <phoneticPr fontId="22"/>
  </si>
  <si>
    <t>ホテル・住宅</t>
    <rPh sb="4" eb="6">
      <t>ジュウタク</t>
    </rPh>
    <phoneticPr fontId="22"/>
  </si>
  <si>
    <t>書斎</t>
    <rPh sb="0" eb="2">
      <t>ショサイ</t>
    </rPh>
    <phoneticPr fontId="22"/>
  </si>
  <si>
    <t>寝室・客室</t>
    <rPh sb="0" eb="2">
      <t>シンシツ</t>
    </rPh>
    <rPh sb="3" eb="5">
      <t>キャクシツ</t>
    </rPh>
    <phoneticPr fontId="22"/>
  </si>
  <si>
    <r>
      <t>2.3.1</t>
    </r>
    <r>
      <rPr>
        <b/>
        <sz val="10"/>
        <rFont val="ＭＳ Ｐゴシック"/>
        <family val="3"/>
        <charset val="128"/>
      </rPr>
      <t>　雨水排水負荷低減</t>
    </r>
    <phoneticPr fontId="22"/>
  </si>
  <si>
    <r>
      <t xml:space="preserve">2.3.2 </t>
    </r>
    <r>
      <rPr>
        <b/>
        <sz val="10"/>
        <rFont val="ＭＳ Ｐゴシック"/>
        <family val="3"/>
        <charset val="128"/>
      </rPr>
      <t>汚水処理負荷抑制</t>
    </r>
    <phoneticPr fontId="22"/>
  </si>
  <si>
    <t>排出基準を満たした上でそれ以上の特別な工夫を実施し、汚水処理負荷を高く抑制している。</t>
    <phoneticPr fontId="22"/>
  </si>
  <si>
    <r>
      <t xml:space="preserve">2.3.3 </t>
    </r>
    <r>
      <rPr>
        <b/>
        <sz val="10"/>
        <rFont val="ＭＳ Ｐゴシック"/>
        <family val="3"/>
        <charset val="128"/>
      </rPr>
      <t>交通負荷抑制</t>
    </r>
    <phoneticPr fontId="22"/>
  </si>
  <si>
    <t>評価する取組み表の評価ポイントの合計値が0ポイント</t>
    <phoneticPr fontId="22"/>
  </si>
  <si>
    <r>
      <t>ライフサイクルCO</t>
    </r>
    <r>
      <rPr>
        <b/>
        <vertAlign val="subscript"/>
        <sz val="9"/>
        <rFont val="ＭＳ Ｐゴシック"/>
        <family val="3"/>
        <charset val="128"/>
      </rPr>
      <t>2</t>
    </r>
    <r>
      <rPr>
        <b/>
        <sz val="9"/>
        <rFont val="ＭＳ Ｐゴシック"/>
        <family val="3"/>
        <charset val="128"/>
      </rPr>
      <t>排出率に基づくスコア換算</t>
    </r>
    <rPh sb="10" eb="12">
      <t>ハイシュツ</t>
    </rPh>
    <rPh sb="12" eb="13">
      <t>リツ</t>
    </rPh>
    <rPh sb="14" eb="15">
      <t>モト</t>
    </rPh>
    <rPh sb="20" eb="22">
      <t>カンサン</t>
    </rPh>
    <phoneticPr fontId="22"/>
  </si>
  <si>
    <t>レベル</t>
    <phoneticPr fontId="22"/>
  </si>
  <si>
    <t>N.A.</t>
    <phoneticPr fontId="22"/>
  </si>
  <si>
    <t>35＜ [騒音レベル] ≦40</t>
  </si>
  <si>
    <t>　レベル　4</t>
  </si>
  <si>
    <t>■レベル　4</t>
  </si>
  <si>
    <t>[騒音レベル] ≦40</t>
  </si>
  <si>
    <t>[騒音レベル] ≦35</t>
  </si>
  <si>
    <t>[騒音レベル] ≦45</t>
  </si>
  <si>
    <t>[騒音レベル] ≦30</t>
  </si>
  <si>
    <t>[騒音レベル] ≦35</t>
    <phoneticPr fontId="22"/>
  </si>
  <si>
    <t>　レベル　5</t>
  </si>
  <si>
    <t>■レベル　5</t>
  </si>
  <si>
    <t>騒音：　室内許容騒音レベル＊</t>
    <rPh sb="4" eb="6">
      <t>シツナイ</t>
    </rPh>
    <rPh sb="6" eb="8">
      <t>キョヨウ</t>
    </rPh>
    <rPh sb="8" eb="10">
      <t>ソウオン</t>
    </rPh>
    <phoneticPr fontId="22"/>
  </si>
  <si>
    <t>無音感―――</t>
    <rPh sb="0" eb="2">
      <t>ムオン</t>
    </rPh>
    <rPh sb="2" eb="3">
      <t>カン</t>
    </rPh>
    <phoneticPr fontId="22"/>
  </si>
  <si>
    <t>―――――――――非常に静か―――――――――</t>
    <rPh sb="9" eb="11">
      <t>ヒジョウ</t>
    </rPh>
    <rPh sb="12" eb="13">
      <t>シズ</t>
    </rPh>
    <phoneticPr fontId="22"/>
  </si>
  <si>
    <t>―特に気にならない――――――</t>
    <rPh sb="1" eb="2">
      <t>トク</t>
    </rPh>
    <rPh sb="3" eb="4">
      <t>キ</t>
    </rPh>
    <phoneticPr fontId="22"/>
  </si>
  <si>
    <t>会話・電話への影響</t>
    <rPh sb="0" eb="2">
      <t>カイワ</t>
    </rPh>
    <rPh sb="3" eb="5">
      <t>デンワ</t>
    </rPh>
    <rPh sb="7" eb="9">
      <t>エイキョウ</t>
    </rPh>
    <phoneticPr fontId="22"/>
  </si>
  <si>
    <t>５ｍ離れてささ</t>
    <rPh sb="2" eb="3">
      <t>ハナ</t>
    </rPh>
    <phoneticPr fontId="22"/>
  </si>
  <si>
    <t>――――１０ｍ離れて会議可能――――</t>
    <rPh sb="7" eb="8">
      <t>ハナ</t>
    </rPh>
    <rPh sb="10" eb="12">
      <t>カイギ</t>
    </rPh>
    <rPh sb="12" eb="14">
      <t>カノウ</t>
    </rPh>
    <phoneticPr fontId="22"/>
  </si>
  <si>
    <t>機械・配管支持方法</t>
    <rPh sb="0" eb="2">
      <t>キカイ</t>
    </rPh>
    <rPh sb="3" eb="5">
      <t>ハイカン</t>
    </rPh>
    <rPh sb="5" eb="7">
      <t>シジ</t>
    </rPh>
    <rPh sb="7" eb="9">
      <t>ホウホウ</t>
    </rPh>
    <phoneticPr fontId="22"/>
  </si>
  <si>
    <t>通信・情報設備</t>
    <rPh sb="0" eb="2">
      <t>ツウシン</t>
    </rPh>
    <rPh sb="3" eb="5">
      <t>ジョウホウ</t>
    </rPh>
    <rPh sb="5" eb="7">
      <t>セツビ</t>
    </rPh>
    <phoneticPr fontId="22"/>
  </si>
  <si>
    <t>対応性・更新性</t>
    <rPh sb="0" eb="3">
      <t>タイオウセイ</t>
    </rPh>
    <rPh sb="4" eb="6">
      <t>コウシン</t>
    </rPh>
    <rPh sb="6" eb="7">
      <t>セイ</t>
    </rPh>
    <phoneticPr fontId="22"/>
  </si>
  <si>
    <t>空間のゆとり</t>
  </si>
  <si>
    <t>階高のゆとり</t>
    <rPh sb="0" eb="1">
      <t>カイ</t>
    </rPh>
    <rPh sb="1" eb="2">
      <t>ダカ</t>
    </rPh>
    <phoneticPr fontId="22"/>
  </si>
  <si>
    <t>空間の形状・自由さ</t>
    <rPh sb="0" eb="2">
      <t>クウカン</t>
    </rPh>
    <rPh sb="3" eb="5">
      <t>ケイジョウ</t>
    </rPh>
    <rPh sb="6" eb="8">
      <t>ジユウ</t>
    </rPh>
    <phoneticPr fontId="22"/>
  </si>
  <si>
    <t>荷重のゆとり</t>
  </si>
  <si>
    <t>設備の更新性</t>
  </si>
  <si>
    <t>給排水管の更新性</t>
    <rPh sb="0" eb="1">
      <t>キュウ</t>
    </rPh>
    <rPh sb="1" eb="4">
      <t>ハイスイカン</t>
    </rPh>
    <rPh sb="5" eb="7">
      <t>コウシン</t>
    </rPh>
    <rPh sb="7" eb="8">
      <t>セイ</t>
    </rPh>
    <phoneticPr fontId="22"/>
  </si>
  <si>
    <t>電気配線の更新性</t>
    <rPh sb="0" eb="2">
      <t>デンキ</t>
    </rPh>
    <rPh sb="2" eb="4">
      <t>ハイセン</t>
    </rPh>
    <rPh sb="5" eb="7">
      <t>コウシン</t>
    </rPh>
    <rPh sb="7" eb="8">
      <t>セイ</t>
    </rPh>
    <phoneticPr fontId="22"/>
  </si>
  <si>
    <t>通信配線の更新性</t>
    <rPh sb="0" eb="2">
      <t>ツウシン</t>
    </rPh>
    <rPh sb="2" eb="4">
      <t>ハイセン</t>
    </rPh>
    <rPh sb="5" eb="7">
      <t>コウシン</t>
    </rPh>
    <rPh sb="7" eb="8">
      <t>セイ</t>
    </rPh>
    <phoneticPr fontId="22"/>
  </si>
  <si>
    <t>設備機器の更新性</t>
    <rPh sb="0" eb="2">
      <t>セツビ</t>
    </rPh>
    <rPh sb="2" eb="4">
      <t>キキ</t>
    </rPh>
    <rPh sb="5" eb="7">
      <t>コウシン</t>
    </rPh>
    <rPh sb="7" eb="8">
      <t>セイ</t>
    </rPh>
    <phoneticPr fontId="22"/>
  </si>
  <si>
    <t>バックアップスペースの確保</t>
    <rPh sb="11" eb="13">
      <t>カクホ</t>
    </rPh>
    <phoneticPr fontId="22"/>
  </si>
  <si>
    <t>生物環境の保全と創出</t>
    <rPh sb="0" eb="2">
      <t>セイブツ</t>
    </rPh>
    <rPh sb="2" eb="4">
      <t>カンキョウ</t>
    </rPh>
    <rPh sb="5" eb="7">
      <t>ホゼン</t>
    </rPh>
    <rPh sb="8" eb="10">
      <t>ソウシュツ</t>
    </rPh>
    <phoneticPr fontId="22"/>
  </si>
  <si>
    <t>まちなみ・景観への配慮</t>
    <rPh sb="5" eb="7">
      <t>ケイカン</t>
    </rPh>
    <rPh sb="9" eb="11">
      <t>ハイリョ</t>
    </rPh>
    <phoneticPr fontId="22"/>
  </si>
  <si>
    <t>地域性・アメニティへの配慮</t>
    <rPh sb="0" eb="3">
      <t>ﾁｲｷｾｲ</t>
    </rPh>
    <rPh sb="11" eb="13">
      <t>ﾊｲﾘｮ</t>
    </rPh>
    <phoneticPr fontId="34" type="noConversion"/>
  </si>
  <si>
    <t>地域性への配慮、快適性の向上</t>
  </si>
  <si>
    <t>敷地内温熱環境の向上</t>
    <rPh sb="0" eb="2">
      <t>シキチ</t>
    </rPh>
    <rPh sb="2" eb="3">
      <t>ナイ</t>
    </rPh>
    <rPh sb="3" eb="5">
      <t>オンネツ</t>
    </rPh>
    <rPh sb="8" eb="10">
      <t>コウジョウ</t>
    </rPh>
    <phoneticPr fontId="22"/>
  </si>
  <si>
    <t>LR　建築物の環境負荷低減性</t>
    <phoneticPr fontId="22"/>
  </si>
  <si>
    <t>LR1</t>
    <phoneticPr fontId="34" type="noConversion"/>
  </si>
  <si>
    <t>エネルギー</t>
    <phoneticPr fontId="22"/>
  </si>
  <si>
    <t>自然エネルギー利用</t>
    <rPh sb="0" eb="2">
      <t>ｼｾﾞﾝ</t>
    </rPh>
    <rPh sb="7" eb="9">
      <t>ﾘﾖｳ</t>
    </rPh>
    <phoneticPr fontId="34" type="noConversion"/>
  </si>
  <si>
    <t>実施・竣工</t>
    <rPh sb="0" eb="2">
      <t>ジッシ</t>
    </rPh>
    <rPh sb="3" eb="5">
      <t>シュンコウ</t>
    </rPh>
    <phoneticPr fontId="22"/>
  </si>
  <si>
    <t>基本</t>
    <rPh sb="0" eb="2">
      <t>キホン</t>
    </rPh>
    <phoneticPr fontId="22"/>
  </si>
  <si>
    <t>自然エネルギーの直接利用</t>
  </si>
  <si>
    <t>自然エネルギーの変換利用</t>
  </si>
  <si>
    <t>設備システムの高効率化</t>
    <rPh sb="0" eb="2">
      <t>ｾﾂﾋﾞ</t>
    </rPh>
    <rPh sb="7" eb="8">
      <t>ｺｳ</t>
    </rPh>
    <rPh sb="8" eb="10">
      <t>ｺｳﾘﾂ</t>
    </rPh>
    <rPh sb="10" eb="11">
      <t>ｶ</t>
    </rPh>
    <phoneticPr fontId="34" type="noConversion"/>
  </si>
  <si>
    <t>空調設備</t>
  </si>
  <si>
    <t>換気設備</t>
  </si>
  <si>
    <t>照明設備</t>
  </si>
  <si>
    <t>給湯設備</t>
  </si>
  <si>
    <t>昇降機設備</t>
  </si>
  <si>
    <t>効率的運用</t>
    <rPh sb="0" eb="3">
      <t>ｺｳﾘﾂﾃｷ</t>
    </rPh>
    <rPh sb="3" eb="5">
      <t>ｳﾝﾖｳ</t>
    </rPh>
    <phoneticPr fontId="34" type="noConversion"/>
  </si>
  <si>
    <t>運用管理体制</t>
    <rPh sb="0" eb="2">
      <t>ｳﾝﾖｳ</t>
    </rPh>
    <rPh sb="2" eb="4">
      <t>ｶﾝﾘ</t>
    </rPh>
    <rPh sb="4" eb="6">
      <t>ﾀｲｾｲ</t>
    </rPh>
    <phoneticPr fontId="34" type="noConversion"/>
  </si>
  <si>
    <t>水資源保護</t>
    <rPh sb="0" eb="1">
      <t>ﾐｽﾞ</t>
    </rPh>
    <rPh sb="1" eb="3">
      <t>ｼｹﾞﾝ</t>
    </rPh>
    <rPh sb="3" eb="5">
      <t>ﾎｺﾞ</t>
    </rPh>
    <phoneticPr fontId="34" type="noConversion"/>
  </si>
  <si>
    <t>節水</t>
    <rPh sb="0" eb="2">
      <t>ｾｯｽｲ</t>
    </rPh>
    <phoneticPr fontId="34" type="noConversion"/>
  </si>
  <si>
    <t>雨水利用・雑排水等の利用</t>
    <rPh sb="0" eb="2">
      <t>ｳｽｲ</t>
    </rPh>
    <rPh sb="2" eb="4">
      <t>ﾘﾖｳ</t>
    </rPh>
    <rPh sb="5" eb="8">
      <t>ｻﾞﾂﾊｲｽｲ</t>
    </rPh>
    <rPh sb="8" eb="9">
      <t>ﾄｳ</t>
    </rPh>
    <rPh sb="10" eb="12">
      <t>ﾘﾖｳ</t>
    </rPh>
    <phoneticPr fontId="34" type="noConversion"/>
  </si>
  <si>
    <t>雨水利用システム導入の有無</t>
    <rPh sb="0" eb="2">
      <t>ウスイ</t>
    </rPh>
    <rPh sb="2" eb="4">
      <t>リヨウ</t>
    </rPh>
    <rPh sb="8" eb="10">
      <t>ドウニュウ</t>
    </rPh>
    <rPh sb="11" eb="13">
      <t>ウム</t>
    </rPh>
    <phoneticPr fontId="22"/>
  </si>
  <si>
    <t>雑排水等利用システム導入の有無</t>
  </si>
  <si>
    <t>非再生性資源の使用量削減</t>
    <rPh sb="0" eb="1">
      <t>ヒ</t>
    </rPh>
    <rPh sb="1" eb="3">
      <t>サイセイ</t>
    </rPh>
    <rPh sb="3" eb="4">
      <t>セイ</t>
    </rPh>
    <rPh sb="4" eb="6">
      <t>シゲン</t>
    </rPh>
    <rPh sb="7" eb="10">
      <t>シヨウリョウ</t>
    </rPh>
    <rPh sb="10" eb="12">
      <t>サクゲン</t>
    </rPh>
    <phoneticPr fontId="22"/>
  </si>
  <si>
    <t>材料使用量の削減</t>
    <rPh sb="0" eb="2">
      <t>ザイリョウ</t>
    </rPh>
    <rPh sb="2" eb="4">
      <t>シヨウ</t>
    </rPh>
    <rPh sb="4" eb="5">
      <t>リョウ</t>
    </rPh>
    <rPh sb="6" eb="8">
      <t>サクゲン</t>
    </rPh>
    <phoneticPr fontId="22"/>
  </si>
  <si>
    <t>既存建築躯体等の継続使用</t>
    <rPh sb="6" eb="7">
      <t>トウ</t>
    </rPh>
    <rPh sb="8" eb="10">
      <t>ケイゾク</t>
    </rPh>
    <rPh sb="10" eb="12">
      <t>シヨウ</t>
    </rPh>
    <phoneticPr fontId="22"/>
  </si>
  <si>
    <t>躯体材料におけるリサイクル材の使用</t>
    <rPh sb="0" eb="2">
      <t>クタイ</t>
    </rPh>
    <rPh sb="2" eb="4">
      <t>ザイリョウ</t>
    </rPh>
    <rPh sb="13" eb="14">
      <t>ザイ</t>
    </rPh>
    <rPh sb="15" eb="17">
      <t>シヨウ</t>
    </rPh>
    <phoneticPr fontId="22"/>
  </si>
  <si>
    <t>持続可能な森林から産出された木材</t>
  </si>
  <si>
    <t>部材の再利用可能性向上への取組み</t>
    <rPh sb="9" eb="11">
      <t>コウジョウ</t>
    </rPh>
    <rPh sb="13" eb="15">
      <t>トリク</t>
    </rPh>
    <phoneticPr fontId="22"/>
  </si>
  <si>
    <t>汚染物質含有材料の使用回避</t>
    <rPh sb="0" eb="2">
      <t>オセン</t>
    </rPh>
    <rPh sb="2" eb="4">
      <t>ブッシツ</t>
    </rPh>
    <rPh sb="4" eb="6">
      <t>ガンユウ</t>
    </rPh>
    <rPh sb="6" eb="8">
      <t>ザイリョウ</t>
    </rPh>
    <rPh sb="9" eb="11">
      <t>シヨウ</t>
    </rPh>
    <rPh sb="11" eb="13">
      <t>カイヒ</t>
    </rPh>
    <phoneticPr fontId="22"/>
  </si>
  <si>
    <t>有害物質を含まない材料の使用</t>
    <rPh sb="0" eb="2">
      <t>ユウガイ</t>
    </rPh>
    <rPh sb="2" eb="4">
      <t>ブッシツ</t>
    </rPh>
    <rPh sb="5" eb="6">
      <t>フク</t>
    </rPh>
    <rPh sb="12" eb="14">
      <t>シヨウ</t>
    </rPh>
    <phoneticPr fontId="22"/>
  </si>
  <si>
    <t>フロン・ハロンの回避</t>
    <rPh sb="8" eb="10">
      <t>カイヒ</t>
    </rPh>
    <phoneticPr fontId="22"/>
  </si>
  <si>
    <t>事務室の天井高2.9m以上となっており、かつ、すべての執務者が十分な屋外の情報を得られるように窓が設置されている。</t>
    <phoneticPr fontId="22"/>
  </si>
  <si>
    <t>売場の天井高3.6m以上。</t>
    <phoneticPr fontId="22"/>
  </si>
  <si>
    <t>住居・宿泊部の天井高2.7m以上。</t>
    <phoneticPr fontId="22"/>
  </si>
  <si>
    <t>レストスペースが売り場面積の2％以上</t>
    <phoneticPr fontId="22"/>
  </si>
  <si>
    <t>レストスペースが売り場面積の3％以上</t>
    <phoneticPr fontId="22"/>
  </si>
  <si>
    <t>レストスペースが売り場面積の4％以上</t>
    <phoneticPr fontId="22"/>
  </si>
  <si>
    <t>評価する取り組みのうち２つの項目に該当する。</t>
    <phoneticPr fontId="22"/>
  </si>
  <si>
    <t>評価する取り組みのうち３つの項目に該当する。</t>
    <phoneticPr fontId="22"/>
  </si>
  <si>
    <t>評価する取り組みのうち４つの項目に該当する。</t>
    <phoneticPr fontId="22"/>
  </si>
  <si>
    <t>モックアップ（実物大模型）やインテリアパースによる内装計画の事前検証を実施している。</t>
    <phoneticPr fontId="22"/>
  </si>
  <si>
    <t>建築物衛生法における特定建築物に該当しない建築物</t>
    <phoneticPr fontId="22"/>
  </si>
  <si>
    <t>(該当するレベルなし)</t>
    <phoneticPr fontId="22"/>
  </si>
  <si>
    <t>冷却塔がない。または、冷却塔の水処理、飛散対策等が十分に施されており、給湯器は最低限の対策が施されている。</t>
  </si>
  <si>
    <t>換気</t>
    <rPh sb="0" eb="2">
      <t>カンキ</t>
    </rPh>
    <phoneticPr fontId="22"/>
  </si>
  <si>
    <r>
      <t xml:space="preserve">4.2.1 </t>
    </r>
    <r>
      <rPr>
        <b/>
        <sz val="10"/>
        <rFont val="ＭＳ Ｐゴシック"/>
        <family val="3"/>
        <charset val="128"/>
      </rPr>
      <t>換気量</t>
    </r>
    <rPh sb="6" eb="9">
      <t>カンキリョウ</t>
    </rPh>
    <phoneticPr fontId="22"/>
  </si>
  <si>
    <t>事・学(大学等)・物・飲・会・病・ホ・工・住</t>
    <rPh sb="0" eb="1">
      <t>コト</t>
    </rPh>
    <rPh sb="2" eb="3">
      <t>ガク</t>
    </rPh>
    <rPh sb="9" eb="10">
      <t>モノ</t>
    </rPh>
    <rPh sb="11" eb="12">
      <t>イン</t>
    </rPh>
    <rPh sb="13" eb="14">
      <t>カイ</t>
    </rPh>
    <rPh sb="15" eb="16">
      <t>ヤマイ</t>
    </rPh>
    <rPh sb="21" eb="22">
      <t>ジュウ</t>
    </rPh>
    <phoneticPr fontId="22"/>
  </si>
  <si>
    <t>中央管理方式の空気調和設備が設置されている居室の場合は30㎥/ｈ人以上。中央管理方式でない場合は建築基準法（シックハウス対応含む）および建築物衛生法を満たす換気量の1.2倍となっている。</t>
    <rPh sb="32" eb="33">
      <t>ニン</t>
    </rPh>
    <rPh sb="33" eb="35">
      <t>イジョウ</t>
    </rPh>
    <phoneticPr fontId="22"/>
  </si>
  <si>
    <t>中央管理方式の空気調和設備が設置されている居室の場合は35㎥/ｈ人以上。中央管理方式でない場合は建築基準法（シックハウス対応含む）および建築物衛生法を満たす換気量の1.4倍となっている。</t>
    <phoneticPr fontId="22"/>
  </si>
  <si>
    <r>
      <t xml:space="preserve">4.2.2 </t>
    </r>
    <r>
      <rPr>
        <b/>
        <sz val="10"/>
        <rFont val="ＭＳ Ｐゴシック"/>
        <family val="3"/>
        <charset val="128"/>
      </rPr>
      <t>自然換気性能</t>
    </r>
    <rPh sb="6" eb="8">
      <t>シゼン</t>
    </rPh>
    <rPh sb="8" eb="10">
      <t>カンキ</t>
    </rPh>
    <rPh sb="10" eb="12">
      <t>セイノウ</t>
    </rPh>
    <phoneticPr fontId="22"/>
  </si>
  <si>
    <t>地域区分Ⅱ</t>
  </si>
  <si>
    <t>照明計画と内装計画が一体として計画されるよう、内装計画の段階で、具体的な取り組みがある。（例えば、用途に適した雰囲気を演出するための間接照明の採用や光源の色温度の計画を内装計画と合わせて実施している等）</t>
    <rPh sb="45" eb="46">
      <t>タト</t>
    </rPh>
    <rPh sb="49" eb="51">
      <t>ヨウト</t>
    </rPh>
    <rPh sb="52" eb="53">
      <t>テキ</t>
    </rPh>
    <rPh sb="55" eb="58">
      <t>フンイキ</t>
    </rPh>
    <rPh sb="59" eb="61">
      <t>エンシュツ</t>
    </rPh>
    <rPh sb="66" eb="68">
      <t>カンセツ</t>
    </rPh>
    <rPh sb="68" eb="70">
      <t>ショウメイ</t>
    </rPh>
    <rPh sb="71" eb="73">
      <t>サイヨウ</t>
    </rPh>
    <rPh sb="74" eb="75">
      <t>ヒカリ</t>
    </rPh>
    <rPh sb="75" eb="76">
      <t>ゲン</t>
    </rPh>
    <rPh sb="77" eb="78">
      <t>イロ</t>
    </rPh>
    <rPh sb="78" eb="80">
      <t>オンド</t>
    </rPh>
    <rPh sb="81" eb="83">
      <t>ケイカク</t>
    </rPh>
    <rPh sb="84" eb="86">
      <t>ナイソウ</t>
    </rPh>
    <rPh sb="86" eb="88">
      <t>ケイカク</t>
    </rPh>
    <rPh sb="89" eb="90">
      <t>ア</t>
    </rPh>
    <rPh sb="93" eb="95">
      <t>ジッシ</t>
    </rPh>
    <rPh sb="99" eb="100">
      <t>トウ</t>
    </rPh>
    <phoneticPr fontId="22"/>
  </si>
  <si>
    <r>
      <t xml:space="preserve">1.3.1 </t>
    </r>
    <r>
      <rPr>
        <b/>
        <sz val="10"/>
        <rFont val="ＭＳ Ｐゴシック"/>
        <family val="3"/>
        <charset val="128"/>
      </rPr>
      <t>維持管理に配慮した設計</t>
    </r>
    <rPh sb="6" eb="8">
      <t>イジ</t>
    </rPh>
    <rPh sb="8" eb="10">
      <t>カンリ</t>
    </rPh>
    <rPh sb="11" eb="13">
      <t>ハイリョ</t>
    </rPh>
    <rPh sb="15" eb="17">
      <t>セッケイ</t>
    </rPh>
    <phoneticPr fontId="22"/>
  </si>
  <si>
    <t>建物全体・共用部分</t>
    <phoneticPr fontId="22"/>
  </si>
  <si>
    <t>延床面積＝</t>
    <rPh sb="0" eb="1">
      <t>ノベ</t>
    </rPh>
    <rPh sb="1" eb="4">
      <t>ユカメンセキ</t>
    </rPh>
    <phoneticPr fontId="22"/>
  </si>
  <si>
    <t>備考</t>
    <rPh sb="0" eb="2">
      <t>ビコウ</t>
    </rPh>
    <phoneticPr fontId="22"/>
  </si>
  <si>
    <t>評価する取組み表の評価ポイントの合計値が18ポイント以上</t>
  </si>
  <si>
    <t>2～3</t>
  </si>
  <si>
    <t>学校版基準</t>
    <rPh sb="0" eb="2">
      <t>ガッコウ</t>
    </rPh>
    <rPh sb="2" eb="3">
      <t>バン</t>
    </rPh>
    <rPh sb="3" eb="5">
      <t>キジュン</t>
    </rPh>
    <phoneticPr fontId="22"/>
  </si>
  <si>
    <t>一般地域</t>
    <rPh sb="0" eb="2">
      <t>イッパン</t>
    </rPh>
    <rPh sb="2" eb="4">
      <t>チイキ</t>
    </rPh>
    <phoneticPr fontId="3"/>
  </si>
  <si>
    <r>
      <t>厚さが</t>
    </r>
    <r>
      <rPr>
        <sz val="11"/>
        <rFont val="ＭＳ Ｐゴシック"/>
        <family val="3"/>
        <charset val="128"/>
      </rPr>
      <t>20mm</t>
    </r>
    <r>
      <rPr>
        <sz val="9"/>
        <rFont val="ＭＳ Ｐゴシック"/>
        <family val="3"/>
        <charset val="128"/>
      </rPr>
      <t>以上の吹付け硬質ｳﾚﾀﾝﾌｫｰﾑ断熱材その他これに相当する断熱性能を使用し、且つ複層ガラスを使用している</t>
    </r>
    <rPh sb="45" eb="46">
      <t>カ</t>
    </rPh>
    <phoneticPr fontId="22"/>
  </si>
  <si>
    <r>
      <t>厚さが4</t>
    </r>
    <r>
      <rPr>
        <sz val="11"/>
        <rFont val="ＭＳ Ｐゴシック"/>
        <family val="3"/>
        <charset val="128"/>
      </rPr>
      <t>0mm</t>
    </r>
    <r>
      <rPr>
        <sz val="9"/>
        <rFont val="ＭＳ Ｐゴシック"/>
        <family val="3"/>
        <charset val="128"/>
      </rPr>
      <t>以上の吹付け硬質ｳﾚﾀﾝﾌｫｰﾑ断熱材その他これに相当する断熱性能を使用し、且つ複層ガラスを使用している</t>
    </r>
    <rPh sb="45" eb="46">
      <t>カ</t>
    </rPh>
    <phoneticPr fontId="22"/>
  </si>
  <si>
    <r>
      <t>（</t>
    </r>
    <r>
      <rPr>
        <b/>
        <sz val="12"/>
        <color indexed="9"/>
        <rFont val="Arial"/>
        <family val="2"/>
      </rPr>
      <t>3</t>
    </r>
    <r>
      <rPr>
        <b/>
        <sz val="12"/>
        <color indexed="9"/>
        <rFont val="ＭＳ Ｐゴシック"/>
        <family val="3"/>
        <charset val="128"/>
      </rPr>
      <t>）</t>
    </r>
    <r>
      <rPr>
        <b/>
        <sz val="12"/>
        <color indexed="9"/>
        <rFont val="Arial"/>
        <family val="2"/>
      </rPr>
      <t>-1</t>
    </r>
    <r>
      <rPr>
        <b/>
        <sz val="12"/>
        <color indexed="9"/>
        <rFont val="ＭＳ Ｐゴシック"/>
        <family val="3"/>
        <charset val="128"/>
      </rPr>
      <t>　建築物の代表的な環境負荷に関する定量的な評価指標</t>
    </r>
    <rPh sb="6" eb="9">
      <t>ｹﾝﾁｸﾌﾞﾂ</t>
    </rPh>
    <rPh sb="10" eb="13">
      <t>ﾀﾞｲﾋｮｳﾃｷ</t>
    </rPh>
    <rPh sb="14" eb="16">
      <t>ｶﾝｷｮｳ</t>
    </rPh>
    <rPh sb="16" eb="18">
      <t>ﾌｶ</t>
    </rPh>
    <rPh sb="19" eb="20">
      <t>ｶﾝ</t>
    </rPh>
    <rPh sb="22" eb="25">
      <t>ﾃｲﾘｮｳﾃｷ</t>
    </rPh>
    <rPh sb="26" eb="28">
      <t>ﾋｮｳｶ</t>
    </rPh>
    <rPh sb="28" eb="30">
      <t>ｼﾋｮｳ</t>
    </rPh>
    <phoneticPr fontId="34" type="noConversion"/>
  </si>
  <si>
    <t>年間延床面積あたり指標</t>
    <rPh sb="0" eb="2">
      <t>ネンカン</t>
    </rPh>
    <rPh sb="2" eb="3">
      <t>ノ</t>
    </rPh>
    <rPh sb="3" eb="6">
      <t>ユカメンセキ</t>
    </rPh>
    <rPh sb="9" eb="11">
      <t>シヒョウ</t>
    </rPh>
    <phoneticPr fontId="22"/>
  </si>
  <si>
    <t>プルダウン選択肢</t>
    <rPh sb="5" eb="8">
      <t>センタクシ</t>
    </rPh>
    <phoneticPr fontId="22"/>
  </si>
  <si>
    <t>　レベル　2</t>
  </si>
  <si>
    <t>■レベル　2</t>
  </si>
  <si>
    <t>45＜ [騒音レベル] ≦50</t>
    <phoneticPr fontId="22"/>
  </si>
  <si>
    <t>40＜ [騒音レベル] ≦45</t>
    <phoneticPr fontId="22"/>
  </si>
  <si>
    <t>50＜ [騒音レベル] ≦55</t>
    <phoneticPr fontId="22"/>
  </si>
  <si>
    <t>35＜ [騒音レベル] ≦40</t>
    <phoneticPr fontId="22"/>
  </si>
  <si>
    <t>　レベル　3</t>
  </si>
  <si>
    <t>■レベル　3</t>
  </si>
  <si>
    <t>30＜ [騒音レベル] ≦35</t>
    <phoneticPr fontId="22"/>
  </si>
  <si>
    <t>35＜ [騒音レベル] ≦45</t>
    <phoneticPr fontId="22"/>
  </si>
  <si>
    <t>ISS 、設備階の設置などによって、仕上げ材を痛めることなく空調配管の更新・修繕が容易にできる。</t>
    <phoneticPr fontId="22"/>
  </si>
  <si>
    <t>構造部材、仕上げ材を痛めることなく修繕、更新できる。</t>
    <phoneticPr fontId="22"/>
  </si>
  <si>
    <t>小中（北海道）</t>
    <rPh sb="0" eb="1">
      <t>ショウ</t>
    </rPh>
    <rPh sb="1" eb="2">
      <t>チュウ</t>
    </rPh>
    <rPh sb="3" eb="6">
      <t>ホッカイドウ</t>
    </rPh>
    <phoneticPr fontId="22"/>
  </si>
  <si>
    <t>小中（その他）</t>
    <rPh sb="0" eb="2">
      <t>ショウチュウ</t>
    </rPh>
    <rPh sb="5" eb="6">
      <t>ホカ</t>
    </rPh>
    <phoneticPr fontId="22"/>
  </si>
  <si>
    <t>実排出係数及び代替値</t>
    <phoneticPr fontId="22"/>
  </si>
  <si>
    <t>調整後排出係数</t>
    <phoneticPr fontId="22"/>
  </si>
  <si>
    <t>評価ﾚﾍﾞﾙ</t>
    <phoneticPr fontId="22"/>
  </si>
  <si>
    <t>Ａａ1</t>
    <phoneticPr fontId="22"/>
  </si>
  <si>
    <t>Ａｂ1</t>
    <phoneticPr fontId="22"/>
  </si>
  <si>
    <t>Ｂａ1</t>
    <phoneticPr fontId="22"/>
  </si>
  <si>
    <t>Ｂｂ1</t>
    <phoneticPr fontId="22"/>
  </si>
  <si>
    <t>Ｃａ1</t>
    <phoneticPr fontId="22"/>
  </si>
  <si>
    <t>ratio</t>
    <phoneticPr fontId="22"/>
  </si>
  <si>
    <t>日本建築学会による2005年産業連関表分析による日本の平均値</t>
    <rPh sb="0" eb="2">
      <t>ニホン</t>
    </rPh>
    <rPh sb="2" eb="4">
      <t>ケンチク</t>
    </rPh>
    <rPh sb="4" eb="6">
      <t>ガッカイ</t>
    </rPh>
    <rPh sb="13" eb="14">
      <t>ネン</t>
    </rPh>
    <rPh sb="14" eb="16">
      <t>サンギョウ</t>
    </rPh>
    <rPh sb="16" eb="18">
      <t>レンカン</t>
    </rPh>
    <rPh sb="18" eb="19">
      <t>ヒョウ</t>
    </rPh>
    <rPh sb="19" eb="21">
      <t>ブンセキ</t>
    </rPh>
    <rPh sb="24" eb="26">
      <t>ニホン</t>
    </rPh>
    <rPh sb="27" eb="30">
      <t>ヘイキンチ</t>
    </rPh>
    <phoneticPr fontId="22"/>
  </si>
  <si>
    <t>日本建築学会による2005年産業連関表分析による分析結果</t>
    <rPh sb="0" eb="2">
      <t>ニホン</t>
    </rPh>
    <rPh sb="2" eb="4">
      <t>ケンチク</t>
    </rPh>
    <rPh sb="4" eb="6">
      <t>ガッカイ</t>
    </rPh>
    <rPh sb="13" eb="14">
      <t>ネン</t>
    </rPh>
    <rPh sb="14" eb="16">
      <t>サンギョウ</t>
    </rPh>
    <rPh sb="16" eb="18">
      <t>レンカン</t>
    </rPh>
    <rPh sb="18" eb="19">
      <t>ヒョウ</t>
    </rPh>
    <rPh sb="19" eb="21">
      <t>ブンセキ</t>
    </rPh>
    <rPh sb="24" eb="26">
      <t>ブンセキ</t>
    </rPh>
    <rPh sb="26" eb="28">
      <t>ケッカ</t>
    </rPh>
    <phoneticPr fontId="22"/>
  </si>
  <si>
    <t>&lt;評価しない&gt;</t>
    <rPh sb="1" eb="3">
      <t>ヒョウカ</t>
    </rPh>
    <phoneticPr fontId="22"/>
  </si>
  <si>
    <t>音環境</t>
    <rPh sb="0" eb="1">
      <t>オト</t>
    </rPh>
    <rPh sb="1" eb="3">
      <t>カンキョウ</t>
    </rPh>
    <phoneticPr fontId="22"/>
  </si>
  <si>
    <t>建物全体・共用部分</t>
    <phoneticPr fontId="22"/>
  </si>
  <si>
    <t>重み係数(既定）＝</t>
    <rPh sb="0" eb="1">
      <t>オモ</t>
    </rPh>
    <rPh sb="2" eb="4">
      <t>ケイスウ</t>
    </rPh>
    <rPh sb="5" eb="7">
      <t>キテイ</t>
    </rPh>
    <phoneticPr fontId="22"/>
  </si>
  <si>
    <t>学(小中高)</t>
    <rPh sb="0" eb="1">
      <t>ガク</t>
    </rPh>
    <rPh sb="2" eb="5">
      <t>ショウチュウコウ</t>
    </rPh>
    <phoneticPr fontId="22"/>
  </si>
  <si>
    <t>病・ホ・住</t>
    <rPh sb="0" eb="1">
      <t>ビョウ</t>
    </rPh>
    <rPh sb="4" eb="5">
      <t>ジュウ</t>
    </rPh>
    <phoneticPr fontId="22"/>
  </si>
  <si>
    <t>50＜ [騒音レベル]</t>
  </si>
  <si>
    <t>45＜ [騒音レベル]</t>
  </si>
  <si>
    <t>55＜ [騒音レベル]</t>
    <phoneticPr fontId="22"/>
  </si>
  <si>
    <t>40＜ [騒音レベル]</t>
  </si>
  <si>
    <r>
      <t>kg-CO</t>
    </r>
    <r>
      <rPr>
        <vertAlign val="subscript"/>
        <sz val="9"/>
        <rFont val="ＭＳ Ｐゴシック"/>
        <family val="3"/>
        <charset val="128"/>
      </rPr>
      <t>2</t>
    </r>
    <r>
      <rPr>
        <sz val="9"/>
        <rFont val="ＭＳ Ｐゴシック"/>
        <family val="3"/>
        <charset val="128"/>
      </rPr>
      <t>/年㎡</t>
    </r>
    <rPh sb="7" eb="8">
      <t>ネン</t>
    </rPh>
    <phoneticPr fontId="22"/>
  </si>
  <si>
    <t>ライフサイクルCO2排出率が、一般的な建物（参照値）に対して１２５％以上</t>
    <rPh sb="19" eb="21">
      <t>タテモノ</t>
    </rPh>
    <phoneticPr fontId="22"/>
  </si>
  <si>
    <t>ライフサイクルCO2排出率が、一般的な建物（参照値）と同等</t>
    <rPh sb="19" eb="21">
      <t>タテモノ</t>
    </rPh>
    <phoneticPr fontId="22"/>
  </si>
  <si>
    <t>2.3.2</t>
    <phoneticPr fontId="22"/>
  </si>
  <si>
    <t>2.3.3</t>
    <phoneticPr fontId="22"/>
  </si>
  <si>
    <t xml:space="preserve"> Q2 2.3</t>
    <phoneticPr fontId="22"/>
  </si>
  <si>
    <t>2.3.3</t>
    <phoneticPr fontId="22"/>
  </si>
  <si>
    <t>2.4.1</t>
    <phoneticPr fontId="22"/>
  </si>
  <si>
    <t>3.1.1</t>
    <phoneticPr fontId="22"/>
  </si>
  <si>
    <t>3.1.2</t>
    <phoneticPr fontId="22"/>
  </si>
  <si>
    <t>3.3.1</t>
    <phoneticPr fontId="22"/>
  </si>
  <si>
    <t>3.3.2</t>
    <phoneticPr fontId="22"/>
  </si>
  <si>
    <t>3.3.3</t>
    <phoneticPr fontId="22"/>
  </si>
  <si>
    <t>3.3.4</t>
    <phoneticPr fontId="22"/>
  </si>
  <si>
    <t>3.3.5</t>
    <phoneticPr fontId="22"/>
  </si>
  <si>
    <t>3.3.6</t>
    <phoneticPr fontId="22"/>
  </si>
  <si>
    <t>Q3</t>
    <phoneticPr fontId="22"/>
  </si>
  <si>
    <t>室外環境（敷地内）</t>
    <phoneticPr fontId="22"/>
  </si>
  <si>
    <t>まちなみ・景観への配慮</t>
    <phoneticPr fontId="22"/>
  </si>
  <si>
    <t>地域性・アメニティへの配慮</t>
    <phoneticPr fontId="22"/>
  </si>
  <si>
    <t>3.1</t>
    <phoneticPr fontId="22"/>
  </si>
  <si>
    <t>地域性への配慮、快適性の向上</t>
    <phoneticPr fontId="22"/>
  </si>
  <si>
    <t>3.2</t>
    <phoneticPr fontId="22"/>
  </si>
  <si>
    <t>敷地内温熱環境の向上</t>
    <phoneticPr fontId="22"/>
  </si>
  <si>
    <t>LR</t>
    <phoneticPr fontId="34" type="noConversion"/>
  </si>
  <si>
    <t>LR</t>
    <phoneticPr fontId="34" type="noConversion"/>
  </si>
  <si>
    <t>LR1</t>
    <phoneticPr fontId="34" type="noConversion"/>
  </si>
  <si>
    <t>LR</t>
    <phoneticPr fontId="22"/>
  </si>
  <si>
    <t>エネルギー</t>
    <phoneticPr fontId="22"/>
  </si>
  <si>
    <t>2.1</t>
    <phoneticPr fontId="22"/>
  </si>
  <si>
    <t>2.2</t>
    <phoneticPr fontId="22"/>
  </si>
  <si>
    <t>3a</t>
    <phoneticPr fontId="22"/>
  </si>
  <si>
    <t>LR1 3</t>
    <phoneticPr fontId="22"/>
  </si>
  <si>
    <t>LR1 3b</t>
    <phoneticPr fontId="22"/>
  </si>
  <si>
    <t>LR</t>
    <phoneticPr fontId="22"/>
  </si>
  <si>
    <t>地域区分Ⅰ</t>
    <phoneticPr fontId="22"/>
  </si>
  <si>
    <t>2.6</t>
    <phoneticPr fontId="22"/>
  </si>
  <si>
    <t>3.1</t>
    <phoneticPr fontId="22"/>
  </si>
  <si>
    <t>3.1</t>
    <phoneticPr fontId="22"/>
  </si>
  <si>
    <t>3.2</t>
    <phoneticPr fontId="22"/>
  </si>
  <si>
    <t>3.2.1</t>
    <phoneticPr fontId="22"/>
  </si>
  <si>
    <t>消火剤</t>
    <phoneticPr fontId="22"/>
  </si>
  <si>
    <t>3.2.2</t>
    <phoneticPr fontId="22"/>
  </si>
  <si>
    <t>発泡剤（断熱材等）</t>
    <phoneticPr fontId="22"/>
  </si>
  <si>
    <t>(blank star)</t>
    <phoneticPr fontId="22"/>
  </si>
  <si>
    <t>LCCO2(kg-CO2/ym2)</t>
    <phoneticPr fontId="22"/>
  </si>
  <si>
    <t>オンサイト</t>
    <phoneticPr fontId="22"/>
  </si>
  <si>
    <t>オフサイト</t>
    <phoneticPr fontId="22"/>
  </si>
  <si>
    <t>％</t>
    <phoneticPr fontId="22"/>
  </si>
  <si>
    <t>Sum</t>
    <phoneticPr fontId="22"/>
  </si>
  <si>
    <r>
      <t>2-4</t>
    </r>
    <r>
      <rPr>
        <b/>
        <sz val="12"/>
        <color indexed="9"/>
        <rFont val="ＭＳ Ｐゴシック"/>
        <family val="3"/>
        <charset val="128"/>
      </rPr>
      <t>　中項目の評価（バーチャート）</t>
    </r>
    <phoneticPr fontId="22"/>
  </si>
  <si>
    <t>Q-2 サービス性能</t>
    <phoneticPr fontId="22"/>
  </si>
  <si>
    <t>Score(RoundDown)</t>
    <phoneticPr fontId="22"/>
  </si>
  <si>
    <t>NA</t>
    <phoneticPr fontId="22"/>
  </si>
  <si>
    <t>まちなみ景観</t>
    <phoneticPr fontId="22"/>
  </si>
  <si>
    <r>
      <t>LR</t>
    </r>
    <r>
      <rPr>
        <b/>
        <sz val="11"/>
        <color indexed="42"/>
        <rFont val="ＭＳ Ｐゴシック"/>
        <family val="3"/>
        <charset val="128"/>
      </rPr>
      <t>　環境負荷低減性</t>
    </r>
    <phoneticPr fontId="22"/>
  </si>
  <si>
    <r>
      <t>LR</t>
    </r>
    <r>
      <rPr>
        <b/>
        <i/>
        <sz val="14"/>
        <color indexed="9"/>
        <rFont val="ＭＳ Ｐゴシック"/>
        <family val="3"/>
        <charset val="128"/>
      </rPr>
      <t>のスコア</t>
    </r>
    <r>
      <rPr>
        <b/>
        <i/>
        <sz val="14"/>
        <color indexed="9"/>
        <rFont val="Arial"/>
        <family val="2"/>
      </rPr>
      <t>=</t>
    </r>
    <phoneticPr fontId="22"/>
  </si>
  <si>
    <t>Score(RoundDown)</t>
    <phoneticPr fontId="22"/>
  </si>
  <si>
    <t>Score</t>
    <phoneticPr fontId="22"/>
  </si>
  <si>
    <t>LR-1 エネルギー</t>
    <phoneticPr fontId="22"/>
  </si>
  <si>
    <t>Score(RoundDown)</t>
    <phoneticPr fontId="22"/>
  </si>
  <si>
    <t>NA</t>
    <phoneticPr fontId="22"/>
  </si>
  <si>
    <t>持続可能な森林から産出された木材</t>
    <rPh sb="0" eb="2">
      <t>ジゾク</t>
    </rPh>
    <rPh sb="2" eb="4">
      <t>カノウ</t>
    </rPh>
    <rPh sb="5" eb="7">
      <t>シンリン</t>
    </rPh>
    <rPh sb="9" eb="11">
      <t>サンシュツ</t>
    </rPh>
    <rPh sb="14" eb="16">
      <t>モクザイ</t>
    </rPh>
    <phoneticPr fontId="22"/>
  </si>
  <si>
    <t>持続可能な森林から産出された木材の使用比率が50％以上。</t>
  </si>
  <si>
    <t>部材の再利用可能性向上への取組み</t>
    <rPh sb="0" eb="2">
      <t>ブザイ</t>
    </rPh>
    <rPh sb="3" eb="11">
      <t>サイリヨウカノウセイコウジョウ</t>
    </rPh>
    <rPh sb="13" eb="15">
      <t>トリク</t>
    </rPh>
    <phoneticPr fontId="22"/>
  </si>
  <si>
    <t>解体時におけるリサイクルを促進する対策として、評価する取組みをひとつも行っていない。</t>
  </si>
  <si>
    <t>解体時におけるリサイクルを促進する対策として、評価する取組みを1ポイント以上実施している。</t>
  </si>
  <si>
    <t>解体時におけるリサイクルを促進する対策として、評価する取組みを2ポイント以上実施している。</t>
  </si>
  <si>
    <t>躯体と仕上げ材が容易に分別可能となっている</t>
  </si>
  <si>
    <t>学(小中高)・住</t>
    <rPh sb="0" eb="1">
      <t>ガク</t>
    </rPh>
    <rPh sb="2" eb="3">
      <t>ショウ</t>
    </rPh>
    <rPh sb="3" eb="4">
      <t>チュウ</t>
    </rPh>
    <rPh sb="4" eb="5">
      <t>コウ</t>
    </rPh>
    <rPh sb="7" eb="8">
      <t>ジュウ</t>
    </rPh>
    <phoneticPr fontId="22"/>
  </si>
  <si>
    <t>レベル３に対する、採光・通風が行えない。</t>
    <rPh sb="5" eb="6">
      <t>タイ</t>
    </rPh>
    <phoneticPr fontId="22"/>
  </si>
  <si>
    <t>建物全体・共用部分</t>
    <phoneticPr fontId="22"/>
  </si>
  <si>
    <t>学（小中高）</t>
    <phoneticPr fontId="22"/>
  </si>
  <si>
    <t>ホルムアルデヒド濃度が75μg/m3以下。
かつ、トルエン濃度が195μg/m3以下。</t>
    <phoneticPr fontId="22"/>
  </si>
  <si>
    <t>建築基準法を満たしており、かつ建築基準法規制対象外となる建築材料（告示対象外の建材およびJIS・JAS規格のＦ☆☆☆☆）をほぼ全面的（床・壁・天井・天井裏の面積の合計の70％以上の面積）に採用している。</t>
    <phoneticPr fontId="22"/>
  </si>
  <si>
    <t>建築基準法を満たしており、かつ建築基準法規制対象外となる建築材料（告示対象外の建材およびJIS・JAS規格のＦ☆☆☆☆）をほぼ全面的（床・壁・天井・天井裏の面積の合計の90％以上の面積）に採用している。さらに、ホルムアルデヒド以外のVOCについても放散量が少ない建材を全面的に採用している。</t>
    <phoneticPr fontId="22"/>
  </si>
  <si>
    <t xml:space="preserve">ホルムアルデヒド濃度が50μg/m3以下。
かつ、トルエン濃度が130μg/m3以下。
</t>
    <phoneticPr fontId="22"/>
  </si>
  <si>
    <t>事・学・物・飲・会・病・ホ・工・住</t>
    <phoneticPr fontId="22"/>
  </si>
  <si>
    <t>昼光利用設備が２種類以上ある、または高度な機能を有する。</t>
    <phoneticPr fontId="22"/>
  </si>
  <si>
    <t>昼光利用設備がある。</t>
    <phoneticPr fontId="22"/>
  </si>
  <si>
    <t>建物全体・共用部分</t>
    <phoneticPr fontId="22"/>
  </si>
  <si>
    <t>-</t>
    <phoneticPr fontId="22"/>
  </si>
  <si>
    <t>水平方向から見て光源が露出せずグレアを制限している器具。G2分類の器具。</t>
    <phoneticPr fontId="22"/>
  </si>
  <si>
    <t>反射板形状の工夫、ルーバー・透光性カバーなどにより十分にグレアを制限している器具。G1、G0、V分類の器具。</t>
    <phoneticPr fontId="22"/>
  </si>
  <si>
    <t>何もない。</t>
    <phoneticPr fontId="22"/>
  </si>
  <si>
    <t>スクリーン、オーニング、庇によりグレアを制御。</t>
    <phoneticPr fontId="22"/>
  </si>
  <si>
    <t>ブラインドによりグレアを制御、もしくはスクリーン、オーニング、庇のうち2種類を組み合わせてグレアを制御。</t>
    <phoneticPr fontId="22"/>
  </si>
  <si>
    <t>カーテン、スクリーン、オーニング、庇によりグレアを制御。</t>
    <phoneticPr fontId="22"/>
  </si>
  <si>
    <t>ブラインドに、スクリーン、オーニング、庇のうち１種類以上を組合せてグレアを制御。</t>
    <phoneticPr fontId="22"/>
  </si>
  <si>
    <t>ブラインドによりグレアを制御、もしくはカーテン、スクリーン、オーニング、庇のうち、２種類以上を組み合わせて制御。</t>
    <phoneticPr fontId="22"/>
  </si>
  <si>
    <t>ブラインドに、カーテン、スクリーン、オーニング、庇のうち、１種類以上を組み合わせて制御。</t>
    <phoneticPr fontId="22"/>
  </si>
  <si>
    <t>レベル３を満たさない。</t>
    <phoneticPr fontId="22"/>
  </si>
  <si>
    <t>教室内で視界に見え方を妨害するような「まぶしさ」を感じさせる強い光源がないこと。
（解説（ア）～（ウ））</t>
    <phoneticPr fontId="22"/>
  </si>
  <si>
    <t>レベル３を満たし、かつ、カーテンを使用する、などの運用面の取り組みを行っている。</t>
    <phoneticPr fontId="22"/>
  </si>
  <si>
    <t>判定基準</t>
    <phoneticPr fontId="22"/>
  </si>
  <si>
    <t>建物全体・共用部分</t>
    <phoneticPr fontId="22"/>
  </si>
  <si>
    <t>学</t>
    <phoneticPr fontId="22"/>
  </si>
  <si>
    <t>病(待)</t>
    <phoneticPr fontId="22"/>
  </si>
  <si>
    <t>ホ</t>
    <phoneticPr fontId="22"/>
  </si>
  <si>
    <t>病</t>
    <phoneticPr fontId="22"/>
  </si>
  <si>
    <t>予備スリーブを用いれば構造部材を痛めることなく空調配管の更新・修繕ができる場合もあるが全ての配管の更新・修繕には対応できない。</t>
  </si>
  <si>
    <t>構造部材を痛めることなく修繕できるが、更新できない。</t>
  </si>
  <si>
    <t>構造部材、仕上げ材を痛めることなく修繕できるが、仕上げ材、構造部材を痛めないと更新できない。</t>
  </si>
  <si>
    <t>外部空調配管、天井スペースが確保されることによって、構造部材だけでなく仕上げ材を痛めることなく空調配管の更新・修繕ができる。</t>
  </si>
  <si>
    <t>構造部材を痛めることなく修繕、更新できる。</t>
  </si>
  <si>
    <r>
      <t xml:space="preserve">3.3.3 </t>
    </r>
    <r>
      <rPr>
        <b/>
        <sz val="10"/>
        <rFont val="ＭＳ Ｐゴシック"/>
        <family val="3"/>
        <charset val="128"/>
      </rPr>
      <t>電気配線の更新性</t>
    </r>
    <rPh sb="6" eb="8">
      <t>デンキ</t>
    </rPh>
    <rPh sb="8" eb="10">
      <t>ハイセン</t>
    </rPh>
    <rPh sb="11" eb="13">
      <t>コウシン</t>
    </rPh>
    <rPh sb="13" eb="14">
      <t>セイ</t>
    </rPh>
    <phoneticPr fontId="22"/>
  </si>
  <si>
    <t>構造部材を痛めなければ電気配線の更新・修繕ができない。</t>
  </si>
  <si>
    <t>構造部材を痛めなければ通信配線の更新・修繕ができない。</t>
  </si>
  <si>
    <t>構造部材だけでなく、仕上げ材を痛めることなく電気配線の更新・修繕ができる。</t>
  </si>
  <si>
    <t>仕上げ材を痛めることなく通信配線の更新・修繕ができる。</t>
  </si>
  <si>
    <r>
      <t xml:space="preserve">3.3.5 </t>
    </r>
    <r>
      <rPr>
        <b/>
        <sz val="10"/>
        <rFont val="ＭＳ Ｐゴシック"/>
        <family val="3"/>
        <charset val="128"/>
      </rPr>
      <t>設備機器の更新性</t>
    </r>
    <rPh sb="6" eb="8">
      <t>セツビ</t>
    </rPh>
    <rPh sb="8" eb="10">
      <t>キキ</t>
    </rPh>
    <rPh sb="11" eb="13">
      <t>コウシン</t>
    </rPh>
    <rPh sb="13" eb="14">
      <t>セイ</t>
    </rPh>
    <phoneticPr fontId="22"/>
  </si>
  <si>
    <r>
      <t xml:space="preserve">3.3.6 </t>
    </r>
    <r>
      <rPr>
        <b/>
        <sz val="10"/>
        <rFont val="ＭＳ Ｐゴシック"/>
        <family val="3"/>
        <charset val="128"/>
      </rPr>
      <t>バックアップスペースの確保</t>
    </r>
    <rPh sb="17" eb="19">
      <t>カクホ</t>
    </rPh>
    <phoneticPr fontId="22"/>
  </si>
  <si>
    <t>バックアップ設備のためのスペースが計画的に確保されていない。</t>
  </si>
  <si>
    <t>11年以上～20年未満</t>
  </si>
  <si>
    <t>屋外露出ダクト、厨房排気ダクト、高湿系排気ダクトなど亜鉛鉄板では耐用年数が一般空調換気と比較して短くなると考えられる系統にステンレスダクトやガルバリウムダクトなど長寿命化を図っている。または、内部結露水を適切に排水できるようになっている。</t>
    <rPh sb="0" eb="2">
      <t>オクガイ</t>
    </rPh>
    <rPh sb="2" eb="4">
      <t>ロシュツ</t>
    </rPh>
    <rPh sb="8" eb="10">
      <t>チュウボウ</t>
    </rPh>
    <rPh sb="10" eb="12">
      <t>ハイキ</t>
    </rPh>
    <rPh sb="16" eb="18">
      <t>コウシツ</t>
    </rPh>
    <rPh sb="18" eb="19">
      <t>ケイ</t>
    </rPh>
    <rPh sb="19" eb="21">
      <t>ハイキ</t>
    </rPh>
    <rPh sb="26" eb="28">
      <t>アエン</t>
    </rPh>
    <rPh sb="28" eb="30">
      <t>テッパン</t>
    </rPh>
    <rPh sb="32" eb="34">
      <t>タイヨウ</t>
    </rPh>
    <rPh sb="34" eb="36">
      <t>ネンスウ</t>
    </rPh>
    <rPh sb="37" eb="39">
      <t>イッパン</t>
    </rPh>
    <rPh sb="39" eb="41">
      <t>クウチョウ</t>
    </rPh>
    <rPh sb="41" eb="43">
      <t>カンキ</t>
    </rPh>
    <rPh sb="44" eb="46">
      <t>ヒカク</t>
    </rPh>
    <rPh sb="48" eb="49">
      <t>ミジカ</t>
    </rPh>
    <rPh sb="53" eb="54">
      <t>カンガ</t>
    </rPh>
    <rPh sb="58" eb="60">
      <t>ケイトウ</t>
    </rPh>
    <rPh sb="81" eb="82">
      <t>チョウ</t>
    </rPh>
    <rPh sb="82" eb="85">
      <t>ジュミョウカ</t>
    </rPh>
    <rPh sb="86" eb="87">
      <t>ハカ</t>
    </rPh>
    <rPh sb="96" eb="98">
      <t>ナイブ</t>
    </rPh>
    <rPh sb="98" eb="100">
      <t>ケツロ</t>
    </rPh>
    <rPh sb="100" eb="101">
      <t>スイ</t>
    </rPh>
    <rPh sb="102" eb="104">
      <t>テキセツ</t>
    </rPh>
    <rPh sb="105" eb="107">
      <t>ハイスイ</t>
    </rPh>
    <phoneticPr fontId="22"/>
  </si>
  <si>
    <t>25年以上</t>
  </si>
  <si>
    <t>屋外露出ダクト、厨房排気ダクト、高湿系排気ダクトなど亜鉛鉄板では耐用年数が一般空調換気と比較して短くなると考えられる系統の90％以上の範囲にステンレスダクトやガルバリウムダクトなど長寿命化を図っている。</t>
    <rPh sb="0" eb="2">
      <t>オクガイ</t>
    </rPh>
    <rPh sb="2" eb="4">
      <t>ロシュツ</t>
    </rPh>
    <rPh sb="8" eb="10">
      <t>チュウボウ</t>
    </rPh>
    <rPh sb="10" eb="12">
      <t>ハイキ</t>
    </rPh>
    <rPh sb="16" eb="18">
      <t>コウシツ</t>
    </rPh>
    <rPh sb="18" eb="19">
      <t>ケイ</t>
    </rPh>
    <rPh sb="19" eb="21">
      <t>ハイキ</t>
    </rPh>
    <rPh sb="26" eb="28">
      <t>アエン</t>
    </rPh>
    <rPh sb="28" eb="30">
      <t>テッパン</t>
    </rPh>
    <rPh sb="32" eb="34">
      <t>タイヨウ</t>
    </rPh>
    <rPh sb="34" eb="36">
      <t>ネンスウ</t>
    </rPh>
    <rPh sb="37" eb="39">
      <t>イッパン</t>
    </rPh>
    <rPh sb="39" eb="41">
      <t>クウチョウ</t>
    </rPh>
    <rPh sb="41" eb="43">
      <t>カンキ</t>
    </rPh>
    <rPh sb="44" eb="46">
      <t>ヒカク</t>
    </rPh>
    <rPh sb="48" eb="49">
      <t>ミジカ</t>
    </rPh>
    <rPh sb="53" eb="54">
      <t>カンガ</t>
    </rPh>
    <rPh sb="58" eb="60">
      <t>ケイトウ</t>
    </rPh>
    <rPh sb="64" eb="66">
      <t>イジョウ</t>
    </rPh>
    <rPh sb="67" eb="69">
      <t>ハンイ</t>
    </rPh>
    <rPh sb="90" eb="91">
      <t>チョウ</t>
    </rPh>
    <rPh sb="91" eb="94">
      <t>ジュミョウカ</t>
    </rPh>
    <rPh sb="95" eb="96">
      <t>ハカ</t>
    </rPh>
    <phoneticPr fontId="22"/>
  </si>
  <si>
    <t>昼間（am8時～pm7時）、朝・夕（am6時～am8時、pm7時～pm10時）、夜間（pm10時～翌朝6時）のいずれの計測時も下記を満たしていること</t>
    <phoneticPr fontId="22"/>
  </si>
  <si>
    <t>昼間</t>
    <phoneticPr fontId="22"/>
  </si>
  <si>
    <t>朝・夕</t>
    <phoneticPr fontId="22"/>
  </si>
  <si>
    <t>夜間</t>
    <phoneticPr fontId="22"/>
  </si>
  <si>
    <t>50dB以下</t>
    <phoneticPr fontId="22"/>
  </si>
  <si>
    <t>35dB以下</t>
    <phoneticPr fontId="22"/>
  </si>
  <si>
    <t>30dB以下</t>
    <phoneticPr fontId="22"/>
  </si>
  <si>
    <t>昼間</t>
    <phoneticPr fontId="22"/>
  </si>
  <si>
    <t>朝・夕</t>
    <phoneticPr fontId="22"/>
  </si>
  <si>
    <t>夜間</t>
    <phoneticPr fontId="22"/>
  </si>
  <si>
    <r>
      <t xml:space="preserve">3.1.2 </t>
    </r>
    <r>
      <rPr>
        <b/>
        <sz val="10"/>
        <rFont val="ＭＳ Ｐゴシック"/>
        <family val="3"/>
        <charset val="128"/>
      </rPr>
      <t>振動</t>
    </r>
    <phoneticPr fontId="22"/>
  </si>
  <si>
    <r>
      <t xml:space="preserve">3.1.1 </t>
    </r>
    <r>
      <rPr>
        <b/>
        <sz val="10"/>
        <rFont val="ＭＳ Ｐゴシック"/>
        <family val="3"/>
        <charset val="128"/>
      </rPr>
      <t>階高のゆとり</t>
    </r>
    <phoneticPr fontId="22"/>
  </si>
  <si>
    <t>病・ホ</t>
    <phoneticPr fontId="22"/>
  </si>
  <si>
    <t>住</t>
    <phoneticPr fontId="22"/>
  </si>
  <si>
    <t>3.3ｍ未満</t>
    <phoneticPr fontId="22"/>
  </si>
  <si>
    <t>3.1ｍ未満</t>
    <phoneticPr fontId="22"/>
  </si>
  <si>
    <t>2.7ｍ未満</t>
    <phoneticPr fontId="22"/>
  </si>
  <si>
    <t>3.3ｍ以上、3.5ｍ未満</t>
    <phoneticPr fontId="22"/>
  </si>
  <si>
    <t>3.1ｍ以上、3.3ｍ未満</t>
    <phoneticPr fontId="22"/>
  </si>
  <si>
    <t>3.5ｍ以上、3.7ｍ未満</t>
    <phoneticPr fontId="22"/>
  </si>
  <si>
    <t>2.8ｍ以上、2.9ｍ未満</t>
    <phoneticPr fontId="22"/>
  </si>
  <si>
    <t>3.7ｍ以上、3.9ｍ未満</t>
    <phoneticPr fontId="22"/>
  </si>
  <si>
    <t>3.9ｍ以上</t>
    <phoneticPr fontId="22"/>
  </si>
  <si>
    <t>3.7ｍ以上</t>
    <phoneticPr fontId="22"/>
  </si>
  <si>
    <t>3.0ｍ以上</t>
    <phoneticPr fontId="22"/>
  </si>
  <si>
    <t>建物全体・共用部分</t>
    <phoneticPr fontId="22"/>
  </si>
  <si>
    <t>設備システムの高効率化</t>
    <rPh sb="0" eb="2">
      <t>セツビ</t>
    </rPh>
    <rPh sb="7" eb="11">
      <t>コウコウリツカ</t>
    </rPh>
    <phoneticPr fontId="22"/>
  </si>
  <si>
    <t>各住戸または各客室に100Mbitクラスのブロードバンドが利用可能な環境が整備されていること。</t>
  </si>
  <si>
    <r>
      <t xml:space="preserve">1.1.3 </t>
    </r>
    <r>
      <rPr>
        <b/>
        <sz val="10"/>
        <rFont val="ＭＳ Ｐゴシック"/>
        <family val="3"/>
        <charset val="128"/>
      </rPr>
      <t>バリアフリー計画</t>
    </r>
    <rPh sb="12" eb="14">
      <t>ケイカク</t>
    </rPh>
    <phoneticPr fontId="22"/>
  </si>
  <si>
    <t>物・飲・会・病・ホ</t>
    <rPh sb="0" eb="1">
      <t>モノ</t>
    </rPh>
    <rPh sb="2" eb="3">
      <t>イン</t>
    </rPh>
    <rPh sb="4" eb="5">
      <t>カイ</t>
    </rPh>
    <rPh sb="6" eb="7">
      <t>ヤマイ</t>
    </rPh>
    <phoneticPr fontId="22"/>
  </si>
  <si>
    <t>事・学・工・住</t>
    <rPh sb="0" eb="1">
      <t>コト</t>
    </rPh>
    <rPh sb="2" eb="3">
      <t>ガク</t>
    </rPh>
    <phoneticPr fontId="22"/>
  </si>
  <si>
    <t>物・飲・会・病・ホ【&lt;2000㎡】</t>
    <rPh sb="0" eb="1">
      <t>モノ</t>
    </rPh>
    <rPh sb="2" eb="3">
      <t>イン</t>
    </rPh>
    <rPh sb="4" eb="5">
      <t>カイ</t>
    </rPh>
    <rPh sb="6" eb="7">
      <t>ヤマイ</t>
    </rPh>
    <phoneticPr fontId="22"/>
  </si>
  <si>
    <t>バリアフリー新法の建築物移動等円滑化基準項目の半分以上を満たしている。</t>
  </si>
  <si>
    <t>バリアフリー新法の建築物移動等円滑化基準（最低限のレベル）を満たしている。</t>
  </si>
  <si>
    <t>バリアフリー新法の建築物移動等円滑化誘導基準（望ましいレベル）を満たしている。</t>
  </si>
  <si>
    <t>心理性・快適性</t>
    <rPh sb="0" eb="2">
      <t>シンリ</t>
    </rPh>
    <rPh sb="2" eb="3">
      <t>セイ</t>
    </rPh>
    <rPh sb="4" eb="6">
      <t>カイテキ</t>
    </rPh>
    <rPh sb="6" eb="7">
      <t>セイ</t>
    </rPh>
    <phoneticPr fontId="22"/>
  </si>
  <si>
    <t>既存は事務所のみ評価</t>
    <rPh sb="0" eb="2">
      <t>キソン</t>
    </rPh>
    <rPh sb="3" eb="5">
      <t>ジム</t>
    </rPh>
    <rPh sb="5" eb="6">
      <t>ショ</t>
    </rPh>
    <rPh sb="8" eb="10">
      <t>ヒョウカ</t>
    </rPh>
    <phoneticPr fontId="22"/>
  </si>
  <si>
    <t>物・飲</t>
    <rPh sb="0" eb="1">
      <t>モノ</t>
    </rPh>
    <rPh sb="2" eb="3">
      <t>イン</t>
    </rPh>
    <phoneticPr fontId="22"/>
  </si>
  <si>
    <t>主要な用途上位3種の、2種類以上にB以上を使用し、Eは不使用。</t>
    <rPh sb="0" eb="2">
      <t>シュヨウ</t>
    </rPh>
    <rPh sb="3" eb="5">
      <t>ヨウト</t>
    </rPh>
    <rPh sb="5" eb="7">
      <t>ジョウイ</t>
    </rPh>
    <rPh sb="8" eb="9">
      <t>シュ</t>
    </rPh>
    <rPh sb="12" eb="16">
      <t>シュルイイジョウ</t>
    </rPh>
    <rPh sb="18" eb="20">
      <t>イジョウ</t>
    </rPh>
    <rPh sb="21" eb="23">
      <t>シヨウ</t>
    </rPh>
    <rPh sb="27" eb="30">
      <t>フシヨウ</t>
    </rPh>
    <phoneticPr fontId="22"/>
  </si>
  <si>
    <t>３０年以上</t>
  </si>
  <si>
    <t>＜評価しない＞</t>
    <rPh sb="1" eb="3">
      <t>ヒョウカ</t>
    </rPh>
    <phoneticPr fontId="22"/>
  </si>
  <si>
    <t>既存で評価</t>
    <rPh sb="0" eb="2">
      <t>キソン</t>
    </rPh>
    <rPh sb="3" eb="5">
      <t>ヒョウカ</t>
    </rPh>
    <phoneticPr fontId="22"/>
  </si>
  <si>
    <t>メンテナンス記録がなく判定不可能。</t>
  </si>
  <si>
    <t>全て耐用年数を超えている。</t>
  </si>
  <si>
    <t>全て耐用年数以内である。</t>
  </si>
  <si>
    <t>空調居住域の上下温度差、気流速度の目標値をおおよそ4℃以内、0.4m/s程度に設定している。トイレ・浴室などを含めた非空調部分でもスポット的空調対応が可能で、室間温度差を軽減することができる。</t>
    <phoneticPr fontId="22"/>
  </si>
  <si>
    <r>
      <t>居住域の上下温度差や気流速度が少なくなるように配慮された空調方式</t>
    </r>
    <r>
      <rPr>
        <vertAlign val="superscript"/>
        <sz val="9"/>
        <rFont val="ＭＳ Ｐゴシック"/>
        <family val="3"/>
        <charset val="128"/>
      </rPr>
      <t>＊</t>
    </r>
    <r>
      <rPr>
        <sz val="9"/>
        <rFont val="ＭＳ Ｐゴシック"/>
        <family val="3"/>
        <charset val="128"/>
      </rPr>
      <t>が採用されている。あるいは、その他の空調方式で、上下温度差および気流速度の目標値をおおよそ2℃以内、0.15m/s程度に設定している。</t>
    </r>
    <rPh sb="49" eb="50">
      <t>タ</t>
    </rPh>
    <rPh sb="51" eb="53">
      <t>クウチョウ</t>
    </rPh>
    <rPh sb="53" eb="55">
      <t>ホウシキ</t>
    </rPh>
    <phoneticPr fontId="22"/>
  </si>
  <si>
    <t>居住域の上下温度差や気流速度が少なくなるように配慮された空調方式＊が採用されている。上下温度差および気流速度の目標値をおおよそ2℃以内、0.15m/s程度に設定している。</t>
    <phoneticPr fontId="22"/>
  </si>
  <si>
    <t>空調居住域の上下温度差、気流速度の目標値をおおよそ2℃以内、0.2m/s程度に設定している。トイレ・浴室などを含めた全室が空調可能とし、室間温度差を無くすことができる。</t>
    <phoneticPr fontId="22"/>
  </si>
  <si>
    <t>＊　例えば、天井・床輻射冷暖房方式や床吹出し方式などを指す。</t>
    <phoneticPr fontId="22"/>
  </si>
  <si>
    <t>建物全体・共用部分</t>
    <phoneticPr fontId="22"/>
  </si>
  <si>
    <t>5℃＜ [上下温度差]</t>
    <phoneticPr fontId="22"/>
  </si>
  <si>
    <t>2℃＜ [上下温度差] ≦5℃</t>
    <phoneticPr fontId="22"/>
  </si>
  <si>
    <t>[昼光率] ＜0.5％</t>
    <phoneticPr fontId="22"/>
  </si>
  <si>
    <t>0.75％≦ [昼光率] ＜1.0％</t>
    <phoneticPr fontId="22"/>
  </si>
  <si>
    <t>集合住宅の評価</t>
    <rPh sb="0" eb="2">
      <t>シュウゴウ</t>
    </rPh>
    <rPh sb="2" eb="4">
      <t>ジュウタク</t>
    </rPh>
    <rPh sb="5" eb="7">
      <t>ヒョウカ</t>
    </rPh>
    <phoneticPr fontId="22"/>
  </si>
  <si>
    <t>LR2</t>
  </si>
  <si>
    <t>LR3</t>
  </si>
  <si>
    <t>〃</t>
  </si>
  <si>
    <t>代表的な資材の環境負荷</t>
    <rPh sb="0" eb="3">
      <t>ダイヒョウテキ</t>
    </rPh>
    <rPh sb="4" eb="6">
      <t>シザイ</t>
    </rPh>
    <rPh sb="7" eb="9">
      <t>カンキョウ</t>
    </rPh>
    <rPh sb="9" eb="11">
      <t>フカ</t>
    </rPh>
    <phoneticPr fontId="22"/>
  </si>
  <si>
    <t>建設
段階</t>
    <rPh sb="0" eb="2">
      <t>ケンセツ</t>
    </rPh>
    <rPh sb="3" eb="5">
      <t>ダンカイ</t>
    </rPh>
    <phoneticPr fontId="22"/>
  </si>
  <si>
    <r>
      <t>エンボディドCO</t>
    </r>
    <r>
      <rPr>
        <vertAlign val="subscript"/>
        <sz val="10"/>
        <rFont val="ＭＳ Ｐゴシック"/>
        <family val="3"/>
        <charset val="128"/>
      </rPr>
      <t>2</t>
    </r>
    <r>
      <rPr>
        <sz val="10"/>
        <rFont val="ＭＳ Ｐゴシック"/>
        <family val="3"/>
        <charset val="128"/>
      </rPr>
      <t>の
算定方法</t>
    </r>
    <rPh sb="11" eb="13">
      <t>サンテイ</t>
    </rPh>
    <rPh sb="13" eb="15">
      <t>ホウホウ</t>
    </rPh>
    <phoneticPr fontId="22"/>
  </si>
  <si>
    <t>左記からの、リサイクル建材の採用による削減量を推定して算定</t>
    <rPh sb="0" eb="2">
      <t>サキ</t>
    </rPh>
    <rPh sb="11" eb="13">
      <t>ケンザイ</t>
    </rPh>
    <rPh sb="14" eb="16">
      <t>サイヨウ</t>
    </rPh>
    <rPh sb="19" eb="21">
      <t>サクゲン</t>
    </rPh>
    <rPh sb="21" eb="22">
      <t>リョウ</t>
    </rPh>
    <rPh sb="23" eb="25">
      <t>スイテイ</t>
    </rPh>
    <rPh sb="27" eb="29">
      <t>サンテイ</t>
    </rPh>
    <phoneticPr fontId="22"/>
  </si>
  <si>
    <r>
      <t>CO</t>
    </r>
    <r>
      <rPr>
        <vertAlign val="subscript"/>
        <sz val="10"/>
        <rFont val="ＭＳ Ｐゴシック"/>
        <family val="3"/>
        <charset val="128"/>
      </rPr>
      <t>2</t>
    </r>
    <r>
      <rPr>
        <sz val="10"/>
        <rFont val="ＭＳ Ｐゴシック"/>
        <family val="3"/>
        <charset val="128"/>
      </rPr>
      <t>排出量原単位の
出典</t>
    </r>
    <rPh sb="3" eb="5">
      <t>ハイシュツ</t>
    </rPh>
    <rPh sb="5" eb="6">
      <t>リョウ</t>
    </rPh>
    <rPh sb="6" eb="9">
      <t>ゲンタンイ</t>
    </rPh>
    <rPh sb="11" eb="13">
      <t>シュッテン</t>
    </rPh>
    <phoneticPr fontId="22"/>
  </si>
  <si>
    <t>住まい方の提示</t>
    <rPh sb="5" eb="7">
      <t>テイジ</t>
    </rPh>
    <phoneticPr fontId="4"/>
  </si>
  <si>
    <t>エネルギーの管理と制御</t>
  </si>
  <si>
    <t>取組みなし。</t>
  </si>
  <si>
    <t>設備毎の取扱説明書が居住者に手渡されている。</t>
  </si>
  <si>
    <t>レベル３に加え、省エネに関する住まい方について一般的な説明がすまい手になされている。</t>
    <rPh sb="5" eb="6">
      <t>クワ</t>
    </rPh>
    <phoneticPr fontId="22"/>
  </si>
  <si>
    <t>レベル３に加え、当該住宅に採用された設備や仕様に関して、個別の建物・生活スタイルごとに対応した適切な説明がすまい手になされている。</t>
    <rPh sb="5" eb="6">
      <t>クワ</t>
    </rPh>
    <phoneticPr fontId="22"/>
  </si>
  <si>
    <t>4.1.1</t>
    <phoneticPr fontId="22"/>
  </si>
  <si>
    <t>4.1.2</t>
    <phoneticPr fontId="22"/>
  </si>
  <si>
    <t>4.2.1</t>
    <phoneticPr fontId="22"/>
  </si>
  <si>
    <t>4.2.2</t>
    <phoneticPr fontId="22"/>
  </si>
  <si>
    <t>LR1 4.1</t>
    <phoneticPr fontId="22"/>
  </si>
  <si>
    <t>LR1 4.1</t>
    <phoneticPr fontId="22"/>
  </si>
  <si>
    <t>LR1 4.2</t>
    <phoneticPr fontId="22"/>
  </si>
  <si>
    <t>住宅以外の評価</t>
    <rPh sb="0" eb="2">
      <t>じゅうたく</t>
    </rPh>
    <rPh sb="2" eb="4">
      <t>いがい</t>
    </rPh>
    <rPh sb="5" eb="7">
      <t>ひょうか</t>
    </rPh>
    <phoneticPr fontId="34" type="noConversion"/>
  </si>
  <si>
    <t>住宅の評価</t>
    <rPh sb="0" eb="2">
      <t>じゅうたく</t>
    </rPh>
    <rPh sb="3" eb="5">
      <t>ひょうか</t>
    </rPh>
    <phoneticPr fontId="34" type="noConversion"/>
  </si>
  <si>
    <t>躯体材料以外におけるリサイクル材の使用</t>
  </si>
  <si>
    <t>LPG</t>
  </si>
  <si>
    <t>LPG</t>
    <phoneticPr fontId="22"/>
  </si>
  <si>
    <t>⑩　天井隠蔽機器の点検口は600mm×600mm以上としている。</t>
    <phoneticPr fontId="22"/>
  </si>
  <si>
    <t>⑪　専用部以外の諸設備は共用部での維持管理作業が可能となっている。</t>
    <phoneticPr fontId="22"/>
  </si>
  <si>
    <t>⑫　上記以外に維持管理用機能の確保を考慮したポイントを明確にし、実施している。</t>
    <phoneticPr fontId="22"/>
  </si>
  <si>
    <t>（１）</t>
    <phoneticPr fontId="2"/>
  </si>
  <si>
    <t>（２）</t>
    <phoneticPr fontId="2"/>
  </si>
  <si>
    <t>（３）</t>
    <phoneticPr fontId="2"/>
  </si>
  <si>
    <t>ポイント</t>
    <phoneticPr fontId="22"/>
  </si>
  <si>
    <t>空調管理は何も実施していない。</t>
    <phoneticPr fontId="22"/>
  </si>
  <si>
    <t>-1（レベル2）</t>
    <phoneticPr fontId="22"/>
  </si>
  <si>
    <t>延床面積比率</t>
    <rPh sb="0" eb="4">
      <t>ノベユカメンセキ</t>
    </rPh>
    <rPh sb="4" eb="6">
      <t>ヒリツ</t>
    </rPh>
    <phoneticPr fontId="22"/>
  </si>
  <si>
    <t>ﾚﾍﾞﾙ３</t>
  </si>
  <si>
    <t>ﾚﾍﾞﾙ４</t>
  </si>
  <si>
    <t>ﾚﾍﾞﾙ５</t>
  </si>
  <si>
    <t>同一フロアで、売り場・テナント用に細かくゾーニングがなされており、それを細かく監視するために制御センサとは別に複数の監視・計測用センサがある監視システムが設置されている。</t>
    <phoneticPr fontId="22"/>
  </si>
  <si>
    <t>建物全体・共用部分</t>
    <phoneticPr fontId="22"/>
  </si>
  <si>
    <t>住</t>
    <phoneticPr fontId="22"/>
  </si>
  <si>
    <t>レベル３を満たさない。</t>
    <phoneticPr fontId="22"/>
  </si>
  <si>
    <t>加湿機能を有し、かつ一般的な冬期40％、夏期50％の設定で計画されている。</t>
    <phoneticPr fontId="22"/>
  </si>
  <si>
    <t>加湿機能を有し、かつ一般的な冬期40～70％、夏期50～65％。の範囲で計画されている。　　　　　　　　　　</t>
    <phoneticPr fontId="22"/>
  </si>
  <si>
    <t>評価する取組み表の評価ポイントの合計値が1ポイント</t>
    <phoneticPr fontId="22"/>
  </si>
  <si>
    <t>評価する取組み表の評価ポイントの合計値が2ポイント</t>
    <phoneticPr fontId="22"/>
  </si>
  <si>
    <t>評価する取組み表の評価ポイントの合計値が3ポイント</t>
    <phoneticPr fontId="22"/>
  </si>
  <si>
    <t>評価する取組み表の評価ポイントの合計値が4ポイント以上</t>
    <phoneticPr fontId="22"/>
  </si>
  <si>
    <t>I 自転車の利用（代替交通手段の利用）に関する取組み</t>
    <phoneticPr fontId="22"/>
  </si>
  <si>
    <t>1) 建物利用者のための適切な量の自転車置場（バイク置場を含む）の確保、駐輪場利用者の利便性への配慮（出し入れし易さ、利用し易い位置にあるなど）</t>
    <phoneticPr fontId="22"/>
  </si>
  <si>
    <t>II 駐車場の確保に関する取組み</t>
    <phoneticPr fontId="22"/>
  </si>
  <si>
    <t>1) 適切な量の駐車スペースの確保（周辺道路に渋滞や路上駐車などを発生させないための措置として）</t>
    <phoneticPr fontId="22"/>
  </si>
  <si>
    <t>2) 管理用車両や荷捌き用車両の駐車施設の確保</t>
    <rPh sb="3" eb="6">
      <t>カンリヨウ</t>
    </rPh>
    <rPh sb="6" eb="8">
      <t>シャリョウ</t>
    </rPh>
    <phoneticPr fontId="22"/>
  </si>
  <si>
    <t>3) 駐車場の導入路（出入り口など）の位置や形状・数への配慮（周辺道路の渋滞緩和に資するもの）</t>
    <phoneticPr fontId="22"/>
  </si>
  <si>
    <t>評価する取組み表の評価ポイントの合計値が1ポイント以下</t>
    <phoneticPr fontId="22"/>
  </si>
  <si>
    <t>評価する取組み表の評価ポイントの合計値が2ポイント</t>
    <phoneticPr fontId="22"/>
  </si>
  <si>
    <t>室内空調機からの騒音</t>
    <rPh sb="8" eb="10">
      <t>ソウオン</t>
    </rPh>
    <phoneticPr fontId="22"/>
  </si>
  <si>
    <t>防音カバー、位置など</t>
  </si>
  <si>
    <t>主要な用途上位3種の、2種類以上にC以上を使用</t>
    <rPh sb="0" eb="2">
      <t>シュヨウ</t>
    </rPh>
    <rPh sb="3" eb="5">
      <t>ヨウト</t>
    </rPh>
    <rPh sb="5" eb="7">
      <t>ジョウイ</t>
    </rPh>
    <rPh sb="8" eb="9">
      <t>シュ</t>
    </rPh>
    <rPh sb="12" eb="16">
      <t>シュルイイジョウ</t>
    </rPh>
    <rPh sb="18" eb="20">
      <t>イジョウ</t>
    </rPh>
    <rPh sb="21" eb="23">
      <t>シヨウ</t>
    </rPh>
    <phoneticPr fontId="22"/>
  </si>
  <si>
    <t>１６年以上～３０年未満</t>
  </si>
  <si>
    <t>外気がレタンと混合されず、各室の必要外気量が直接各室に供給されている等、各室の負荷条件によらず、必要な場所に必要な外気量が保証されるシステムとなっている。</t>
    <phoneticPr fontId="22"/>
  </si>
  <si>
    <r>
      <t>4.3.1 CO</t>
    </r>
    <r>
      <rPr>
        <b/>
        <vertAlign val="subscript"/>
        <sz val="10"/>
        <rFont val="Arial"/>
        <family val="2"/>
      </rPr>
      <t>2</t>
    </r>
    <r>
      <rPr>
        <b/>
        <sz val="10"/>
        <rFont val="ＭＳ Ｐゴシック"/>
        <family val="3"/>
        <charset val="128"/>
      </rPr>
      <t>の監視</t>
    </r>
    <rPh sb="10" eb="12">
      <t>カンシ</t>
    </rPh>
    <phoneticPr fontId="22"/>
  </si>
  <si>
    <t>建物全体・共用部分</t>
    <phoneticPr fontId="22"/>
  </si>
  <si>
    <r>
      <t>CO</t>
    </r>
    <r>
      <rPr>
        <vertAlign val="subscript"/>
        <sz val="9"/>
        <rFont val="ＭＳ Ｐゴシック"/>
        <family val="3"/>
        <charset val="128"/>
      </rPr>
      <t>2</t>
    </r>
    <r>
      <rPr>
        <sz val="9"/>
        <rFont val="ＭＳ Ｐゴシック"/>
        <family val="3"/>
        <charset val="128"/>
      </rPr>
      <t>監視が中央で常時行えるシステムとなっている。かつ、空気質を適正に維持するための管理マニュアル等が整備されており、有効に機能している。</t>
    </r>
    <phoneticPr fontId="22"/>
  </si>
  <si>
    <r>
      <t>Q2</t>
    </r>
    <r>
      <rPr>
        <b/>
        <sz val="14"/>
        <rFont val="ＭＳ Ｐゴシック"/>
        <family val="3"/>
        <charset val="128"/>
      </rPr>
      <t>　サービス性能</t>
    </r>
    <rPh sb="7" eb="9">
      <t>セイノウ</t>
    </rPh>
    <phoneticPr fontId="22"/>
  </si>
  <si>
    <t>はい</t>
    <phoneticPr fontId="22"/>
  </si>
  <si>
    <t>いいえ</t>
    <phoneticPr fontId="22"/>
  </si>
  <si>
    <t>ホ</t>
    <phoneticPr fontId="22"/>
  </si>
  <si>
    <t>　レベル　1</t>
    <phoneticPr fontId="22"/>
  </si>
  <si>
    <t>若干の対策を行っている（評価する取組みにおいて2項目以上を採用）</t>
  </si>
  <si>
    <t>対策を行っている（評価する取組みにおいて4項目以上を採用）</t>
  </si>
  <si>
    <t>対策を行っている（評価する取組みにおいて2～3項目以上を採用）</t>
  </si>
  <si>
    <t>やや高度な対策を行っている（評価する取組みにおいて6項目以上を採用）</t>
  </si>
  <si>
    <t>高度な対策を行っている（評価する取組みにおいて全ての項目を採用）</t>
  </si>
  <si>
    <t>A.住宅以外の建築物における設備騒音対策の評価する取組み</t>
    <rPh sb="2" eb="4">
      <t>ジュウタク</t>
    </rPh>
    <rPh sb="4" eb="6">
      <t>イガイ</t>
    </rPh>
    <rPh sb="7" eb="10">
      <t>ケンチクブツ</t>
    </rPh>
    <rPh sb="14" eb="16">
      <t>セツビ</t>
    </rPh>
    <rPh sb="16" eb="18">
      <t>ソウオン</t>
    </rPh>
    <rPh sb="18" eb="20">
      <t>タイサク</t>
    </rPh>
    <rPh sb="21" eb="23">
      <t>ヒョウカ</t>
    </rPh>
    <rPh sb="25" eb="26">
      <t>ト</t>
    </rPh>
    <rPh sb="26" eb="27">
      <t>ク</t>
    </rPh>
    <phoneticPr fontId="22"/>
  </si>
  <si>
    <t>2,000㎡未満の基準で評価する。</t>
    <rPh sb="6" eb="8">
      <t>ミマン</t>
    </rPh>
    <rPh sb="9" eb="11">
      <t>キジュン</t>
    </rPh>
    <rPh sb="12" eb="14">
      <t>ヒョウカ</t>
    </rPh>
    <phoneticPr fontId="22"/>
  </si>
  <si>
    <t>■レベル　1</t>
    <phoneticPr fontId="22"/>
  </si>
  <si>
    <t>レベル</t>
    <phoneticPr fontId="22"/>
  </si>
  <si>
    <t>ビル用マルチCOP評価</t>
  </si>
  <si>
    <t>個別分散空調システムの効率評価</t>
  </si>
  <si>
    <t>変風量制御の評価</t>
  </si>
  <si>
    <t>各種制御の評価</t>
  </si>
  <si>
    <t>昼光利用、人感センサーなどによる削減エネルギー量</t>
  </si>
  <si>
    <t>その他</t>
  </si>
  <si>
    <t>CGS評価</t>
  </si>
  <si>
    <t>各種連携制御</t>
    <rPh sb="0" eb="2">
      <t>カクシュ</t>
    </rPh>
    <rPh sb="2" eb="4">
      <t>レンケイ</t>
    </rPh>
    <rPh sb="4" eb="6">
      <t>セイギョ</t>
    </rPh>
    <phoneticPr fontId="22"/>
  </si>
  <si>
    <r>
      <t>ＯＡフロア等によりレイアウト変更に対応できるようになっており、かつＯＡ機器用コンセント容量が30ＶＡ/ｍ</t>
    </r>
    <r>
      <rPr>
        <vertAlign val="superscript"/>
        <sz val="9"/>
        <rFont val="ＭＳ Ｐゴシック"/>
        <family val="3"/>
        <charset val="128"/>
      </rPr>
      <t>2</t>
    </r>
    <r>
      <rPr>
        <sz val="9"/>
        <rFont val="ＭＳ Ｐゴシック"/>
        <family val="3"/>
        <charset val="128"/>
      </rPr>
      <t>以上となっている。加えて、通信に関しては、ビル内へ光ファイバーが引き込まれている。</t>
    </r>
    <phoneticPr fontId="22"/>
  </si>
  <si>
    <t>居室面積の1/8以上の開閉可能な窓を確保している。</t>
  </si>
  <si>
    <t>3.2.3</t>
    <phoneticPr fontId="22"/>
  </si>
  <si>
    <t>LR3</t>
    <phoneticPr fontId="34" type="noConversion"/>
  </si>
  <si>
    <t>LR</t>
    <phoneticPr fontId="22"/>
  </si>
  <si>
    <t>敷地外環境</t>
    <phoneticPr fontId="22"/>
  </si>
  <si>
    <t>2.1</t>
    <phoneticPr fontId="22"/>
  </si>
  <si>
    <t>2.1</t>
    <phoneticPr fontId="22"/>
  </si>
  <si>
    <t>2.2</t>
    <phoneticPr fontId="22"/>
  </si>
  <si>
    <t>2.3</t>
    <phoneticPr fontId="22"/>
  </si>
  <si>
    <t>2.3</t>
    <phoneticPr fontId="22"/>
  </si>
  <si>
    <t>2.3.1</t>
    <phoneticPr fontId="22"/>
  </si>
  <si>
    <t>2.3.2</t>
    <phoneticPr fontId="22"/>
  </si>
  <si>
    <t>2.3.3</t>
    <phoneticPr fontId="22"/>
  </si>
  <si>
    <t>2.3.3</t>
    <phoneticPr fontId="22"/>
  </si>
  <si>
    <t>2.3.4</t>
    <phoneticPr fontId="22"/>
  </si>
  <si>
    <t>2.3.4</t>
    <phoneticPr fontId="22"/>
  </si>
  <si>
    <t>3.1</t>
    <phoneticPr fontId="22"/>
  </si>
  <si>
    <t>3.1</t>
    <phoneticPr fontId="22"/>
  </si>
  <si>
    <t>3.1.1</t>
    <phoneticPr fontId="22"/>
  </si>
  <si>
    <t>3.1.1</t>
    <phoneticPr fontId="22"/>
  </si>
  <si>
    <t>3.1.2</t>
    <phoneticPr fontId="22"/>
  </si>
  <si>
    <t>3.1.3</t>
    <phoneticPr fontId="22"/>
  </si>
  <si>
    <t>3.2</t>
    <phoneticPr fontId="22"/>
  </si>
  <si>
    <t>風害、日照阻害の抑制</t>
    <phoneticPr fontId="34" type="noConversion"/>
  </si>
  <si>
    <t>3.2.1</t>
    <phoneticPr fontId="22"/>
  </si>
  <si>
    <t>風害の抑制</t>
    <phoneticPr fontId="34" type="noConversion"/>
  </si>
  <si>
    <t>3.2.2</t>
    <phoneticPr fontId="22"/>
  </si>
  <si>
    <t>LR3 3.2</t>
    <phoneticPr fontId="22"/>
  </si>
  <si>
    <t>3.2.3</t>
    <phoneticPr fontId="22"/>
  </si>
  <si>
    <t>3.3</t>
    <phoneticPr fontId="22"/>
  </si>
  <si>
    <t>3.3.1</t>
    <phoneticPr fontId="22"/>
  </si>
  <si>
    <t>屋外照明及び屋内照明のうち外に漏れる光への対策</t>
    <phoneticPr fontId="34" type="noConversion"/>
  </si>
  <si>
    <t>レベル</t>
    <phoneticPr fontId="22"/>
  </si>
  <si>
    <t>２０</t>
    <phoneticPr fontId="22"/>
  </si>
  <si>
    <t>２５</t>
    <phoneticPr fontId="22"/>
  </si>
  <si>
    <t>３０</t>
    <phoneticPr fontId="22"/>
  </si>
  <si>
    <t>３５</t>
    <phoneticPr fontId="22"/>
  </si>
  <si>
    <t>４０</t>
    <phoneticPr fontId="22"/>
  </si>
  <si>
    <t>ＮＣ～ＮＲ</t>
    <phoneticPr fontId="22"/>
  </si>
  <si>
    <t>１０～１５</t>
    <phoneticPr fontId="22"/>
  </si>
  <si>
    <t>１５～２０</t>
    <phoneticPr fontId="22"/>
  </si>
  <si>
    <t>２０～２５</t>
    <phoneticPr fontId="22"/>
  </si>
  <si>
    <t>維持管理に配慮した設計において、充実した取り組みにおいて該当する項目数が行われている。（評価する取組みが 9～）</t>
    <rPh sb="0" eb="2">
      <t>イジ</t>
    </rPh>
    <rPh sb="2" eb="4">
      <t>カンリ</t>
    </rPh>
    <rPh sb="5" eb="7">
      <t>ハイリョ</t>
    </rPh>
    <rPh sb="9" eb="11">
      <t>セッケイ</t>
    </rPh>
    <rPh sb="16" eb="18">
      <t>ジュウジツ</t>
    </rPh>
    <rPh sb="20" eb="21">
      <t>ト</t>
    </rPh>
    <rPh sb="22" eb="23">
      <t>ク</t>
    </rPh>
    <rPh sb="36" eb="37">
      <t>オコナ</t>
    </rPh>
    <rPh sb="44" eb="46">
      <t>ヒョウカ</t>
    </rPh>
    <rPh sb="48" eb="50">
      <t>トリク</t>
    </rPh>
    <phoneticPr fontId="22"/>
  </si>
  <si>
    <t>評価内容</t>
    <rPh sb="0" eb="2">
      <t>ヒョウカ</t>
    </rPh>
    <rPh sb="2" eb="4">
      <t>ナイヨウ</t>
    </rPh>
    <phoneticPr fontId="22"/>
  </si>
  <si>
    <t>評価項目</t>
    <rPh sb="0" eb="2">
      <t>ヒョウカ</t>
    </rPh>
    <rPh sb="2" eb="4">
      <t>コウモク</t>
    </rPh>
    <phoneticPr fontId="22"/>
  </si>
  <si>
    <t>評価ポイント</t>
    <rPh sb="0" eb="2">
      <t>ヒョウカ</t>
    </rPh>
    <phoneticPr fontId="22"/>
  </si>
  <si>
    <t>4) 感染症対策</t>
    <rPh sb="3" eb="6">
      <t>カンセンショウ</t>
    </rPh>
    <rPh sb="6" eb="8">
      <t>タイサク</t>
    </rPh>
    <phoneticPr fontId="22"/>
  </si>
  <si>
    <t>④　廃棄物のスペースを確保しており、搬出も容易な計画となっている。</t>
    <rPh sb="2" eb="5">
      <t>ハイキブツ</t>
    </rPh>
    <rPh sb="11" eb="13">
      <t>カクホ</t>
    </rPh>
    <rPh sb="18" eb="20">
      <t>ハンシュツ</t>
    </rPh>
    <rPh sb="21" eb="23">
      <t>ヨウイ</t>
    </rPh>
    <rPh sb="24" eb="26">
      <t>ケイカク</t>
    </rPh>
    <phoneticPr fontId="22"/>
  </si>
  <si>
    <t>　　標準計算に用いる電力の排出係数（設定値）</t>
    <rPh sb="2" eb="4">
      <t>ヒョウジュン</t>
    </rPh>
    <rPh sb="4" eb="6">
      <t>ケイサン</t>
    </rPh>
    <rPh sb="7" eb="8">
      <t>モチ</t>
    </rPh>
    <rPh sb="10" eb="12">
      <t>デンリョク</t>
    </rPh>
    <rPh sb="13" eb="15">
      <t>ハイシュツ</t>
    </rPh>
    <rPh sb="15" eb="17">
      <t>ケイスウ</t>
    </rPh>
    <rPh sb="18" eb="20">
      <t>セッテイ</t>
    </rPh>
    <rPh sb="20" eb="21">
      <t>チ</t>
    </rPh>
    <phoneticPr fontId="22"/>
  </si>
  <si>
    <t>←オプションボタン番号</t>
    <rPh sb="9" eb="11">
      <t>バンゴウ</t>
    </rPh>
    <phoneticPr fontId="22"/>
  </si>
  <si>
    <t>電力事業社名/根拠等</t>
    <rPh sb="0" eb="2">
      <t>デンリョク</t>
    </rPh>
    <rPh sb="2" eb="4">
      <t>ジギョウ</t>
    </rPh>
    <rPh sb="4" eb="6">
      <t>シャメイ</t>
    </rPh>
    <rPh sb="7" eb="9">
      <t>コンキョ</t>
    </rPh>
    <rPh sb="9" eb="10">
      <t>トウ</t>
    </rPh>
    <phoneticPr fontId="22"/>
  </si>
  <si>
    <t>排出係数</t>
    <rPh sb="0" eb="2">
      <t>ハイシュツ</t>
    </rPh>
    <rPh sb="2" eb="4">
      <t>ケイスウ</t>
    </rPh>
    <phoneticPr fontId="22"/>
  </si>
  <si>
    <t>↓事業社名</t>
    <rPh sb="1" eb="3">
      <t>ジギョウ</t>
    </rPh>
    <rPh sb="3" eb="5">
      <t>シャメイ</t>
    </rPh>
    <phoneticPr fontId="22"/>
  </si>
  <si>
    <t>↓排出係数</t>
    <rPh sb="1" eb="3">
      <t>ハイシュツ</t>
    </rPh>
    <rPh sb="3" eb="5">
      <t>ケイスウ</t>
    </rPh>
    <phoneticPr fontId="22"/>
  </si>
  <si>
    <t>排出係数</t>
    <phoneticPr fontId="22"/>
  </si>
  <si>
    <r>
      <t>kg-CO</t>
    </r>
    <r>
      <rPr>
        <vertAlign val="subscript"/>
        <sz val="10"/>
        <rFont val="ＭＳ Ｐゴシック"/>
        <family val="3"/>
        <charset val="128"/>
      </rPr>
      <t>2</t>
    </r>
    <r>
      <rPr>
        <sz val="10"/>
        <rFont val="ＭＳ Ｐゴシック"/>
        <family val="3"/>
        <charset val="128"/>
      </rPr>
      <t>/MJ</t>
    </r>
    <phoneticPr fontId="22"/>
  </si>
  <si>
    <t>住宅　共用部</t>
    <rPh sb="0" eb="2">
      <t>ジュウタク</t>
    </rPh>
    <rPh sb="3" eb="6">
      <t>キョウヨウブ</t>
    </rPh>
    <phoneticPr fontId="22"/>
  </si>
  <si>
    <t>一次エネ消費量　GJ/年</t>
    <phoneticPr fontId="22"/>
  </si>
  <si>
    <t>評価建物②</t>
    <rPh sb="0" eb="2">
      <t>ヒョウカ</t>
    </rPh>
    <rPh sb="2" eb="4">
      <t>タテモノ</t>
    </rPh>
    <phoneticPr fontId="22"/>
  </si>
  <si>
    <t>参照建物①</t>
    <rPh sb="0" eb="2">
      <t>サンショウ</t>
    </rPh>
    <rPh sb="2" eb="4">
      <t>タテモノ</t>
    </rPh>
    <phoneticPr fontId="22"/>
  </si>
  <si>
    <t>評価建物③</t>
    <rPh sb="0" eb="2">
      <t>ヒョウカ</t>
    </rPh>
    <rPh sb="2" eb="4">
      <t>タテモノ</t>
    </rPh>
    <phoneticPr fontId="22"/>
  </si>
  <si>
    <t>雑排水等を利用していない。</t>
    <rPh sb="3" eb="4">
      <t>トウ</t>
    </rPh>
    <rPh sb="5" eb="7">
      <t>リヨウ</t>
    </rPh>
    <phoneticPr fontId="2"/>
  </si>
  <si>
    <t>雑排水等を利用している。</t>
    <rPh sb="3" eb="4">
      <t>トウ</t>
    </rPh>
    <rPh sb="5" eb="7">
      <t>リヨウ</t>
    </rPh>
    <phoneticPr fontId="2"/>
  </si>
  <si>
    <t>2種類以上の雑排水等を利用している。</t>
    <rPh sb="1" eb="3">
      <t>シュルイ</t>
    </rPh>
    <rPh sb="3" eb="5">
      <t>イジョウ</t>
    </rPh>
    <rPh sb="6" eb="7">
      <t>ザツ</t>
    </rPh>
    <rPh sb="7" eb="9">
      <t>ハイスイ</t>
    </rPh>
    <rPh sb="9" eb="10">
      <t>トウ</t>
    </rPh>
    <rPh sb="11" eb="13">
      <t>リヨウ</t>
    </rPh>
    <phoneticPr fontId="2"/>
  </si>
  <si>
    <t>⑤　専用の清掃用流しや水道を設置している。</t>
    <rPh sb="2" eb="4">
      <t>センヨウ</t>
    </rPh>
    <rPh sb="5" eb="8">
      <t>セイソウヨウ</t>
    </rPh>
    <rPh sb="8" eb="9">
      <t>ナガ</t>
    </rPh>
    <rPh sb="11" eb="13">
      <t>スイドウ</t>
    </rPh>
    <rPh sb="14" eb="16">
      <t>セッチ</t>
    </rPh>
    <phoneticPr fontId="22"/>
  </si>
  <si>
    <t>LR1</t>
  </si>
  <si>
    <t>冬期24℃、夏期24℃の室温を実現することが可能な設備容量が確保されている。</t>
    <phoneticPr fontId="22"/>
  </si>
  <si>
    <t>建物全体・共用部分</t>
    <phoneticPr fontId="22"/>
  </si>
  <si>
    <t>高度な負荷変動追従ができるような制御システムである。</t>
    <phoneticPr fontId="22"/>
  </si>
  <si>
    <t>住</t>
    <phoneticPr fontId="22"/>
  </si>
  <si>
    <t>窓,外壁,屋根や床（特にピロティ）において室内への熱の侵入に対しての配慮が十分でなく、日射遮蔽性能や断熱性能が低い。</t>
    <phoneticPr fontId="22"/>
  </si>
  <si>
    <t>窓,外壁,屋根や床（特にピロティ）において、室内への熱の侵入に対しての配慮がなされており、実用上、日射遮蔽性能および断熱性能に問題がない。</t>
    <phoneticPr fontId="22"/>
  </si>
  <si>
    <t>窓,外壁,屋根や床（特にピロティ）において、室内への熱の侵入に対して、十分な配慮がなされており、最良の日射遮蔽性能および断熱性能を有する。</t>
    <phoneticPr fontId="22"/>
  </si>
  <si>
    <t>空調システムの例</t>
    <phoneticPr fontId="22"/>
  </si>
  <si>
    <t>方位別やペリメータとインテリア別などの区別が無く、１系統で空調システムが計画されており、季節別に冷暖切り替えが必要である。</t>
    <phoneticPr fontId="22"/>
  </si>
  <si>
    <t>一般的な冬期23℃、夏期26℃の設定。</t>
    <phoneticPr fontId="22"/>
  </si>
  <si>
    <t>一般的な冬期18～20℃、夏期25～28℃の設定。</t>
    <phoneticPr fontId="22"/>
  </si>
  <si>
    <t>事務所</t>
    <rPh sb="0" eb="2">
      <t>ジム</t>
    </rPh>
    <rPh sb="2" eb="3">
      <t>ショ</t>
    </rPh>
    <phoneticPr fontId="22"/>
  </si>
  <si>
    <t>学校</t>
    <rPh sb="0" eb="2">
      <t>ガッコウ</t>
    </rPh>
    <phoneticPr fontId="22"/>
  </si>
  <si>
    <r>
      <t xml:space="preserve">1.3.2 </t>
    </r>
    <r>
      <rPr>
        <b/>
        <sz val="10"/>
        <rFont val="ＭＳ Ｐゴシック"/>
        <family val="3"/>
        <charset val="128"/>
      </rPr>
      <t>維持管理用機能の確保</t>
    </r>
    <rPh sb="6" eb="8">
      <t>イジ</t>
    </rPh>
    <rPh sb="8" eb="10">
      <t>カンリ</t>
    </rPh>
    <rPh sb="10" eb="11">
      <t>ヨウ</t>
    </rPh>
    <rPh sb="11" eb="13">
      <t>キノウ</t>
    </rPh>
    <rPh sb="14" eb="16">
      <t>カクホ</t>
    </rPh>
    <phoneticPr fontId="22"/>
  </si>
  <si>
    <t>事・学・飲・物・会・病・ホ・住・工</t>
    <rPh sb="0" eb="1">
      <t>コト</t>
    </rPh>
    <rPh sb="2" eb="3">
      <t>ガク</t>
    </rPh>
    <rPh sb="4" eb="5">
      <t>ノ</t>
    </rPh>
    <rPh sb="6" eb="7">
      <t>モノ</t>
    </rPh>
    <rPh sb="8" eb="9">
      <t>カイ</t>
    </rPh>
    <rPh sb="10" eb="11">
      <t>ビョウ</t>
    </rPh>
    <rPh sb="14" eb="15">
      <t>ジュウ</t>
    </rPh>
    <rPh sb="16" eb="17">
      <t>コウ</t>
    </rPh>
    <phoneticPr fontId="22"/>
  </si>
  <si>
    <t>（調整後排出係数</t>
    <rPh sb="1" eb="4">
      <t>チョウセイゴ</t>
    </rPh>
    <rPh sb="4" eb="6">
      <t>ハイシュツ</t>
    </rPh>
    <rPh sb="6" eb="8">
      <t>ケイスウ</t>
    </rPh>
    <phoneticPr fontId="22"/>
  </si>
  <si>
    <t>kg-CO2/MJ</t>
  </si>
  <si>
    <t>都市ガス</t>
    <rPh sb="0" eb="2">
      <t>トシ</t>
    </rPh>
    <phoneticPr fontId="28"/>
  </si>
  <si>
    <t>DHC</t>
  </si>
  <si>
    <t>灯油</t>
    <rPh sb="0" eb="2">
      <t>トウユ</t>
    </rPh>
    <phoneticPr fontId="28"/>
  </si>
  <si>
    <t>Ａ重油</t>
  </si>
  <si>
    <t>その他</t>
    <rPh sb="2" eb="3">
      <t>タ</t>
    </rPh>
    <phoneticPr fontId="28"/>
  </si>
  <si>
    <t>(灯油＋A重油の平均値）</t>
    <rPh sb="1" eb="3">
      <t>トウユ</t>
    </rPh>
    <rPh sb="5" eb="7">
      <t>ジュウユ</t>
    </rPh>
    <rPh sb="8" eb="11">
      <t>ヘイキンチ</t>
    </rPh>
    <phoneticPr fontId="28"/>
  </si>
  <si>
    <t>代替値</t>
  </si>
  <si>
    <t>用途別排出原単位</t>
    <rPh sb="0" eb="2">
      <t>ヨウト</t>
    </rPh>
    <rPh sb="2" eb="3">
      <t>ベツ</t>
    </rPh>
    <rPh sb="3" eb="5">
      <t>ハイシュツ</t>
    </rPh>
    <rPh sb="5" eb="8">
      <t>ゲンタンイ</t>
    </rPh>
    <phoneticPr fontId="22"/>
  </si>
  <si>
    <t>ガス</t>
  </si>
  <si>
    <r>
      <t xml:space="preserve">4.2.3 </t>
    </r>
    <r>
      <rPr>
        <b/>
        <sz val="10"/>
        <rFont val="ＭＳ Ｐゴシック"/>
        <family val="3"/>
        <charset val="128"/>
      </rPr>
      <t>取り入れ外気への配慮</t>
    </r>
    <rPh sb="6" eb="7">
      <t>ト</t>
    </rPh>
    <rPh sb="8" eb="9">
      <t>イ</t>
    </rPh>
    <rPh sb="10" eb="12">
      <t>ガイキ</t>
    </rPh>
    <rPh sb="14" eb="16">
      <t>ハイリョ</t>
    </rPh>
    <phoneticPr fontId="22"/>
  </si>
  <si>
    <t>評価する取組みが2つ。</t>
  </si>
  <si>
    <r>
      <t xml:space="preserve">2.4.3 </t>
    </r>
    <r>
      <rPr>
        <b/>
        <sz val="10"/>
        <rFont val="ＭＳ Ｐゴシック"/>
        <family val="3"/>
        <charset val="128"/>
      </rPr>
      <t>電気設備</t>
    </r>
    <rPh sb="6" eb="8">
      <t>デンキ</t>
    </rPh>
    <rPh sb="8" eb="10">
      <t>セツビ</t>
    </rPh>
    <phoneticPr fontId="22"/>
  </si>
  <si>
    <t>建物用途</t>
    <rPh sb="0" eb="2">
      <t>タテモノ</t>
    </rPh>
    <rPh sb="2" eb="4">
      <t>ヨウト</t>
    </rPh>
    <phoneticPr fontId="22"/>
  </si>
  <si>
    <t>空間のゆとり</t>
    <rPh sb="0" eb="2">
      <t>クウカン</t>
    </rPh>
    <phoneticPr fontId="22"/>
  </si>
  <si>
    <t>事・学・物・飲・病・工</t>
    <rPh sb="8" eb="9">
      <t>ヤマイ</t>
    </rPh>
    <rPh sb="10" eb="11">
      <t>コウ</t>
    </rPh>
    <phoneticPr fontId="22"/>
  </si>
  <si>
    <t>事・学・物・飲・病・工【&lt;2000㎡】</t>
    <rPh sb="8" eb="9">
      <t>ヤマイ</t>
    </rPh>
    <rPh sb="10" eb="11">
      <t>コウ</t>
    </rPh>
    <phoneticPr fontId="22"/>
  </si>
  <si>
    <t>3.3ｍ以上、3.5ｍ未満</t>
  </si>
  <si>
    <t>2.7ｍ以上、2.8ｍ未満</t>
  </si>
  <si>
    <t>3.7ｍ以上、3.9ｍ未満</t>
  </si>
  <si>
    <t>2.9ｍ以上、3.0ｍ未満</t>
  </si>
  <si>
    <t>事・学・物・飲・会・病・工</t>
    <rPh sb="12" eb="13">
      <t>コウ</t>
    </rPh>
    <phoneticPr fontId="22"/>
  </si>
  <si>
    <t>0.7≦　[壁長さ比率]</t>
  </si>
  <si>
    <t>0.5≦　[壁長さ比率] ＜0.7</t>
  </si>
  <si>
    <t>0.3≦　[壁長さ比率] ＜0.5</t>
  </si>
  <si>
    <t>0.1≦　[壁長さ比率] ＜0.3</t>
  </si>
  <si>
    <t>荷重のゆとり</t>
    <rPh sb="0" eb="2">
      <t>カジュウ</t>
    </rPh>
    <phoneticPr fontId="22"/>
  </si>
  <si>
    <t>事・物・飲・会（固定席）・病・工</t>
    <rPh sb="0" eb="1">
      <t>コト</t>
    </rPh>
    <rPh sb="2" eb="3">
      <t>モノ</t>
    </rPh>
    <rPh sb="4" eb="5">
      <t>イン</t>
    </rPh>
    <rPh sb="6" eb="7">
      <t>カイ</t>
    </rPh>
    <rPh sb="8" eb="10">
      <t>コテイ</t>
    </rPh>
    <rPh sb="10" eb="11">
      <t>セキ</t>
    </rPh>
    <rPh sb="15" eb="16">
      <t>コウ</t>
    </rPh>
    <phoneticPr fontId="22"/>
  </si>
  <si>
    <t>会（非固定席）</t>
    <rPh sb="0" eb="1">
      <t>カイ</t>
    </rPh>
    <rPh sb="2" eb="3">
      <t>ヒ</t>
    </rPh>
    <rPh sb="3" eb="5">
      <t>コテイ</t>
    </rPh>
    <rPh sb="5" eb="6">
      <t>セキ</t>
    </rPh>
    <phoneticPr fontId="22"/>
  </si>
  <si>
    <t>（該当するレベルなし）</t>
  </si>
  <si>
    <t>2900N/㎡未満</t>
    <phoneticPr fontId="22"/>
  </si>
  <si>
    <t>3500N/㎡未満</t>
    <phoneticPr fontId="22"/>
  </si>
  <si>
    <t>2300N/㎡未満</t>
    <phoneticPr fontId="22"/>
  </si>
  <si>
    <t>1800N/㎡未満</t>
    <phoneticPr fontId="22"/>
  </si>
  <si>
    <t>2900N/㎡以上～3500N/㎡未満</t>
    <phoneticPr fontId="22"/>
  </si>
  <si>
    <t>3500N/㎡以上～4200N/㎡未満</t>
    <phoneticPr fontId="22"/>
  </si>
  <si>
    <t>LR3</t>
    <phoneticPr fontId="22"/>
  </si>
  <si>
    <t>塗り床材</t>
    <rPh sb="0" eb="1">
      <t>ヌ</t>
    </rPh>
    <rPh sb="2" eb="3">
      <t>ユカ</t>
    </rPh>
    <rPh sb="3" eb="4">
      <t>ザイ</t>
    </rPh>
    <phoneticPr fontId="22"/>
  </si>
  <si>
    <t>床仕上げ</t>
    <rPh sb="0" eb="1">
      <t>ユカ</t>
    </rPh>
    <rPh sb="1" eb="3">
      <t>シア</t>
    </rPh>
    <phoneticPr fontId="22"/>
  </si>
  <si>
    <t>床仕上げワックス</t>
    <rPh sb="0" eb="1">
      <t>ユカ</t>
    </rPh>
    <rPh sb="1" eb="3">
      <t>シア</t>
    </rPh>
    <phoneticPr fontId="22"/>
  </si>
  <si>
    <t>防腐剤</t>
    <rPh sb="0" eb="3">
      <t>ボウフザイ</t>
    </rPh>
    <phoneticPr fontId="22"/>
  </si>
  <si>
    <t>平均気流速度</t>
    <rPh sb="0" eb="2">
      <t>ヘイキン</t>
    </rPh>
    <rPh sb="2" eb="4">
      <t>キリュウ</t>
    </rPh>
    <rPh sb="4" eb="6">
      <t>ソクド</t>
    </rPh>
    <phoneticPr fontId="22"/>
  </si>
  <si>
    <t>光・視環境</t>
    <rPh sb="0" eb="1">
      <t>ﾋｶﾘ</t>
    </rPh>
    <rPh sb="2" eb="3">
      <t>ｼ</t>
    </rPh>
    <rPh sb="3" eb="5">
      <t>ｶﾝｷｮｳ</t>
    </rPh>
    <phoneticPr fontId="34" type="noConversion"/>
  </si>
  <si>
    <t>昼光利用</t>
    <rPh sb="0" eb="1">
      <t>ﾋﾙ</t>
    </rPh>
    <rPh sb="1" eb="2">
      <t>ﾋｶﾘ</t>
    </rPh>
    <rPh sb="2" eb="4">
      <t>ﾘﾖｳ</t>
    </rPh>
    <phoneticPr fontId="34" type="noConversion"/>
  </si>
  <si>
    <t>昼光率</t>
    <rPh sb="0" eb="1">
      <t>ヒル</t>
    </rPh>
    <rPh sb="1" eb="2">
      <t>ヒカリ</t>
    </rPh>
    <rPh sb="2" eb="3">
      <t>リツ</t>
    </rPh>
    <phoneticPr fontId="22"/>
  </si>
  <si>
    <t>方位別開口</t>
    <rPh sb="0" eb="2">
      <t>ホウイ</t>
    </rPh>
    <rPh sb="2" eb="3">
      <t>ベツ</t>
    </rPh>
    <rPh sb="3" eb="5">
      <t>カイコウ</t>
    </rPh>
    <phoneticPr fontId="22"/>
  </si>
  <si>
    <t>昼光利用設備</t>
    <rPh sb="0" eb="1">
      <t>ヒル</t>
    </rPh>
    <rPh sb="1" eb="2">
      <t>ヒカリ</t>
    </rPh>
    <rPh sb="2" eb="4">
      <t>リヨウ</t>
    </rPh>
    <rPh sb="4" eb="6">
      <t>セツビ</t>
    </rPh>
    <phoneticPr fontId="22"/>
  </si>
  <si>
    <t>グレア対策</t>
    <rPh sb="3" eb="5">
      <t>ﾀｲｻｸ</t>
    </rPh>
    <phoneticPr fontId="34" type="noConversion"/>
  </si>
  <si>
    <t>照明器具のグレア</t>
    <rPh sb="0" eb="2">
      <t>ショウメイ</t>
    </rPh>
    <rPh sb="2" eb="4">
      <t>キグ</t>
    </rPh>
    <phoneticPr fontId="22"/>
  </si>
  <si>
    <t>昼光制御</t>
    <rPh sb="0" eb="1">
      <t>ヒル</t>
    </rPh>
    <rPh sb="1" eb="2">
      <t>ヒカリ</t>
    </rPh>
    <rPh sb="2" eb="4">
      <t>セイギョ</t>
    </rPh>
    <phoneticPr fontId="22"/>
  </si>
  <si>
    <t>1人当たりの執務スペースが9㎡以上。</t>
  </si>
  <si>
    <r>
      <t xml:space="preserve">1.1.2 </t>
    </r>
    <r>
      <rPr>
        <b/>
        <sz val="10"/>
        <rFont val="ＭＳ Ｐゴシック"/>
        <family val="3"/>
        <charset val="128"/>
      </rPr>
      <t>高度情報通信設備対応</t>
    </r>
    <rPh sb="6" eb="8">
      <t>コウド</t>
    </rPh>
    <rPh sb="8" eb="10">
      <t>ジョウホウ</t>
    </rPh>
    <rPh sb="10" eb="12">
      <t>ツウシン</t>
    </rPh>
    <rPh sb="12" eb="14">
      <t>セツビ</t>
    </rPh>
    <rPh sb="14" eb="16">
      <t>タイオウ</t>
    </rPh>
    <phoneticPr fontId="22"/>
  </si>
  <si>
    <t>建物全体・共用部分</t>
    <phoneticPr fontId="22"/>
  </si>
  <si>
    <r>
      <t xml:space="preserve">4.3.2 </t>
    </r>
    <r>
      <rPr>
        <b/>
        <sz val="10"/>
        <rFont val="ＭＳ Ｐゴシック"/>
        <family val="3"/>
        <charset val="128"/>
      </rPr>
      <t>喫煙の制御</t>
    </r>
    <rPh sb="6" eb="8">
      <t>キツエン</t>
    </rPh>
    <rPh sb="9" eb="11">
      <t>セイギョ</t>
    </rPh>
    <phoneticPr fontId="22"/>
  </si>
  <si>
    <t>事・学・物・飲・会・工</t>
    <rPh sb="10" eb="11">
      <t>コウ</t>
    </rPh>
    <phoneticPr fontId="22"/>
  </si>
  <si>
    <t>事・学・物・飲・会・病(待)・ホ・工</t>
    <rPh sb="10" eb="11">
      <t>ヤマイ</t>
    </rPh>
    <rPh sb="12" eb="13">
      <t>マ</t>
    </rPh>
    <rPh sb="17" eb="18">
      <t>コウ</t>
    </rPh>
    <phoneticPr fontId="22"/>
  </si>
  <si>
    <t>手動による計測を前提としたシステムとなっており、必要最低限の記録がなされている。</t>
  </si>
  <si>
    <t>喫煙ブースなど、非喫煙者が煙に曝されないような対策が最低限取られている。</t>
  </si>
  <si>
    <t>手動による計測を前提としたシステムとなっており、空気質を適正に維持するための管理マニュアル等が整備されており、有効に機能している。</t>
  </si>
  <si>
    <t>ビル全体の禁煙が確認されている。または、喫煙ブースなど、非喫煙者が煙に曝されないような対策が十分に取られている。</t>
  </si>
  <si>
    <t>特定建築物に該当する場合の取組みで評価する</t>
  </si>
  <si>
    <r>
      <t xml:space="preserve">1.1.1 </t>
    </r>
    <r>
      <rPr>
        <b/>
        <sz val="10"/>
        <rFont val="ＭＳ Ｐゴシック"/>
        <family val="3"/>
        <charset val="128"/>
      </rPr>
      <t>広さ・収納性</t>
    </r>
    <rPh sb="6" eb="7">
      <t>ヒロ</t>
    </rPh>
    <rPh sb="9" eb="12">
      <t>シュウノウセイ</t>
    </rPh>
    <phoneticPr fontId="22"/>
  </si>
  <si>
    <t>事・工</t>
    <rPh sb="0" eb="1">
      <t>コト</t>
    </rPh>
    <rPh sb="2" eb="3">
      <t>コウ</t>
    </rPh>
    <phoneticPr fontId="22"/>
  </si>
  <si>
    <t>病</t>
    <rPh sb="0" eb="1">
      <t>ビョウ</t>
    </rPh>
    <phoneticPr fontId="22"/>
  </si>
  <si>
    <t>診療室</t>
    <rPh sb="0" eb="3">
      <t>シンリョウシツ</t>
    </rPh>
    <phoneticPr fontId="22"/>
  </si>
  <si>
    <t>日本ロジテック協同組合</t>
  </si>
  <si>
    <t>維持管理用機能の確保において、取り組みにおいて該当する項目数が十分でない。（評価する取組みが 0～3）</t>
    <rPh sb="0" eb="2">
      <t>イジ</t>
    </rPh>
    <rPh sb="2" eb="5">
      <t>カンリヨウ</t>
    </rPh>
    <rPh sb="5" eb="7">
      <t>キノウ</t>
    </rPh>
    <rPh sb="8" eb="10">
      <t>カクホ</t>
    </rPh>
    <rPh sb="15" eb="16">
      <t>ト</t>
    </rPh>
    <rPh sb="17" eb="18">
      <t>ク</t>
    </rPh>
    <rPh sb="31" eb="33">
      <t>ジュウブン</t>
    </rPh>
    <phoneticPr fontId="22"/>
  </si>
  <si>
    <t>維持管理用機能の確保において、取り組みにおいて該当する項目数が標準的である。（評価する取組みが 4～6）</t>
    <rPh sb="0" eb="2">
      <t>イジ</t>
    </rPh>
    <rPh sb="2" eb="5">
      <t>カンリヨウ</t>
    </rPh>
    <rPh sb="5" eb="7">
      <t>キノウ</t>
    </rPh>
    <rPh sb="8" eb="10">
      <t>カクホ</t>
    </rPh>
    <rPh sb="15" eb="16">
      <t>ト</t>
    </rPh>
    <rPh sb="17" eb="18">
      <t>ク</t>
    </rPh>
    <rPh sb="31" eb="33">
      <t>ヒョウジュン</t>
    </rPh>
    <rPh sb="33" eb="34">
      <t>テキ</t>
    </rPh>
    <phoneticPr fontId="22"/>
  </si>
  <si>
    <t>維持管理用機能の確保において、取り組みにおいて該当する項目数が標準以上である。（評価する取組みが 7～9）</t>
    <rPh sb="15" eb="16">
      <t>ト</t>
    </rPh>
    <rPh sb="17" eb="18">
      <t>ク</t>
    </rPh>
    <rPh sb="31" eb="33">
      <t>ヒョウジュン</t>
    </rPh>
    <rPh sb="33" eb="35">
      <t>イジョウ</t>
    </rPh>
    <phoneticPr fontId="22"/>
  </si>
  <si>
    <t>維持管理用機能の確保において、充実した取り組みにおいて該当する項目数が行われている。（評価する取組みが 10以上）</t>
    <rPh sb="15" eb="17">
      <t>ジュウジツ</t>
    </rPh>
    <rPh sb="19" eb="20">
      <t>ト</t>
    </rPh>
    <rPh sb="21" eb="22">
      <t>ク</t>
    </rPh>
    <rPh sb="35" eb="36">
      <t>オコナ</t>
    </rPh>
    <rPh sb="54" eb="56">
      <t>イジョウ</t>
    </rPh>
    <phoneticPr fontId="22"/>
  </si>
  <si>
    <t>Lr-55</t>
    <phoneticPr fontId="22"/>
  </si>
  <si>
    <t>Lr-60</t>
    <phoneticPr fontId="22"/>
  </si>
  <si>
    <t>Lr-50</t>
    <phoneticPr fontId="22"/>
  </si>
  <si>
    <t>Lr-45</t>
    <phoneticPr fontId="22"/>
  </si>
  <si>
    <t>Lr-50　またはそれより良い</t>
    <phoneticPr fontId="22"/>
  </si>
  <si>
    <t>全般照明方式の場合で室内にかなり不快に感じる程度の非常に暗い部分がある。</t>
    <phoneticPr fontId="22"/>
  </si>
  <si>
    <t>マルチユニット型ヒートポンプ方式（冷暖同時）、二重ダクト方式（ＡＨＵで４管式）、４管式ＦＣＵ方式レベル３，４以上の細かなゾーニング（４０m2程度）による。</t>
    <phoneticPr fontId="22"/>
  </si>
  <si>
    <r>
      <t xml:space="preserve">2.1.5 </t>
    </r>
    <r>
      <rPr>
        <b/>
        <sz val="10"/>
        <rFont val="ＭＳ Ｐゴシック"/>
        <family val="3"/>
        <charset val="128"/>
      </rPr>
      <t>温度・湿度制御</t>
    </r>
    <rPh sb="6" eb="8">
      <t>オンド</t>
    </rPh>
    <rPh sb="9" eb="11">
      <t>シツド</t>
    </rPh>
    <rPh sb="11" eb="13">
      <t>セイギョ</t>
    </rPh>
    <phoneticPr fontId="22"/>
  </si>
  <si>
    <t>事・学・物・飲・会・病・ホ・工・住</t>
    <rPh sb="16" eb="17">
      <t>ジュウ</t>
    </rPh>
    <phoneticPr fontId="22"/>
  </si>
  <si>
    <t>ＯＮ-ＯＦＦによる温度・湿度制御になっている。</t>
  </si>
  <si>
    <t>比例制御、多位置制御による温度・湿度制御になっている。</t>
  </si>
  <si>
    <t>ＰＩＤ制御による温度・室内湿度になっている。</t>
  </si>
  <si>
    <t>快適センサーなどによる温度・湿度制御（快適範囲における温度制御）が可能である。</t>
  </si>
  <si>
    <r>
      <t xml:space="preserve">2.1.6 </t>
    </r>
    <r>
      <rPr>
        <b/>
        <sz val="10"/>
        <rFont val="ＭＳ Ｐゴシック"/>
        <family val="3"/>
        <charset val="128"/>
      </rPr>
      <t>個別制御</t>
    </r>
    <rPh sb="6" eb="8">
      <t>コベツ</t>
    </rPh>
    <rPh sb="8" eb="10">
      <t>セイギョ</t>
    </rPh>
    <phoneticPr fontId="22"/>
  </si>
  <si>
    <t>住</t>
    <rPh sb="0" eb="1">
      <t>ジュウ</t>
    </rPh>
    <phoneticPr fontId="22"/>
  </si>
  <si>
    <t>在室者は手元で、Low-Middle-Highの風量切り替えが可能である。</t>
  </si>
  <si>
    <t>在室者は手元で、直接温度設定やLow-Middle-Highの風量調整が可能である。ただし、熱源側は季節に応じて冷暖切り替えである。</t>
  </si>
  <si>
    <t>各室内で温度設定が可能。</t>
  </si>
  <si>
    <t>在室者は手元で、直接、温度設定や風量調整が可能である。（熱源側は冷暖同時）</t>
  </si>
  <si>
    <t>住戸内の温度を設定しつつ、各室において温度の個別設定が可能。</t>
  </si>
  <si>
    <r>
      <t xml:space="preserve">2.1.8 </t>
    </r>
    <r>
      <rPr>
        <b/>
        <sz val="10"/>
        <rFont val="ＭＳ Ｐゴシック"/>
        <family val="3"/>
        <charset val="128"/>
      </rPr>
      <t>監視システム</t>
    </r>
    <rPh sb="6" eb="8">
      <t>カンシ</t>
    </rPh>
    <phoneticPr fontId="22"/>
  </si>
  <si>
    <t>事・学・病・ホ・工</t>
    <rPh sb="4" eb="5">
      <t>ヤマイ</t>
    </rPh>
    <rPh sb="8" eb="9">
      <t>コウ</t>
    </rPh>
    <phoneticPr fontId="22"/>
  </si>
  <si>
    <t>物・飲</t>
    <rPh sb="2" eb="3">
      <t>イン</t>
    </rPh>
    <phoneticPr fontId="22"/>
  </si>
  <si>
    <t>時間外や休日時には、空調運転を行わない。</t>
  </si>
  <si>
    <t>同一フロアで熱負荷別に複数にゾーニングがなされておらず、代表的なゾーン監視のためにセンサー等の監視システムが設置されている。</t>
  </si>
  <si>
    <t>＜実施設計段階、竣工段階で詳細な評価を行う場合に記入＞</t>
    <phoneticPr fontId="22"/>
  </si>
  <si>
    <t>Quality</t>
    <phoneticPr fontId="22"/>
  </si>
  <si>
    <r>
      <t>L</t>
    </r>
    <r>
      <rPr>
        <sz val="8"/>
        <color indexed="10"/>
        <rFont val="ＭＳ Ｐゴシック"/>
        <family val="3"/>
        <charset val="128"/>
      </rPr>
      <t>：</t>
    </r>
    <r>
      <rPr>
        <sz val="8"/>
        <color indexed="10"/>
        <rFont val="Arial"/>
        <family val="2"/>
      </rPr>
      <t>Load</t>
    </r>
    <phoneticPr fontId="22"/>
  </si>
  <si>
    <r>
      <t>LR</t>
    </r>
    <r>
      <rPr>
        <sz val="8"/>
        <color indexed="10"/>
        <rFont val="ＭＳ Ｐゴシック"/>
        <family val="3"/>
        <charset val="128"/>
      </rPr>
      <t>：</t>
    </r>
    <r>
      <rPr>
        <sz val="8"/>
        <color indexed="10"/>
        <rFont val="Arial"/>
        <family val="2"/>
      </rPr>
      <t>Load Reduction</t>
    </r>
    <phoneticPr fontId="22"/>
  </si>
  <si>
    <r>
      <t>SQ</t>
    </r>
    <r>
      <rPr>
        <sz val="8"/>
        <color indexed="10"/>
        <rFont val="ＭＳ Ｐゴシック"/>
        <family val="3"/>
        <charset val="128"/>
      </rPr>
      <t>：</t>
    </r>
    <r>
      <rPr>
        <sz val="8"/>
        <color indexed="10"/>
        <rFont val="Arial"/>
        <family val="2"/>
      </rPr>
      <t>Score of Q category</t>
    </r>
    <phoneticPr fontId="22"/>
  </si>
  <si>
    <r>
      <t>SLR</t>
    </r>
    <r>
      <rPr>
        <sz val="8"/>
        <color indexed="10"/>
        <rFont val="ＭＳ Ｐゴシック"/>
        <family val="3"/>
        <charset val="128"/>
      </rPr>
      <t>：</t>
    </r>
    <r>
      <rPr>
        <sz val="8"/>
        <color indexed="10"/>
        <rFont val="Arial"/>
        <family val="2"/>
      </rPr>
      <t>Score of LR category</t>
    </r>
    <phoneticPr fontId="22"/>
  </si>
  <si>
    <r>
      <t>BEE</t>
    </r>
    <r>
      <rPr>
        <sz val="8"/>
        <color indexed="10"/>
        <rFont val="ＭＳ Ｐゴシック"/>
        <family val="3"/>
        <charset val="128"/>
      </rPr>
      <t>：</t>
    </r>
    <r>
      <rPr>
        <sz val="8"/>
        <color indexed="10"/>
        <rFont val="Arial"/>
        <family val="2"/>
      </rPr>
      <t>Building Environmental Efficiency</t>
    </r>
    <phoneticPr fontId="22"/>
  </si>
  <si>
    <t>(3)の評価はオプションとし、実施設計段階および竣工段階で可能な範囲で記入する。</t>
    <phoneticPr fontId="22"/>
  </si>
  <si>
    <t>配慮項目</t>
    <phoneticPr fontId="22"/>
  </si>
  <si>
    <t>環境配慮設計の概要記入欄</t>
    <phoneticPr fontId="22"/>
  </si>
  <si>
    <t>全体</t>
    <phoneticPr fontId="22"/>
  </si>
  <si>
    <t>weight(set)</t>
    <phoneticPr fontId="22"/>
  </si>
  <si>
    <t>Ｑ　建築物の環境品質</t>
    <phoneticPr fontId="22"/>
  </si>
  <si>
    <t>Q1</t>
    <phoneticPr fontId="34" type="noConversion"/>
  </si>
  <si>
    <t>温度・湿度制御</t>
    <phoneticPr fontId="22"/>
  </si>
  <si>
    <t>Q2</t>
    <phoneticPr fontId="34" type="noConversion"/>
  </si>
  <si>
    <t>サービス性能</t>
    <phoneticPr fontId="22"/>
  </si>
  <si>
    <t>リフレッシュスペース</t>
    <phoneticPr fontId="22"/>
  </si>
  <si>
    <t>空調配管の更新性</t>
    <phoneticPr fontId="22"/>
  </si>
  <si>
    <t>Q3</t>
    <phoneticPr fontId="34" type="noConversion"/>
  </si>
  <si>
    <t>室外環境（敷地内）</t>
    <phoneticPr fontId="22"/>
  </si>
  <si>
    <t>3b</t>
    <phoneticPr fontId="22"/>
  </si>
  <si>
    <t>エネルギー利用効率化設備</t>
    <phoneticPr fontId="22"/>
  </si>
  <si>
    <t>モニタリング</t>
    <phoneticPr fontId="34" type="noConversion"/>
  </si>
  <si>
    <t>LR2</t>
    <phoneticPr fontId="34" type="noConversion"/>
  </si>
  <si>
    <t>資源・マテリアル</t>
    <phoneticPr fontId="22"/>
  </si>
  <si>
    <t>LR3</t>
    <phoneticPr fontId="34" type="noConversion"/>
  </si>
  <si>
    <t>敷地外環境</t>
    <phoneticPr fontId="22"/>
  </si>
  <si>
    <t>温熱環境悪化の改善</t>
    <phoneticPr fontId="22"/>
  </si>
  <si>
    <t>雨水排水負荷低減</t>
    <phoneticPr fontId="34" type="noConversion"/>
  </si>
  <si>
    <t>汚水処理負荷抑制</t>
    <phoneticPr fontId="34" type="noConversion"/>
  </si>
  <si>
    <t>振動</t>
    <phoneticPr fontId="34" type="noConversion"/>
  </si>
  <si>
    <t>悪臭</t>
    <phoneticPr fontId="34" type="noConversion"/>
  </si>
  <si>
    <t>風害の抑制</t>
    <phoneticPr fontId="34" type="noConversion"/>
  </si>
  <si>
    <t>日照阻害の抑制</t>
    <phoneticPr fontId="34" type="noConversion"/>
  </si>
  <si>
    <r>
      <t>1.　建設に係るCO</t>
    </r>
    <r>
      <rPr>
        <b/>
        <vertAlign val="subscript"/>
        <sz val="11"/>
        <rFont val="ＭＳ Ｐゴシック"/>
        <family val="3"/>
        <charset val="128"/>
      </rPr>
      <t>2</t>
    </r>
    <r>
      <rPr>
        <b/>
        <sz val="11"/>
        <rFont val="ＭＳ Ｐゴシック"/>
        <family val="3"/>
        <charset val="128"/>
      </rPr>
      <t>排出量</t>
    </r>
    <rPh sb="3" eb="5">
      <t>ケンセツ</t>
    </rPh>
    <rPh sb="6" eb="7">
      <t>カカ</t>
    </rPh>
    <rPh sb="11" eb="13">
      <t>ハイシュツ</t>
    </rPh>
    <rPh sb="13" eb="14">
      <t>リョウ</t>
    </rPh>
    <phoneticPr fontId="22"/>
  </si>
  <si>
    <r>
      <t>kg-CO</t>
    </r>
    <r>
      <rPr>
        <vertAlign val="subscript"/>
        <sz val="10"/>
        <rFont val="ＭＳ Ｐゴシック"/>
        <family val="3"/>
        <charset val="128"/>
      </rPr>
      <t>2</t>
    </r>
    <r>
      <rPr>
        <sz val="10"/>
        <rFont val="ＭＳ Ｐゴシック"/>
        <family val="3"/>
        <charset val="128"/>
      </rPr>
      <t>/年m</t>
    </r>
    <r>
      <rPr>
        <vertAlign val="superscript"/>
        <sz val="10"/>
        <rFont val="ＭＳ Ｐゴシック"/>
        <family val="3"/>
        <charset val="128"/>
      </rPr>
      <t>2</t>
    </r>
    <rPh sb="7" eb="8">
      <t>ネン</t>
    </rPh>
    <phoneticPr fontId="22"/>
  </si>
  <si>
    <r>
      <t>1-1.　評価結果のCO</t>
    </r>
    <r>
      <rPr>
        <b/>
        <vertAlign val="subscript"/>
        <sz val="10"/>
        <rFont val="ＭＳ Ｐゴシック"/>
        <family val="3"/>
        <charset val="128"/>
      </rPr>
      <t>2</t>
    </r>
    <r>
      <rPr>
        <b/>
        <sz val="10"/>
        <rFont val="ＭＳ Ｐゴシック"/>
        <family val="3"/>
        <charset val="128"/>
      </rPr>
      <t>排出量への置き換え</t>
    </r>
    <rPh sb="5" eb="7">
      <t>ヒョウカ</t>
    </rPh>
    <rPh sb="7" eb="9">
      <t>ケッカ</t>
    </rPh>
    <rPh sb="13" eb="15">
      <t>ハイシュツ</t>
    </rPh>
    <rPh sb="15" eb="16">
      <t>リョウ</t>
    </rPh>
    <rPh sb="18" eb="19">
      <t>オ</t>
    </rPh>
    <rPh sb="20" eb="21">
      <t>カ</t>
    </rPh>
    <phoneticPr fontId="22"/>
  </si>
  <si>
    <t>集合住宅</t>
    <phoneticPr fontId="22"/>
  </si>
  <si>
    <t>ｍ3/㎡</t>
    <phoneticPr fontId="22"/>
  </si>
  <si>
    <t>◆</t>
    <phoneticPr fontId="22"/>
  </si>
  <si>
    <r>
      <t>2.　修繕・更新・解体に係るCO</t>
    </r>
    <r>
      <rPr>
        <b/>
        <vertAlign val="subscript"/>
        <sz val="11"/>
        <rFont val="ＭＳ Ｐゴシック"/>
        <family val="3"/>
        <charset val="128"/>
      </rPr>
      <t>2</t>
    </r>
    <r>
      <rPr>
        <b/>
        <sz val="11"/>
        <rFont val="ＭＳ Ｐゴシック"/>
        <family val="3"/>
        <charset val="128"/>
      </rPr>
      <t>排出量</t>
    </r>
    <rPh sb="3" eb="5">
      <t>シュウゼン</t>
    </rPh>
    <rPh sb="6" eb="8">
      <t>コウシン</t>
    </rPh>
    <rPh sb="9" eb="11">
      <t>カイタイ</t>
    </rPh>
    <rPh sb="12" eb="13">
      <t>カカ</t>
    </rPh>
    <rPh sb="17" eb="19">
      <t>ハイシュツ</t>
    </rPh>
    <rPh sb="19" eb="20">
      <t>リョウ</t>
    </rPh>
    <phoneticPr fontId="22"/>
  </si>
  <si>
    <r>
      <t>2-1.　評価結果のCO</t>
    </r>
    <r>
      <rPr>
        <b/>
        <vertAlign val="subscript"/>
        <sz val="10"/>
        <rFont val="ＭＳ Ｐゴシック"/>
        <family val="3"/>
        <charset val="128"/>
      </rPr>
      <t>2</t>
    </r>
    <r>
      <rPr>
        <b/>
        <sz val="10"/>
        <rFont val="ＭＳ Ｐゴシック"/>
        <family val="3"/>
        <charset val="128"/>
      </rPr>
      <t>排出量への置き換え</t>
    </r>
    <rPh sb="5" eb="7">
      <t>ヒョウカ</t>
    </rPh>
    <rPh sb="7" eb="9">
      <t>ケッカ</t>
    </rPh>
    <rPh sb="13" eb="15">
      <t>ハイシュツ</t>
    </rPh>
    <rPh sb="15" eb="16">
      <t>リョウ</t>
    </rPh>
    <rPh sb="18" eb="19">
      <t>オ</t>
    </rPh>
    <rPh sb="20" eb="21">
      <t>カ</t>
    </rPh>
    <phoneticPr fontId="22"/>
  </si>
  <si>
    <r>
      <t>3.　運用時のエネルギーに係るCO</t>
    </r>
    <r>
      <rPr>
        <b/>
        <vertAlign val="subscript"/>
        <sz val="11"/>
        <rFont val="ＭＳ Ｐゴシック"/>
        <family val="3"/>
        <charset val="128"/>
      </rPr>
      <t>2</t>
    </r>
    <r>
      <rPr>
        <b/>
        <sz val="11"/>
        <rFont val="ＭＳ Ｐゴシック"/>
        <family val="3"/>
        <charset val="128"/>
      </rPr>
      <t>排出量</t>
    </r>
    <rPh sb="3" eb="5">
      <t>ウンヨウ</t>
    </rPh>
    <rPh sb="5" eb="6">
      <t>ジ</t>
    </rPh>
    <rPh sb="13" eb="14">
      <t>カカ</t>
    </rPh>
    <rPh sb="18" eb="20">
      <t>ハイシュツ</t>
    </rPh>
    <rPh sb="20" eb="21">
      <t>リョウ</t>
    </rPh>
    <phoneticPr fontId="22"/>
  </si>
  <si>
    <t>N.A.</t>
    <phoneticPr fontId="22"/>
  </si>
  <si>
    <r>
      <t>4.　ライフサイクルCO</t>
    </r>
    <r>
      <rPr>
        <b/>
        <vertAlign val="subscript"/>
        <sz val="11"/>
        <rFont val="ＭＳ Ｐゴシック"/>
        <family val="3"/>
        <charset val="128"/>
      </rPr>
      <t>2</t>
    </r>
    <r>
      <rPr>
        <b/>
        <sz val="11"/>
        <rFont val="ＭＳ Ｐゴシック"/>
        <family val="3"/>
        <charset val="128"/>
      </rPr>
      <t>の計算（標準計算）</t>
    </r>
    <rPh sb="14" eb="16">
      <t>ケイサン</t>
    </rPh>
    <rPh sb="17" eb="19">
      <t>ヒョウジュン</t>
    </rPh>
    <rPh sb="19" eb="21">
      <t>ケイサン</t>
    </rPh>
    <phoneticPr fontId="22"/>
  </si>
  <si>
    <t>LR1 
エネルギー</t>
    <phoneticPr fontId="22"/>
  </si>
  <si>
    <r>
      <t xml:space="preserve">Q1 </t>
    </r>
    <r>
      <rPr>
        <b/>
        <sz val="14"/>
        <rFont val="ＭＳ Ｐゴシック"/>
        <family val="3"/>
        <charset val="128"/>
      </rPr>
      <t>室内環境</t>
    </r>
    <rPh sb="3" eb="5">
      <t>シツナイ</t>
    </rPh>
    <rPh sb="5" eb="7">
      <t>カンキョウ</t>
    </rPh>
    <phoneticPr fontId="22"/>
  </si>
  <si>
    <t>○</t>
    <phoneticPr fontId="22"/>
  </si>
  <si>
    <t>ON</t>
    <phoneticPr fontId="22"/>
  </si>
  <si>
    <t>dB(A)</t>
    <phoneticPr fontId="22"/>
  </si>
  <si>
    <t>建物全体・共用部分</t>
    <phoneticPr fontId="22"/>
  </si>
  <si>
    <t>住居・宿泊部分</t>
    <phoneticPr fontId="22"/>
  </si>
  <si>
    <t>小中学校</t>
    <rPh sb="0" eb="4">
      <t>ショウチュウガッコウ</t>
    </rPh>
    <phoneticPr fontId="22"/>
  </si>
  <si>
    <t>物販店</t>
    <rPh sb="0" eb="3">
      <t>ブッパンテン</t>
    </rPh>
    <phoneticPr fontId="22"/>
  </si>
  <si>
    <t>デパート・スーパー</t>
  </si>
  <si>
    <t>集会所</t>
    <rPh sb="0" eb="3">
      <t>シュウカイショ</t>
    </rPh>
    <phoneticPr fontId="22"/>
  </si>
  <si>
    <t>集会所</t>
    <rPh sb="0" eb="2">
      <t>シュウカイ</t>
    </rPh>
    <rPh sb="2" eb="3">
      <t>ジョ</t>
    </rPh>
    <phoneticPr fontId="22"/>
  </si>
  <si>
    <t>病院</t>
    <rPh sb="0" eb="2">
      <t>ビョウイン</t>
    </rPh>
    <phoneticPr fontId="22"/>
  </si>
  <si>
    <t>１作業単位で照明制御でき、かつ、端末・リモコン等で調整できる、または自動照明制御ができる。</t>
    <rPh sb="6" eb="8">
      <t>ショウメイ</t>
    </rPh>
    <rPh sb="34" eb="36">
      <t>ジドウ</t>
    </rPh>
    <rPh sb="36" eb="38">
      <t>ショウメイ</t>
    </rPh>
    <rPh sb="38" eb="40">
      <t>セイギョ</t>
    </rPh>
    <phoneticPr fontId="22"/>
  </si>
  <si>
    <t>室内の複数部分に対して端末、リモコン等で細かい照明制御ができる、または、自動照明制御ができる。</t>
    <rPh sb="23" eb="25">
      <t>ショウメイ</t>
    </rPh>
    <rPh sb="36" eb="38">
      <t>ジドウ</t>
    </rPh>
    <rPh sb="38" eb="40">
      <t>ショウメイ</t>
    </rPh>
    <rPh sb="40" eb="42">
      <t>セイギョ</t>
    </rPh>
    <phoneticPr fontId="22"/>
  </si>
  <si>
    <t>発生源対策</t>
    <rPh sb="0" eb="3">
      <t>ハッセイゲン</t>
    </rPh>
    <rPh sb="3" eb="5">
      <t>タイサク</t>
    </rPh>
    <phoneticPr fontId="22"/>
  </si>
  <si>
    <r>
      <t xml:space="preserve">4.1.1 </t>
    </r>
    <r>
      <rPr>
        <b/>
        <sz val="10"/>
        <rFont val="ＭＳ Ｐゴシック"/>
        <family val="3"/>
        <charset val="128"/>
      </rPr>
      <t>化学汚染物質</t>
    </r>
    <rPh sb="6" eb="8">
      <t>カガク</t>
    </rPh>
    <rPh sb="8" eb="10">
      <t>オセン</t>
    </rPh>
    <rPh sb="10" eb="12">
      <t>ブッシツ</t>
    </rPh>
    <phoneticPr fontId="22"/>
  </si>
  <si>
    <t>事・学・物・飲・会・病・ホ・工・住</t>
    <rPh sb="2" eb="3">
      <t>ガク</t>
    </rPh>
    <rPh sb="6" eb="7">
      <t>イン</t>
    </rPh>
    <rPh sb="8" eb="9">
      <t>カイ</t>
    </rPh>
    <rPh sb="16" eb="17">
      <t>ジュウ</t>
    </rPh>
    <phoneticPr fontId="22"/>
  </si>
  <si>
    <t>病・ホ・住</t>
    <rPh sb="0" eb="1">
      <t>ヤマイ</t>
    </rPh>
    <rPh sb="4" eb="5">
      <t>ジュウ</t>
    </rPh>
    <phoneticPr fontId="22"/>
  </si>
  <si>
    <t>レベル３を満たさない。</t>
    <phoneticPr fontId="22"/>
  </si>
  <si>
    <t>建築基準法を満たしている。</t>
    <phoneticPr fontId="22"/>
  </si>
  <si>
    <t>ホルムアルデヒド濃度が100μg/m3以下。
かつ、トルエン濃度が260μg/m3以下。
測定によらない場合、建築基準法を満たしている。</t>
    <phoneticPr fontId="22"/>
  </si>
  <si>
    <t>建築基準法を満たしており、かつ建築基準法規制対象外となる建築材料（告示対象外の建材およびJIS・JAS規格のＦ☆☆☆☆）をほぼ全面的（床・壁・天井・天井裏の面積の合計の70％以上の面積）に採用している。</t>
    <rPh sb="81" eb="83">
      <t>ゴウケイ</t>
    </rPh>
    <phoneticPr fontId="22"/>
  </si>
  <si>
    <r>
      <t xml:space="preserve">4.1.2 </t>
    </r>
    <r>
      <rPr>
        <b/>
        <sz val="10"/>
        <rFont val="ＭＳ Ｐゴシック"/>
        <family val="3"/>
        <charset val="128"/>
      </rPr>
      <t>アスベスト対策</t>
    </r>
    <rPh sb="11" eb="13">
      <t>タイサク</t>
    </rPh>
    <phoneticPr fontId="22"/>
  </si>
  <si>
    <t>既存のみ評価</t>
    <rPh sb="0" eb="2">
      <t>キソン</t>
    </rPh>
    <rPh sb="4" eb="6">
      <t>ヒョウカ</t>
    </rPh>
    <phoneticPr fontId="22"/>
  </si>
  <si>
    <t>吹き付けアスベスト等を使用しているが、封じ込め又は囲い込みが行われている。</t>
    <phoneticPr fontId="22"/>
  </si>
  <si>
    <t>吹き付けアスベスト等を一切使用していない。</t>
    <phoneticPr fontId="22"/>
  </si>
  <si>
    <r>
      <t xml:space="preserve">4.1.3 </t>
    </r>
    <r>
      <rPr>
        <b/>
        <sz val="10"/>
        <rFont val="ＭＳ Ｐゴシック"/>
        <family val="3"/>
        <charset val="128"/>
      </rPr>
      <t>ダニ・カビ等</t>
    </r>
    <rPh sb="11" eb="12">
      <t>トウ</t>
    </rPh>
    <phoneticPr fontId="22"/>
  </si>
  <si>
    <t>事・学・物・飲・会・病・ホ・工・住</t>
    <rPh sb="0" eb="1">
      <t>コト</t>
    </rPh>
    <rPh sb="2" eb="3">
      <t>ガク</t>
    </rPh>
    <rPh sb="4" eb="5">
      <t>モノ</t>
    </rPh>
    <rPh sb="6" eb="7">
      <t>イン</t>
    </rPh>
    <rPh sb="8" eb="9">
      <t>カイ</t>
    </rPh>
    <rPh sb="10" eb="11">
      <t>ヤマイ</t>
    </rPh>
    <rPh sb="16" eb="17">
      <t>ジュウ</t>
    </rPh>
    <phoneticPr fontId="22"/>
  </si>
  <si>
    <t>内装は、床・壁の50％以上～65％未満の面積において、ダニ・カビの発生を抑制、あるいは清掃・メンテナンスに配慮したものとなっている。</t>
    <rPh sb="17" eb="19">
      <t>ミマン</t>
    </rPh>
    <phoneticPr fontId="22"/>
  </si>
  <si>
    <r>
      <t xml:space="preserve">4.1.4 </t>
    </r>
    <r>
      <rPr>
        <b/>
        <sz val="10"/>
        <rFont val="ＭＳ Ｐゴシック"/>
        <family val="3"/>
        <charset val="128"/>
      </rPr>
      <t>レジオネラ対策</t>
    </r>
    <rPh sb="11" eb="13">
      <t>タイサク</t>
    </rPh>
    <phoneticPr fontId="22"/>
  </si>
  <si>
    <t>事・学・物・飲・会・工・病</t>
    <rPh sb="0" eb="1">
      <t>コト</t>
    </rPh>
    <rPh sb="2" eb="3">
      <t>ガク</t>
    </rPh>
    <rPh sb="4" eb="5">
      <t>モノ</t>
    </rPh>
    <rPh sb="6" eb="7">
      <t>イン</t>
    </rPh>
    <rPh sb="8" eb="9">
      <t>カイ</t>
    </rPh>
    <rPh sb="10" eb="11">
      <t>コウ</t>
    </rPh>
    <rPh sb="12" eb="13">
      <t>ビョウ</t>
    </rPh>
    <phoneticPr fontId="22"/>
  </si>
  <si>
    <t>冷却塔の水処理、飛散対策等が最低限施されており、給湯器も最低限の対策が施されている。</t>
  </si>
  <si>
    <t>評価する取組み表の評価ポイントの合計値が3ポイント</t>
    <phoneticPr fontId="22"/>
  </si>
  <si>
    <t>評価する取組み表の評価ポイントの合計値が4ポイント</t>
    <phoneticPr fontId="22"/>
  </si>
  <si>
    <t>評価する取組み表の評価ポイントの合計値が5ポイント以上</t>
    <phoneticPr fontId="22"/>
  </si>
  <si>
    <t>I ゴミの種類や量の推計</t>
    <phoneticPr fontId="22"/>
  </si>
  <si>
    <t>持続可能な森林から産出された木材を使用していない。</t>
    <phoneticPr fontId="22"/>
  </si>
  <si>
    <t>持続可能な森林から産出された木材を使用しているが、使用比率10％未満。</t>
    <phoneticPr fontId="22"/>
  </si>
  <si>
    <t>振動に関する規制基準値</t>
    <rPh sb="0" eb="2">
      <t>シンドウ</t>
    </rPh>
    <rPh sb="3" eb="4">
      <t>カン</t>
    </rPh>
    <rPh sb="6" eb="8">
      <t>キセイ</t>
    </rPh>
    <rPh sb="8" eb="11">
      <t>キジュンチ</t>
    </rPh>
    <phoneticPr fontId="22"/>
  </si>
  <si>
    <t>65dB以下</t>
  </si>
  <si>
    <t>建物に求められている機能が明確化されており、内装計画の段階で、その機能を促進するするための取り組みが具体的に示されている。（例えば、ホテル等では、生活空間としてのインテリアを意識して、木や石などの天然素材を導入してリビング的な演出を行うなどの積極的な工夫を行う等。）</t>
  </si>
  <si>
    <t>Dr-45</t>
  </si>
  <si>
    <t>Dr-45以上</t>
  </si>
  <si>
    <t>Dr-50以上</t>
    <rPh sb="5" eb="7">
      <t>イジョウ</t>
    </rPh>
    <phoneticPr fontId="22"/>
  </si>
  <si>
    <t>Dr-55以上</t>
    <rPh sb="5" eb="7">
      <t>イジョウ</t>
    </rPh>
    <phoneticPr fontId="22"/>
  </si>
  <si>
    <t>学</t>
    <rPh sb="0" eb="1">
      <t>ガク</t>
    </rPh>
    <phoneticPr fontId="22"/>
  </si>
  <si>
    <t>吸音</t>
    <rPh sb="0" eb="2">
      <t>キュウオン</t>
    </rPh>
    <phoneticPr fontId="22"/>
  </si>
  <si>
    <t>建物全体・共用部分</t>
    <phoneticPr fontId="22"/>
  </si>
  <si>
    <t>事・学・物・飲・会・病・ホ・工</t>
    <rPh sb="4" eb="5">
      <t>モノ</t>
    </rPh>
    <rPh sb="6" eb="7">
      <t>イン</t>
    </rPh>
    <rPh sb="8" eb="9">
      <t>カイ</t>
    </rPh>
    <phoneticPr fontId="22"/>
  </si>
  <si>
    <t>吸音材を使用していない。</t>
    <rPh sb="4" eb="6">
      <t>シヨウ</t>
    </rPh>
    <phoneticPr fontId="22"/>
  </si>
  <si>
    <t>壁、床、天井のうち一面に吸音材を使用している。</t>
    <rPh sb="9" eb="11">
      <t>イチメン</t>
    </rPh>
    <rPh sb="16" eb="18">
      <t>シヨウ</t>
    </rPh>
    <phoneticPr fontId="22"/>
  </si>
  <si>
    <t>温熱環境</t>
    <rPh sb="0" eb="2">
      <t>オンネツ</t>
    </rPh>
    <rPh sb="2" eb="4">
      <t>カンキョウ</t>
    </rPh>
    <phoneticPr fontId="22"/>
  </si>
  <si>
    <t>室温制御</t>
    <rPh sb="0" eb="2">
      <t>シツオン</t>
    </rPh>
    <rPh sb="2" eb="4">
      <t>セイギョ</t>
    </rPh>
    <phoneticPr fontId="22"/>
  </si>
  <si>
    <t>住居・宿泊部分</t>
  </si>
  <si>
    <t>病(待)・ホ・工・住</t>
    <rPh sb="2" eb="3">
      <t>マ</t>
    </rPh>
    <phoneticPr fontId="22"/>
  </si>
  <si>
    <t>病(診)</t>
    <rPh sb="2" eb="3">
      <t>ミ</t>
    </rPh>
    <phoneticPr fontId="22"/>
  </si>
  <si>
    <t>学（小中高）</t>
    <rPh sb="2" eb="5">
      <t>ショウチュウコウ</t>
    </rPh>
    <phoneticPr fontId="22"/>
  </si>
  <si>
    <t>レベル２を満たさない。</t>
  </si>
  <si>
    <t>居住域の上下温度差や気流速度について特に配慮していない空調方式が計画されている。</t>
    <phoneticPr fontId="22"/>
  </si>
  <si>
    <t>通常の空調方式であるが、居住域の上下温度差や気流速度に配慮した給排気計画がなされている。</t>
    <phoneticPr fontId="22"/>
  </si>
  <si>
    <t>通常の空調方式であるが、居住域の上下温度差や気流速度および診療室内の間仕切りなどに配慮した給排気計画がなされている。</t>
    <phoneticPr fontId="22"/>
  </si>
  <si>
    <r>
      <t>居住域の上下温度差や気流速度が少なくなるように配慮された空調方式</t>
    </r>
    <r>
      <rPr>
        <vertAlign val="superscript"/>
        <sz val="9"/>
        <rFont val="ＭＳ Ｐゴシック"/>
        <family val="3"/>
        <charset val="128"/>
      </rPr>
      <t>＊</t>
    </r>
    <r>
      <rPr>
        <sz val="9"/>
        <rFont val="ＭＳ Ｐゴシック"/>
        <family val="3"/>
        <charset val="128"/>
      </rPr>
      <t>が採用されている。</t>
    </r>
    <phoneticPr fontId="22"/>
  </si>
  <si>
    <t>居住域の上下温度差や気流速度が少なくなり、また診療室内の間仕切りに配慮された空調方式*が採用されている。</t>
    <phoneticPr fontId="22"/>
  </si>
  <si>
    <t>空調居住域の上下温度差、気流速度や非空調部屋との室間温度差などが少なくなるように配慮された空調方式が計画されている。</t>
    <phoneticPr fontId="22"/>
  </si>
  <si>
    <t>居住域の上下温度差や気流速度について特に配慮していない空調方式が計画されている。</t>
    <phoneticPr fontId="22"/>
  </si>
  <si>
    <t>空調居住域の上下温度差、気流速度や非空調部屋との室間温度差などについて特に配慮していない空調方式が採用されている。</t>
    <phoneticPr fontId="22"/>
  </si>
  <si>
    <t>雨水の排水溝等</t>
    <rPh sb="0" eb="2">
      <t>アマミズ</t>
    </rPh>
    <rPh sb="3" eb="6">
      <t>ハイスイコウ</t>
    </rPh>
    <rPh sb="6" eb="7">
      <t>トウ</t>
    </rPh>
    <phoneticPr fontId="22"/>
  </si>
  <si>
    <t>耐用性・信頼性</t>
    <rPh sb="4" eb="6">
      <t>シンライ</t>
    </rPh>
    <rPh sb="6" eb="7">
      <t>セイ</t>
    </rPh>
    <phoneticPr fontId="2"/>
  </si>
  <si>
    <t>耐震･免震</t>
    <rPh sb="0" eb="2">
      <t>タイシン</t>
    </rPh>
    <rPh sb="3" eb="4">
      <t>メン</t>
    </rPh>
    <rPh sb="4" eb="5">
      <t>フル</t>
    </rPh>
    <phoneticPr fontId="2"/>
  </si>
  <si>
    <t>免震・制振性能</t>
    <rPh sb="5" eb="7">
      <t>セイノウ</t>
    </rPh>
    <phoneticPr fontId="2"/>
  </si>
  <si>
    <t>部品・部材の耐用年数</t>
    <rPh sb="0" eb="2">
      <t>ブヒン</t>
    </rPh>
    <rPh sb="3" eb="4">
      <t>ブ</t>
    </rPh>
    <rPh sb="4" eb="5">
      <t>ザイ</t>
    </rPh>
    <rPh sb="6" eb="8">
      <t>タイヨウ</t>
    </rPh>
    <rPh sb="8" eb="10">
      <t>ネンスウ</t>
    </rPh>
    <phoneticPr fontId="2"/>
  </si>
  <si>
    <t>躯体材料の耐用年数</t>
    <rPh sb="0" eb="2">
      <t>クタイ</t>
    </rPh>
    <rPh sb="2" eb="4">
      <t>ザイリョウ</t>
    </rPh>
    <rPh sb="5" eb="7">
      <t>タイヨウ</t>
    </rPh>
    <rPh sb="7" eb="9">
      <t>ネンスウ</t>
    </rPh>
    <phoneticPr fontId="2"/>
  </si>
  <si>
    <t>空調換気ダクトの更新必要間隔</t>
    <rPh sb="0" eb="2">
      <t>クウチョウ</t>
    </rPh>
    <rPh sb="2" eb="4">
      <t>カンキ</t>
    </rPh>
    <phoneticPr fontId="2"/>
  </si>
  <si>
    <t>空調・給排水配管の更新必要間隔</t>
    <rPh sb="0" eb="2">
      <t>クウチョウ</t>
    </rPh>
    <rPh sb="3" eb="4">
      <t>キュウ</t>
    </rPh>
    <rPh sb="4" eb="6">
      <t>ハイスイ</t>
    </rPh>
    <rPh sb="6" eb="8">
      <t>ハイカン</t>
    </rPh>
    <phoneticPr fontId="2"/>
  </si>
  <si>
    <t>適切な更新</t>
    <rPh sb="0" eb="2">
      <t>テキセツ</t>
    </rPh>
    <rPh sb="3" eb="5">
      <t>コウシン</t>
    </rPh>
    <phoneticPr fontId="2"/>
  </si>
  <si>
    <t>屋上（屋根）・外壁仕上げ材の更新</t>
    <rPh sb="0" eb="2">
      <t>オクジョウ</t>
    </rPh>
    <rPh sb="3" eb="5">
      <t>ヤネ</t>
    </rPh>
    <rPh sb="7" eb="9">
      <t>ガイヘキ</t>
    </rPh>
    <rPh sb="9" eb="11">
      <t>シア</t>
    </rPh>
    <rPh sb="12" eb="13">
      <t>ザイ</t>
    </rPh>
    <rPh sb="14" eb="16">
      <t>コウシン</t>
    </rPh>
    <phoneticPr fontId="2"/>
  </si>
  <si>
    <t>配管・配線材の更新</t>
    <rPh sb="0" eb="2">
      <t>ハイカン</t>
    </rPh>
    <rPh sb="3" eb="5">
      <t>ハイセン</t>
    </rPh>
    <rPh sb="5" eb="6">
      <t>ザイ</t>
    </rPh>
    <rPh sb="7" eb="9">
      <t>コウシン</t>
    </rPh>
    <phoneticPr fontId="2"/>
  </si>
  <si>
    <t>主要設備機器の更新</t>
    <rPh sb="0" eb="2">
      <t>シュヨウ</t>
    </rPh>
    <rPh sb="2" eb="4">
      <t>セツビ</t>
    </rPh>
    <rPh sb="4" eb="6">
      <t>キキ</t>
    </rPh>
    <rPh sb="7" eb="9">
      <t>コウシン</t>
    </rPh>
    <phoneticPr fontId="2"/>
  </si>
  <si>
    <t>信頼性</t>
    <rPh sb="0" eb="3">
      <t>シンライセイ</t>
    </rPh>
    <phoneticPr fontId="2"/>
  </si>
  <si>
    <t>バックアップスペースの確保</t>
    <rPh sb="11" eb="13">
      <t>カクホ</t>
    </rPh>
    <phoneticPr fontId="2"/>
  </si>
  <si>
    <t>上記以外</t>
    <rPh sb="0" eb="2">
      <t>ジョウキ</t>
    </rPh>
    <rPh sb="2" eb="4">
      <t>イガイ</t>
    </rPh>
    <phoneticPr fontId="22"/>
  </si>
  <si>
    <t xml:space="preserve"> Q2 1.3</t>
  </si>
  <si>
    <t>総合的な取組み</t>
    <rPh sb="0" eb="3">
      <t>ソウゴウテキ</t>
    </rPh>
    <rPh sb="4" eb="5">
      <t>ト</t>
    </rPh>
    <rPh sb="5" eb="6">
      <t>ク</t>
    </rPh>
    <phoneticPr fontId="22"/>
  </si>
  <si>
    <t>維持管理に配慮した設計</t>
    <rPh sb="0" eb="2">
      <t>イジ</t>
    </rPh>
    <rPh sb="2" eb="4">
      <t>カンリ</t>
    </rPh>
    <rPh sb="5" eb="7">
      <t>ハイリョ</t>
    </rPh>
    <rPh sb="9" eb="11">
      <t>セッケイ</t>
    </rPh>
    <phoneticPr fontId="22"/>
  </si>
  <si>
    <t>1.3.2</t>
  </si>
  <si>
    <t>清掃管理業務</t>
    <rPh sb="0" eb="2">
      <t>セイソウ</t>
    </rPh>
    <rPh sb="2" eb="4">
      <t>カンリ</t>
    </rPh>
    <rPh sb="4" eb="6">
      <t>ギョウム</t>
    </rPh>
    <phoneticPr fontId="22"/>
  </si>
  <si>
    <t>維持管理用機能の確保</t>
    <rPh sb="0" eb="2">
      <t>イジ</t>
    </rPh>
    <rPh sb="2" eb="5">
      <t>カンリヨウ</t>
    </rPh>
    <rPh sb="5" eb="7">
      <t>キノウ</t>
    </rPh>
    <rPh sb="8" eb="10">
      <t>カクホ</t>
    </rPh>
    <phoneticPr fontId="22"/>
  </si>
  <si>
    <t>1.3.3</t>
  </si>
  <si>
    <t>耐用性・信頼性</t>
    <rPh sb="4" eb="6">
      <t>シンライ</t>
    </rPh>
    <rPh sb="6" eb="7">
      <t>セイ</t>
    </rPh>
    <phoneticPr fontId="22"/>
  </si>
  <si>
    <t xml:space="preserve"> Q2 2</t>
  </si>
  <si>
    <t xml:space="preserve"> Q2 2.1</t>
  </si>
  <si>
    <t>耐震性</t>
  </si>
  <si>
    <t>免震・制振性能</t>
    <rPh sb="5" eb="7">
      <t>セイノウ</t>
    </rPh>
    <phoneticPr fontId="22"/>
  </si>
  <si>
    <t xml:space="preserve"> Q2 2.2</t>
  </si>
  <si>
    <t>外壁仕上げ材の補修必要間隔</t>
  </si>
  <si>
    <t>主要内装仕上げ材の更新必要間隔</t>
  </si>
  <si>
    <t>空調換気ダクトの更新必要間隔</t>
    <rPh sb="0" eb="2">
      <t>クウチョウ</t>
    </rPh>
    <rPh sb="2" eb="4">
      <t>カンキ</t>
    </rPh>
    <phoneticPr fontId="22"/>
  </si>
  <si>
    <t>空調・給排水配管の更新必要間隔</t>
    <rPh sb="0" eb="2">
      <t>クウチョウ</t>
    </rPh>
    <rPh sb="3" eb="4">
      <t>キュウ</t>
    </rPh>
    <rPh sb="4" eb="6">
      <t>ハイスイ</t>
    </rPh>
    <rPh sb="6" eb="8">
      <t>ハイカン</t>
    </rPh>
    <phoneticPr fontId="22"/>
  </si>
  <si>
    <t>主要設備機器の更新必要間隔</t>
  </si>
  <si>
    <t xml:space="preserve"> Q2 2.3</t>
  </si>
  <si>
    <t>主要設備機器の更新</t>
    <rPh sb="0" eb="2">
      <t>シュヨウ</t>
    </rPh>
    <rPh sb="2" eb="4">
      <t>セツビ</t>
    </rPh>
    <rPh sb="4" eb="6">
      <t>キキ</t>
    </rPh>
    <rPh sb="7" eb="9">
      <t>コウシン</t>
    </rPh>
    <phoneticPr fontId="22"/>
  </si>
  <si>
    <t xml:space="preserve"> Q2 2.4</t>
  </si>
  <si>
    <t>空調・換気設備</t>
  </si>
  <si>
    <t>2.4.2</t>
  </si>
  <si>
    <t>給排水・衛生設備</t>
  </si>
  <si>
    <t>2.4.3</t>
  </si>
  <si>
    <t>電気設備</t>
  </si>
  <si>
    <t>2.4.4</t>
  </si>
  <si>
    <t>機械・配管支持方法</t>
  </si>
  <si>
    <t>2.4.5</t>
  </si>
  <si>
    <t>通信・情報設備</t>
  </si>
  <si>
    <t>木　材</t>
    <rPh sb="0" eb="1">
      <t>キ</t>
    </rPh>
    <rPh sb="2" eb="3">
      <t>ザイ</t>
    </rPh>
    <phoneticPr fontId="22"/>
  </si>
  <si>
    <t>飲食店</t>
    <rPh sb="0" eb="2">
      <t>インショク</t>
    </rPh>
    <rPh sb="2" eb="3">
      <t>テン</t>
    </rPh>
    <phoneticPr fontId="22"/>
  </si>
  <si>
    <t>集合住宅</t>
    <rPh sb="0" eb="2">
      <t>シュウゴウ</t>
    </rPh>
    <rPh sb="2" eb="4">
      <t>ジュウタク</t>
    </rPh>
    <phoneticPr fontId="22"/>
  </si>
  <si>
    <t>2-2.　合計の計算</t>
    <rPh sb="5" eb="7">
      <t>ゴウケイ</t>
    </rPh>
    <rPh sb="8" eb="10">
      <t>ケイサン</t>
    </rPh>
    <phoneticPr fontId="22"/>
  </si>
  <si>
    <t>3-1.　建築物の取組み（②）</t>
    <rPh sb="5" eb="8">
      <t>ケンチクブツ</t>
    </rPh>
    <rPh sb="9" eb="11">
      <t>トリク</t>
    </rPh>
    <phoneticPr fontId="22"/>
  </si>
  <si>
    <t>参照値（①）</t>
    <rPh sb="0" eb="2">
      <t>サンショウ</t>
    </rPh>
    <rPh sb="2" eb="3">
      <t>チ</t>
    </rPh>
    <phoneticPr fontId="22"/>
  </si>
  <si>
    <t>3-2.　上記+上記以外のオンサイト手法（③）</t>
    <rPh sb="5" eb="7">
      <t>ジョウキ</t>
    </rPh>
    <rPh sb="8" eb="10">
      <t>ジョウキ</t>
    </rPh>
    <rPh sb="10" eb="12">
      <t>イガイ</t>
    </rPh>
    <rPh sb="18" eb="20">
      <t>シュホウ</t>
    </rPh>
    <phoneticPr fontId="22"/>
  </si>
  <si>
    <t>削減量</t>
    <rPh sb="0" eb="2">
      <t>サクゲン</t>
    </rPh>
    <rPh sb="2" eb="3">
      <t>リョウ</t>
    </rPh>
    <phoneticPr fontId="22"/>
  </si>
  <si>
    <t>合計  [1]</t>
    <phoneticPr fontId="22"/>
  </si>
  <si>
    <t>自家消費分</t>
    <phoneticPr fontId="22"/>
  </si>
  <si>
    <t>地域区分Ⅲ</t>
  </si>
  <si>
    <t>地域区分Ⅳ</t>
  </si>
  <si>
    <t>地域区分Ⅴ</t>
  </si>
  <si>
    <t>地域区分Ⅵ</t>
  </si>
  <si>
    <t>3.3.1</t>
    <phoneticPr fontId="22"/>
  </si>
  <si>
    <t>照度</t>
    <phoneticPr fontId="22"/>
  </si>
  <si>
    <t>3.3.2</t>
    <phoneticPr fontId="22"/>
  </si>
  <si>
    <t>※個別計算</t>
    <rPh sb="1" eb="3">
      <t>コベツ</t>
    </rPh>
    <rPh sb="3" eb="5">
      <t>ケイサン</t>
    </rPh>
    <phoneticPr fontId="22"/>
  </si>
  <si>
    <t>室内全体に対して照明制御盤、器具等による大まかな調整ができる。</t>
    <phoneticPr fontId="22"/>
  </si>
  <si>
    <t>レベル３を満たしている。かつ、部分的に自動調光ができる。</t>
    <phoneticPr fontId="22"/>
  </si>
  <si>
    <t>4500N/㎡以上</t>
    <phoneticPr fontId="22"/>
  </si>
  <si>
    <t>5200N/㎡以上</t>
    <phoneticPr fontId="22"/>
  </si>
  <si>
    <t>3500N/㎡以上</t>
    <phoneticPr fontId="22"/>
  </si>
  <si>
    <t>2900N/㎡以上</t>
    <phoneticPr fontId="22"/>
  </si>
  <si>
    <t>設備の更新性</t>
    <rPh sb="0" eb="2">
      <t>セツビ</t>
    </rPh>
    <rPh sb="3" eb="5">
      <t>コウシン</t>
    </rPh>
    <rPh sb="5" eb="6">
      <t>セイ</t>
    </rPh>
    <phoneticPr fontId="22"/>
  </si>
  <si>
    <t>構造部材を痛めなければ空調配管の更新・修繕ができない。</t>
  </si>
  <si>
    <t>構造部材、仕上げ材を痛めなければ修繕、更新できない。</t>
  </si>
  <si>
    <t>IV 防犯性の配慮</t>
    <rPh sb="7" eb="9">
      <t>ハイリョ</t>
    </rPh>
    <phoneticPr fontId="22"/>
  </si>
  <si>
    <t>新築はなし</t>
    <rPh sb="0" eb="2">
      <t>シンチク</t>
    </rPh>
    <phoneticPr fontId="22"/>
  </si>
  <si>
    <t>V 屋外施設等の適切な維持管理（植栽管理を除く）</t>
    <rPh sb="2" eb="4">
      <t>オクガイ</t>
    </rPh>
    <rPh sb="4" eb="6">
      <t>シセツ</t>
    </rPh>
    <rPh sb="6" eb="7">
      <t>トウ</t>
    </rPh>
    <rPh sb="8" eb="10">
      <t>テキセツ</t>
    </rPh>
    <rPh sb="11" eb="13">
      <t>イジ</t>
    </rPh>
    <rPh sb="13" eb="15">
      <t>カンリ</t>
    </rPh>
    <rPh sb="16" eb="18">
      <t>ショクサイ</t>
    </rPh>
    <rPh sb="18" eb="20">
      <t>カンリ</t>
    </rPh>
    <rPh sb="21" eb="22">
      <t>ノゾ</t>
    </rPh>
    <phoneticPr fontId="22"/>
  </si>
  <si>
    <t>7) 屋外施設等の適切な維持管理の実施
屋外施設等（舗装・ファニチャー等）について適切な維持管理（清掃・洗浄・補修等）が実施されている。</t>
    <rPh sb="3" eb="5">
      <t>オクガイ</t>
    </rPh>
    <rPh sb="5" eb="7">
      <t>シセツ</t>
    </rPh>
    <rPh sb="7" eb="8">
      <t>トウ</t>
    </rPh>
    <rPh sb="9" eb="11">
      <t>テキセツ</t>
    </rPh>
    <rPh sb="12" eb="14">
      <t>イジ</t>
    </rPh>
    <rPh sb="14" eb="16">
      <t>カンリ</t>
    </rPh>
    <rPh sb="17" eb="19">
      <t>ジッシ</t>
    </rPh>
    <rPh sb="20" eb="22">
      <t>オクガイ</t>
    </rPh>
    <rPh sb="22" eb="24">
      <t>シセツ</t>
    </rPh>
    <rPh sb="24" eb="25">
      <t>トウ</t>
    </rPh>
    <rPh sb="26" eb="28">
      <t>ホソウ</t>
    </rPh>
    <rPh sb="35" eb="36">
      <t>トウ</t>
    </rPh>
    <rPh sb="41" eb="43">
      <t>テキセツ</t>
    </rPh>
    <rPh sb="44" eb="46">
      <t>イジ</t>
    </rPh>
    <rPh sb="46" eb="48">
      <t>カンリ</t>
    </rPh>
    <rPh sb="49" eb="51">
      <t>セイソウ</t>
    </rPh>
    <rPh sb="52" eb="54">
      <t>センジョウ</t>
    </rPh>
    <rPh sb="55" eb="57">
      <t>ホシュウ</t>
    </rPh>
    <rPh sb="57" eb="58">
      <t>トウ</t>
    </rPh>
    <rPh sb="60" eb="62">
      <t>ジッシ</t>
    </rPh>
    <phoneticPr fontId="22"/>
  </si>
  <si>
    <t>V 建物利用者等の参加性</t>
    <rPh sb="2" eb="4">
      <t>タテモノ</t>
    </rPh>
    <rPh sb="4" eb="7">
      <t>リヨウシャ</t>
    </rPh>
    <rPh sb="7" eb="8">
      <t>トウ</t>
    </rPh>
    <rPh sb="9" eb="12">
      <t>サンカセイ</t>
    </rPh>
    <phoneticPr fontId="22"/>
  </si>
  <si>
    <t>評価する取組み表の評価ポイントの合計値が0ポイント</t>
  </si>
  <si>
    <t>評価する取組み表の評価ポイントの合計値が1～5ポイント</t>
  </si>
  <si>
    <t>評価する取組み表の評価ポイントの合計値が6～11ポイント</t>
  </si>
  <si>
    <t>評価する取組み表の評価ポイントの合計値が12～17ポイント</t>
  </si>
  <si>
    <t>評価建物(③)の電力消費量</t>
    <phoneticPr fontId="22"/>
  </si>
  <si>
    <r>
      <t>kg-CO</t>
    </r>
    <r>
      <rPr>
        <vertAlign val="subscript"/>
        <sz val="10"/>
        <rFont val="ＭＳ Ｐゴシック"/>
        <family val="3"/>
        <charset val="128"/>
      </rPr>
      <t>2</t>
    </r>
    <r>
      <rPr>
        <sz val="10"/>
        <rFont val="ＭＳ Ｐゴシック"/>
        <family val="3"/>
        <charset val="128"/>
      </rPr>
      <t>/kWh</t>
    </r>
    <phoneticPr fontId="22"/>
  </si>
  <si>
    <t>実排出量との差</t>
    <phoneticPr fontId="22"/>
  </si>
  <si>
    <t>病院o</t>
    <phoneticPr fontId="22"/>
  </si>
  <si>
    <r>
      <t xml:space="preserve">3.2.3 </t>
    </r>
    <r>
      <rPr>
        <b/>
        <sz val="10"/>
        <rFont val="ＭＳ Ｐゴシック"/>
        <family val="3"/>
        <charset val="128"/>
      </rPr>
      <t>冷媒</t>
    </r>
    <rPh sb="6" eb="8">
      <t>レイバイ</t>
    </rPh>
    <phoneticPr fontId="22"/>
  </si>
  <si>
    <t>HCFCの冷媒を使用している。</t>
  </si>
  <si>
    <t>ODP=0の冷媒を使用している。</t>
  </si>
  <si>
    <t>自然冷媒・新冷凍システム（ODP=0）を使用し、かつGWP50未満の冷媒を使用している。</t>
  </si>
  <si>
    <t>居室面積の1/10以上の開閉可能な窓を確保している。</t>
    <phoneticPr fontId="22"/>
  </si>
  <si>
    <t>評価点</t>
    <rPh sb="0" eb="3">
      <t>ヒョウカテン</t>
    </rPh>
    <phoneticPr fontId="22"/>
  </si>
  <si>
    <t>重み
係数</t>
    <rPh sb="0" eb="1">
      <t>オモ</t>
    </rPh>
    <phoneticPr fontId="22"/>
  </si>
  <si>
    <t>全体</t>
  </si>
  <si>
    <t>室内環境</t>
  </si>
  <si>
    <t>音環境</t>
    <rPh sb="0" eb="1">
      <t>ｵﾄ</t>
    </rPh>
    <rPh sb="1" eb="3">
      <t>ｶﾝｷｮｳ</t>
    </rPh>
    <phoneticPr fontId="34" type="noConversion"/>
  </si>
  <si>
    <t>室内騒音レベル</t>
    <phoneticPr fontId="22"/>
  </si>
  <si>
    <t>設備騒音対策</t>
    <phoneticPr fontId="22"/>
  </si>
  <si>
    <t>遮音</t>
  </si>
  <si>
    <t>学(小中高)</t>
    <rPh sb="0" eb="1">
      <t>ガク</t>
    </rPh>
    <rPh sb="2" eb="3">
      <t>ショウ</t>
    </rPh>
    <rPh sb="3" eb="4">
      <t>チュウ</t>
    </rPh>
    <rPh sb="4" eb="5">
      <t>コウ</t>
    </rPh>
    <phoneticPr fontId="22"/>
  </si>
  <si>
    <t>■使用評価マニュアル：</t>
    <rPh sb="1" eb="3">
      <t>シヨウ</t>
    </rPh>
    <rPh sb="3" eb="5">
      <t>ヒョウカ</t>
    </rPh>
    <phoneticPr fontId="22"/>
  </si>
  <si>
    <t>ビルマルチエアコン室外機等からの騒音</t>
    <rPh sb="9" eb="12">
      <t>シツガイキ</t>
    </rPh>
    <rPh sb="12" eb="13">
      <t>トウ</t>
    </rPh>
    <rPh sb="16" eb="18">
      <t>ソウオン</t>
    </rPh>
    <phoneticPr fontId="22"/>
  </si>
  <si>
    <t>防音塀、遮蔽体、防振支持、位置など</t>
    <rPh sb="0" eb="2">
      <t>ボウオン</t>
    </rPh>
    <rPh sb="2" eb="3">
      <t>ヘイ</t>
    </rPh>
    <rPh sb="4" eb="6">
      <t>シャヘイ</t>
    </rPh>
    <rPh sb="6" eb="7">
      <t>タイ</t>
    </rPh>
    <rPh sb="8" eb="12">
      <t>ボウシンシジ</t>
    </rPh>
    <rPh sb="13" eb="15">
      <t>イチ</t>
    </rPh>
    <phoneticPr fontId="22"/>
  </si>
  <si>
    <t>項目</t>
    <rPh sb="0" eb="2">
      <t>コウモク</t>
    </rPh>
    <phoneticPr fontId="22"/>
  </si>
  <si>
    <t>B．住宅における設備騒音対策の評価する取組み</t>
    <rPh sb="2" eb="4">
      <t>ジュウタク</t>
    </rPh>
    <rPh sb="8" eb="10">
      <t>セツビ</t>
    </rPh>
    <rPh sb="10" eb="12">
      <t>ソウオン</t>
    </rPh>
    <rPh sb="12" eb="14">
      <t>タイサク</t>
    </rPh>
    <rPh sb="15" eb="17">
      <t>ヒョウカ</t>
    </rPh>
    <rPh sb="19" eb="20">
      <t>ト</t>
    </rPh>
    <rPh sb="20" eb="21">
      <t>ク</t>
    </rPh>
    <phoneticPr fontId="22"/>
  </si>
  <si>
    <t>住宅</t>
    <rPh sb="0" eb="2">
      <t>ジュウタク</t>
    </rPh>
    <phoneticPr fontId="22"/>
  </si>
  <si>
    <t>トイレ、浴室等の給配水音、排水音、使用音</t>
    <rPh sb="11" eb="12">
      <t>オン</t>
    </rPh>
    <rPh sb="13" eb="15">
      <t>ハイスイ</t>
    </rPh>
    <rPh sb="15" eb="16">
      <t>オン</t>
    </rPh>
    <rPh sb="17" eb="19">
      <t>シヨウ</t>
    </rPh>
    <rPh sb="19" eb="20">
      <t>オン</t>
    </rPh>
    <phoneticPr fontId="22"/>
  </si>
  <si>
    <t>重役室・大会議室</t>
    <rPh sb="0" eb="3">
      <t>ジュウヤクシツ</t>
    </rPh>
    <rPh sb="4" eb="8">
      <t>ダイカイギシツ</t>
    </rPh>
    <phoneticPr fontId="22"/>
  </si>
  <si>
    <t>応接室</t>
    <rPh sb="0" eb="3">
      <t>オウセツシツ</t>
    </rPh>
    <phoneticPr fontId="22"/>
  </si>
  <si>
    <t>広さ・収納性</t>
    <rPh sb="0" eb="1">
      <t>ヒロ</t>
    </rPh>
    <rPh sb="3" eb="5">
      <t>シュウノウ</t>
    </rPh>
    <rPh sb="5" eb="6">
      <t>セイ</t>
    </rPh>
    <phoneticPr fontId="22"/>
  </si>
  <si>
    <t>高度情報通信設備対応</t>
    <rPh sb="0" eb="2">
      <t>コウド</t>
    </rPh>
    <rPh sb="2" eb="4">
      <t>ジョウホウ</t>
    </rPh>
    <rPh sb="4" eb="6">
      <t>ツウシン</t>
    </rPh>
    <rPh sb="6" eb="8">
      <t>セツビ</t>
    </rPh>
    <rPh sb="8" eb="10">
      <t>タイオウ</t>
    </rPh>
    <phoneticPr fontId="22"/>
  </si>
  <si>
    <t>バリアフリー計画</t>
    <rPh sb="6" eb="8">
      <t>ケイカク</t>
    </rPh>
    <phoneticPr fontId="22"/>
  </si>
  <si>
    <t>売電分</t>
    <rPh sb="0" eb="2">
      <t>バイデン</t>
    </rPh>
    <rPh sb="2" eb="3">
      <t>ブン</t>
    </rPh>
    <phoneticPr fontId="22"/>
  </si>
  <si>
    <t>修繕・更新・解体</t>
    <rPh sb="3" eb="5">
      <t>コウシン</t>
    </rPh>
    <phoneticPr fontId="22"/>
  </si>
  <si>
    <t>レベル３程度の空調ゾーニングがなされ、さらにゾーン別に冷房・暖房の選択が可能な空調システムが計画されている。</t>
    <phoneticPr fontId="22"/>
  </si>
  <si>
    <t>60＜ [騒音レベル]</t>
    <phoneticPr fontId="22"/>
  </si>
  <si>
    <t>45＜ [騒音レベル]</t>
    <phoneticPr fontId="22"/>
  </si>
  <si>
    <t>　レベル　1</t>
    <phoneticPr fontId="22"/>
  </si>
  <si>
    <t>■レベル　1</t>
    <phoneticPr fontId="22"/>
  </si>
  <si>
    <t>-</t>
    <phoneticPr fontId="22"/>
  </si>
  <si>
    <t>(該当するレベルなし)</t>
  </si>
  <si>
    <t>50＜ [騒音レベル] ≦60</t>
    <phoneticPr fontId="22"/>
  </si>
  <si>
    <t>■自然エネルギーの直接利用量</t>
    <rPh sb="1" eb="3">
      <t>シゼン</t>
    </rPh>
    <rPh sb="9" eb="11">
      <t>チョクセツ</t>
    </rPh>
    <rPh sb="11" eb="13">
      <t>リヨウ</t>
    </rPh>
    <rPh sb="13" eb="14">
      <t>リョウ</t>
    </rPh>
    <phoneticPr fontId="22"/>
  </si>
  <si>
    <t>LCCO2算定における運用段階のエネルギー消費量(標準計算)</t>
    <rPh sb="5" eb="7">
      <t>サンテイ</t>
    </rPh>
    <rPh sb="11" eb="13">
      <t>ウンヨウ</t>
    </rPh>
    <rPh sb="13" eb="15">
      <t>ダンカイ</t>
    </rPh>
    <rPh sb="21" eb="24">
      <t>ショウヒリョウ</t>
    </rPh>
    <rPh sb="25" eb="27">
      <t>ヒョウジュン</t>
    </rPh>
    <rPh sb="27" eb="29">
      <t>ケイサン</t>
    </rPh>
    <phoneticPr fontId="22"/>
  </si>
  <si>
    <t>建物外皮の熱負荷抑制</t>
    <rPh sb="0" eb="2">
      <t>タテモノ</t>
    </rPh>
    <rPh sb="2" eb="4">
      <t>ガイヒ</t>
    </rPh>
    <rPh sb="5" eb="6">
      <t>ネツ</t>
    </rPh>
    <rPh sb="6" eb="8">
      <t>フカ</t>
    </rPh>
    <rPh sb="8" eb="10">
      <t>ヨクセイ</t>
    </rPh>
    <phoneticPr fontId="22"/>
  </si>
  <si>
    <t>空気取り入れ口は敷地周囲の状況を勘案して、汚染源のない方位に設けられている。</t>
    <phoneticPr fontId="22"/>
  </si>
  <si>
    <t>空気取り入れ口は敷地周囲の状況を勘案して、汚染源のない方位に設けられている。かつ、各種排気口と異なる方位か、または3ｍ以上離れて設置されている。</t>
    <phoneticPr fontId="22"/>
  </si>
  <si>
    <t>空気取り入れ口は敷地周囲の状況を勘案して、汚染源のない方位に設けられている。かつ、各種排気口と異なる方位で、かつ6ｍ以上離れて設置されている。</t>
    <phoneticPr fontId="22"/>
  </si>
  <si>
    <t>外気が空調機でレタンと混合され各室に熱負荷から決まる風量で配分される等、各室の負荷条件によっては、必ずしも必要な場所に必要な外気量が保証されないシステムとなっている。</t>
    <phoneticPr fontId="22"/>
  </si>
  <si>
    <t>商業建物</t>
    <rPh sb="0" eb="2">
      <t>ショウギョウ</t>
    </rPh>
    <rPh sb="2" eb="4">
      <t>タテモノ</t>
    </rPh>
    <phoneticPr fontId="22"/>
  </si>
  <si>
    <t>音楽喫茶店</t>
    <rPh sb="0" eb="2">
      <t>オンガク</t>
    </rPh>
    <rPh sb="2" eb="5">
      <t>キッサテン</t>
    </rPh>
    <phoneticPr fontId="22"/>
  </si>
  <si>
    <t>公共建物</t>
    <rPh sb="0" eb="2">
      <t>コウキョウ</t>
    </rPh>
    <rPh sb="2" eb="4">
      <t>タテモノ</t>
    </rPh>
    <phoneticPr fontId="22"/>
  </si>
  <si>
    <t>公会堂</t>
    <rPh sb="0" eb="3">
      <t>コウカイドウ</t>
    </rPh>
    <phoneticPr fontId="22"/>
  </si>
  <si>
    <t>美術館・博物館</t>
    <rPh sb="0" eb="2">
      <t>ビジュツ</t>
    </rPh>
    <rPh sb="2" eb="3">
      <t>カン</t>
    </rPh>
    <rPh sb="4" eb="7">
      <t>ハクブツカン</t>
    </rPh>
    <phoneticPr fontId="22"/>
  </si>
  <si>
    <t>学校・教会</t>
    <rPh sb="0" eb="2">
      <t>ガッコウ</t>
    </rPh>
    <rPh sb="3" eb="5">
      <t>キョウカイ</t>
    </rPh>
    <phoneticPr fontId="22"/>
  </si>
  <si>
    <t>音楽教室</t>
    <rPh sb="0" eb="2">
      <t>オンガク</t>
    </rPh>
    <rPh sb="2" eb="4">
      <t>キョウシツ</t>
    </rPh>
    <phoneticPr fontId="22"/>
  </si>
  <si>
    <t>3.1　空調設備</t>
    <rPh sb="4" eb="6">
      <t>クウチョウ</t>
    </rPh>
    <rPh sb="6" eb="8">
      <t>セツビ</t>
    </rPh>
    <phoneticPr fontId="22"/>
  </si>
  <si>
    <t>建物で消費される各種エネルギー消費量を年間に渡って把握し、消費原単位等を用いてのベンチマーク比較が行なえること。</t>
    <phoneticPr fontId="22"/>
  </si>
  <si>
    <t>悪臭</t>
    <rPh sb="0" eb="2">
      <t>アクシュウ</t>
    </rPh>
    <phoneticPr fontId="22"/>
  </si>
  <si>
    <t>LR3 3.2</t>
  </si>
  <si>
    <t>LR3 3.3</t>
  </si>
  <si>
    <t>光害の抑制</t>
    <rPh sb="0" eb="1">
      <t>ﾋｶﾘ</t>
    </rPh>
    <phoneticPr fontId="34" type="noConversion"/>
  </si>
  <si>
    <t>耐震･免震</t>
    <rPh sb="0" eb="2">
      <t>タイシン</t>
    </rPh>
    <rPh sb="3" eb="4">
      <t>メン</t>
    </rPh>
    <rPh sb="4" eb="5">
      <t>フル</t>
    </rPh>
    <phoneticPr fontId="22"/>
  </si>
  <si>
    <t>部品・部材の耐用年数</t>
    <rPh sb="0" eb="2">
      <t>ブヒン</t>
    </rPh>
    <rPh sb="3" eb="4">
      <t>ブ</t>
    </rPh>
    <rPh sb="4" eb="5">
      <t>ザイ</t>
    </rPh>
    <rPh sb="6" eb="8">
      <t>タイヨウ</t>
    </rPh>
    <rPh sb="8" eb="10">
      <t>ネンスウ</t>
    </rPh>
    <phoneticPr fontId="22"/>
  </si>
  <si>
    <r>
      <t>LR1</t>
    </r>
    <r>
      <rPr>
        <b/>
        <sz val="14"/>
        <rFont val="ＭＳ Ｐゴシック"/>
        <family val="3"/>
        <charset val="128"/>
      </rPr>
      <t>　エネルギー</t>
    </r>
    <phoneticPr fontId="22"/>
  </si>
  <si>
    <t>レベル３に満たない</t>
    <phoneticPr fontId="3"/>
  </si>
  <si>
    <t>(a)　グリーン電力証書によるカーボンオフセット</t>
    <phoneticPr fontId="22"/>
  </si>
  <si>
    <t>空気取り入れ口は敷地周囲の状況を勘案して、汚染源のない方位に設けられている。かつ、各種排気口と異なる方位で、かつ6ｍ以上離れて設置されている。</t>
  </si>
  <si>
    <r>
      <t xml:space="preserve">4.2.4 </t>
    </r>
    <r>
      <rPr>
        <b/>
        <sz val="10"/>
        <rFont val="ＭＳ Ｐゴシック"/>
        <family val="3"/>
        <charset val="128"/>
      </rPr>
      <t>給気計画</t>
    </r>
    <rPh sb="6" eb="7">
      <t>キュウ</t>
    </rPh>
    <rPh sb="7" eb="8">
      <t>キ</t>
    </rPh>
    <rPh sb="8" eb="10">
      <t>ケイカク</t>
    </rPh>
    <phoneticPr fontId="22"/>
  </si>
  <si>
    <t>事・学・物・飲・会・病・ホ・工・住</t>
    <phoneticPr fontId="22"/>
  </si>
  <si>
    <t>レベル３に満たない</t>
    <phoneticPr fontId="22"/>
  </si>
  <si>
    <t>冷暖房平均COPが1.25以上の熱源機器を採用</t>
    <phoneticPr fontId="22"/>
  </si>
  <si>
    <t>レベル３に加え、空調対象面積の50％以上に全熱交換器を採用</t>
    <phoneticPr fontId="22"/>
  </si>
  <si>
    <t>＜７種類の制御方式＞
カード・センサー等による在室検知制御、明るさ感知による自動点滅制御、適正照度制御（初期照度補正）、タイムスケジュール制御、昼光利用照明制御、ゾーニング制御、局所制御</t>
    <phoneticPr fontId="22"/>
  </si>
  <si>
    <t>レベル３に満たない</t>
    <phoneticPr fontId="3"/>
  </si>
  <si>
    <t>レベル３に加え、７種類のうち２種類以上採用されている。</t>
    <phoneticPr fontId="3"/>
  </si>
  <si>
    <t>レベル３に加え、７種類のうち４種類以上採用されている。</t>
    <phoneticPr fontId="3"/>
  </si>
  <si>
    <t>1)地域の温熱環境状況に関する事前調査の実施</t>
  </si>
  <si>
    <t>既存なし</t>
    <rPh sb="0" eb="2">
      <t>キソン</t>
    </rPh>
    <phoneticPr fontId="22"/>
  </si>
  <si>
    <t>Lr-40　またはそれより良い</t>
    <phoneticPr fontId="22"/>
  </si>
  <si>
    <t>1.2.4 界床遮音性能（重量衝撃源）</t>
    <phoneticPr fontId="22"/>
  </si>
  <si>
    <t>人のとびはねや走り回る音がうるさい。　</t>
    <phoneticPr fontId="22"/>
  </si>
  <si>
    <t>人のとびはねや走り回る音がかなり気になる。</t>
    <phoneticPr fontId="22"/>
  </si>
  <si>
    <t>人のとびはねや走り回る音がよく聞こえる。</t>
    <phoneticPr fontId="22"/>
  </si>
  <si>
    <t>人のとびはねや走り回る音が聞こえる。</t>
    <phoneticPr fontId="22"/>
  </si>
  <si>
    <t>人のとびはねや走り回る音が小さく聞こえる。</t>
    <phoneticPr fontId="22"/>
  </si>
  <si>
    <t>人のとびはねや走り回る音が聞こえるが意識することはあまりない。</t>
    <phoneticPr fontId="22"/>
  </si>
  <si>
    <t>Lr-60より悪い</t>
    <phoneticPr fontId="22"/>
  </si>
  <si>
    <t>Lr-45　またはそれより良い</t>
    <phoneticPr fontId="22"/>
  </si>
  <si>
    <t>病・ホ</t>
    <phoneticPr fontId="22"/>
  </si>
  <si>
    <t>壁、床、天井のうち二面に吸音材を使用している。</t>
    <phoneticPr fontId="22"/>
  </si>
  <si>
    <t>壁、床、天井に吸音材を使用している。</t>
    <phoneticPr fontId="22"/>
  </si>
  <si>
    <t>建物全体・共用部分</t>
    <phoneticPr fontId="22"/>
  </si>
  <si>
    <t>住</t>
    <phoneticPr fontId="22"/>
  </si>
  <si>
    <t>冬期20℃、夏期28℃と多少我慢を強いる室温設定。</t>
    <phoneticPr fontId="22"/>
  </si>
  <si>
    <t>冬期10℃以上、夏期30℃以下と多少我慢を強いる室温設定。</t>
    <phoneticPr fontId="22"/>
  </si>
  <si>
    <t>冬期18℃、夏期28℃程度と多少我慢を強いる室温設定。</t>
    <phoneticPr fontId="22"/>
  </si>
  <si>
    <t>各室において冬期18℃、夏期28℃程度を強いる設定としている。</t>
    <phoneticPr fontId="22"/>
  </si>
  <si>
    <t>一般的な冬期22℃、夏期26℃の設定。</t>
    <phoneticPr fontId="22"/>
  </si>
  <si>
    <t>←</t>
    <phoneticPr fontId="22"/>
  </si>
  <si>
    <t>■使用評価ソフト：</t>
    <rPh sb="1" eb="3">
      <t>シヨウ</t>
    </rPh>
    <rPh sb="3" eb="5">
      <t>ヒョウカ</t>
    </rPh>
    <phoneticPr fontId="22"/>
  </si>
  <si>
    <r>
      <t>1-1</t>
    </r>
    <r>
      <rPr>
        <b/>
        <sz val="12"/>
        <color indexed="9"/>
        <rFont val="ＭＳ Ｐゴシック"/>
        <family val="3"/>
        <charset val="128"/>
      </rPr>
      <t>　建物概要</t>
    </r>
    <rPh sb="4" eb="5">
      <t>ｹﾝ</t>
    </rPh>
    <rPh sb="5" eb="6">
      <t>ﾓﾉ</t>
    </rPh>
    <rPh sb="6" eb="8">
      <t>ｶﾞｲﾖｳ</t>
    </rPh>
    <phoneticPr fontId="34" type="noConversion"/>
  </si>
  <si>
    <r>
      <t>1-2</t>
    </r>
    <r>
      <rPr>
        <b/>
        <sz val="12"/>
        <color indexed="9"/>
        <rFont val="ＭＳ Ｐゴシック"/>
        <family val="3"/>
        <charset val="128"/>
      </rPr>
      <t>　外観</t>
    </r>
    <rPh sb="4" eb="6">
      <t>ガイカン</t>
    </rPh>
    <phoneticPr fontId="22"/>
  </si>
  <si>
    <t>BEE rank</t>
    <phoneticPr fontId="22"/>
  </si>
  <si>
    <t>radar chart</t>
    <phoneticPr fontId="22"/>
  </si>
  <si>
    <t>建物名称</t>
    <rPh sb="0" eb="2">
      <t>ﾀﾃﾓﾉ</t>
    </rPh>
    <rPh sb="2" eb="4">
      <t>ﾒｲｼｮｳ</t>
    </rPh>
    <phoneticPr fontId="34" type="noConversion"/>
  </si>
  <si>
    <t>階数</t>
    <rPh sb="0" eb="2">
      <t>カイスウ</t>
    </rPh>
    <phoneticPr fontId="22"/>
  </si>
  <si>
    <t>radar chart</t>
  </si>
  <si>
    <t>Score(RoundDown)</t>
    <phoneticPr fontId="22"/>
  </si>
  <si>
    <t>建設地</t>
    <rPh sb="0" eb="3">
      <t>ｹﾝｾﾂﾁ</t>
    </rPh>
    <phoneticPr fontId="34" type="noConversion"/>
  </si>
  <si>
    <t>構造</t>
    <rPh sb="0" eb="2">
      <t>コウゾウ</t>
    </rPh>
    <phoneticPr fontId="22"/>
  </si>
  <si>
    <r>
      <t xml:space="preserve">2.2.5 </t>
    </r>
    <r>
      <rPr>
        <b/>
        <sz val="10"/>
        <rFont val="ＭＳ Ｐゴシック"/>
        <family val="3"/>
        <charset val="128"/>
      </rPr>
      <t>空調・給排水配管の更新必要間隔</t>
    </r>
    <rPh sb="6" eb="8">
      <t>クウチョウ</t>
    </rPh>
    <rPh sb="9" eb="10">
      <t>キュウ</t>
    </rPh>
    <rPh sb="10" eb="12">
      <t>ハイスイ</t>
    </rPh>
    <rPh sb="12" eb="14">
      <t>ハイカン</t>
    </rPh>
    <rPh sb="15" eb="17">
      <t>コウシン</t>
    </rPh>
    <rPh sb="17" eb="19">
      <t>ヒツヨウ</t>
    </rPh>
    <rPh sb="19" eb="21">
      <t>カンカク</t>
    </rPh>
    <phoneticPr fontId="22"/>
  </si>
  <si>
    <t>７年以上～１５年未満</t>
  </si>
  <si>
    <t>主要な用途上位3種のほぼ全てにD以上を使用</t>
    <rPh sb="0" eb="2">
      <t>シュヨウ</t>
    </rPh>
    <rPh sb="3" eb="5">
      <t>ヨウト</t>
    </rPh>
    <rPh sb="5" eb="7">
      <t>ジョウイ</t>
    </rPh>
    <rPh sb="8" eb="9">
      <t>シュ</t>
    </rPh>
    <rPh sb="12" eb="13">
      <t>スベ</t>
    </rPh>
    <rPh sb="16" eb="18">
      <t>イジョウ</t>
    </rPh>
    <rPh sb="19" eb="21">
      <t>シヨウ</t>
    </rPh>
    <phoneticPr fontId="22"/>
  </si>
  <si>
    <t>１５年</t>
  </si>
  <si>
    <t>平均居住人員</t>
    <rPh sb="0" eb="2">
      <t>ﾍｲｷﾝ</t>
    </rPh>
    <rPh sb="2" eb="4">
      <t>ｷｮｼﾞｭｳ</t>
    </rPh>
    <rPh sb="4" eb="6">
      <t>ｼﾞﾝｲﾝ</t>
    </rPh>
    <phoneticPr fontId="34" type="noConversion"/>
  </si>
  <si>
    <t>人</t>
    <rPh sb="0" eb="1">
      <t>ニン</t>
    </rPh>
    <phoneticPr fontId="22"/>
  </si>
  <si>
    <r>
      <t xml:space="preserve">Q3 </t>
    </r>
    <r>
      <rPr>
        <sz val="11"/>
        <rFont val="ＭＳ Ｐゴシック"/>
        <family val="3"/>
        <charset val="128"/>
      </rPr>
      <t xml:space="preserve">室外環境
</t>
    </r>
    <r>
      <rPr>
        <sz val="11"/>
        <rFont val="Arial"/>
        <family val="2"/>
      </rPr>
      <t>(</t>
    </r>
    <r>
      <rPr>
        <sz val="11"/>
        <rFont val="ＭＳ Ｐゴシック"/>
        <family val="3"/>
        <charset val="128"/>
      </rPr>
      <t>敷地内</t>
    </r>
    <r>
      <rPr>
        <sz val="11"/>
        <rFont val="Arial"/>
        <family val="2"/>
      </rPr>
      <t>)</t>
    </r>
    <rPh sb="11" eb="12">
      <t>ナイ</t>
    </rPh>
    <phoneticPr fontId="22"/>
  </si>
  <si>
    <t>L</t>
    <phoneticPr fontId="22"/>
  </si>
  <si>
    <t>LR3 
敷地外環境</t>
    <rPh sb="5" eb="7">
      <t>シキチ</t>
    </rPh>
    <rPh sb="7" eb="8">
      <t>ガイ</t>
    </rPh>
    <rPh sb="8" eb="10">
      <t>カンキョウ</t>
    </rPh>
    <phoneticPr fontId="22"/>
  </si>
  <si>
    <t>建物用途</t>
    <rPh sb="0" eb="2">
      <t>ﾀﾃﾓﾉ</t>
    </rPh>
    <rPh sb="2" eb="4">
      <t>ﾖｳﾄ</t>
    </rPh>
    <phoneticPr fontId="34" type="noConversion"/>
  </si>
  <si>
    <t>評価の段階</t>
    <rPh sb="0" eb="2">
      <t>ヒョウカ</t>
    </rPh>
    <rPh sb="3" eb="5">
      <t>ダンカイ</t>
    </rPh>
    <phoneticPr fontId="22"/>
  </si>
  <si>
    <t>外観パース等</t>
    <rPh sb="0" eb="2">
      <t>ガイカン</t>
    </rPh>
    <rPh sb="5" eb="6">
      <t>トウ</t>
    </rPh>
    <phoneticPr fontId="22"/>
  </si>
  <si>
    <t>BEE</t>
    <phoneticPr fontId="22"/>
  </si>
  <si>
    <t>LR2 資源・
マテリアル</t>
    <rPh sb="4" eb="6">
      <t>シゲン</t>
    </rPh>
    <phoneticPr fontId="22"/>
  </si>
  <si>
    <t>レベル３を満たさない。</t>
    <phoneticPr fontId="22"/>
  </si>
  <si>
    <t>（該当するレベルなし）</t>
    <phoneticPr fontId="22"/>
  </si>
  <si>
    <t>教室の不足がある</t>
    <phoneticPr fontId="22"/>
  </si>
  <si>
    <t>1人当たりの執務スペースが6㎡以上。</t>
    <phoneticPr fontId="22"/>
  </si>
  <si>
    <t>教室の不足がない</t>
    <phoneticPr fontId="22"/>
  </si>
  <si>
    <t>（該当するレベルなし）</t>
    <phoneticPr fontId="22"/>
  </si>
  <si>
    <t>1人当たりの執務スペースが12㎡以上。</t>
    <phoneticPr fontId="22"/>
  </si>
  <si>
    <t>主要構造部が木造躯体の時</t>
    <phoneticPr fontId="22"/>
  </si>
  <si>
    <t>CO2削減量</t>
    <rPh sb="3" eb="5">
      <t>サクゲン</t>
    </rPh>
    <rPh sb="5" eb="6">
      <t>リョウ</t>
    </rPh>
    <phoneticPr fontId="22"/>
  </si>
  <si>
    <t>算定に用いた排出係数</t>
    <rPh sb="0" eb="2">
      <t>サンテイ</t>
    </rPh>
    <rPh sb="3" eb="4">
      <t>モチ</t>
    </rPh>
    <rPh sb="6" eb="8">
      <t>ハイシュツ</t>
    </rPh>
    <rPh sb="8" eb="10">
      <t>ケイスウ</t>
    </rPh>
    <phoneticPr fontId="22"/>
  </si>
  <si>
    <t>2100N/㎡以上～2900N/㎡未満</t>
    <phoneticPr fontId="22"/>
  </si>
  <si>
    <t>各住戸または各客室に電話、放送に対応した通信回線が引き込まれている。</t>
    <phoneticPr fontId="22"/>
  </si>
  <si>
    <r>
      <t>ＯＡフロア等によりレイアウト変更に対応できるようになっており、かつＯＡ機器用コンセント容量が30ＶＡ/ｍ</t>
    </r>
    <r>
      <rPr>
        <vertAlign val="superscript"/>
        <sz val="9"/>
        <rFont val="ＭＳ Ｐゴシック"/>
        <family val="3"/>
        <charset val="128"/>
      </rPr>
      <t>2</t>
    </r>
    <r>
      <rPr>
        <sz val="9"/>
        <rFont val="ＭＳ Ｐゴシック"/>
        <family val="3"/>
        <charset val="128"/>
      </rPr>
      <t>以上となっている。加えて、通信に関しては、レベル２をみたすとともに、2.5坪当たり１台の情報通信機器（電話１台、PC１台）を想定した通信回線が各階に引き込まれている。</t>
    </r>
    <phoneticPr fontId="22"/>
  </si>
  <si>
    <t>レベル２を満たすとともに、レベル４に満たないインターネットサービスが提供されている。</t>
    <phoneticPr fontId="22"/>
  </si>
  <si>
    <r>
      <t>ＯＡフロア等によりレイアウト変更に対応できるようになっており、かつＯＡ機器用コンセント容量が40ＶＡ/ｍ</t>
    </r>
    <r>
      <rPr>
        <vertAlign val="superscript"/>
        <sz val="9"/>
        <rFont val="ＭＳ Ｐゴシック"/>
        <family val="3"/>
        <charset val="128"/>
      </rPr>
      <t>2</t>
    </r>
    <r>
      <rPr>
        <sz val="9"/>
        <rFont val="ＭＳ Ｐゴシック"/>
        <family val="3"/>
        <charset val="128"/>
      </rPr>
      <t>以上となっている。加えて、通信に関しては、レベル３を満たすとともに、複数の通信事業者の回線がビル内へ引き込まれており、各階への通信事業者用配線スペースが別途、確保されている。</t>
    </r>
    <phoneticPr fontId="22"/>
  </si>
  <si>
    <r>
      <t>ＯＡフロア等によりレイアウト変更に対応できるようになっており、かつＯＡ機器用コンセント容量が50ＶＡ/ｍ</t>
    </r>
    <r>
      <rPr>
        <vertAlign val="superscript"/>
        <sz val="9"/>
        <rFont val="ＭＳ Ｐゴシック"/>
        <family val="3"/>
        <charset val="128"/>
      </rPr>
      <t>2</t>
    </r>
    <r>
      <rPr>
        <sz val="9"/>
        <rFont val="ＭＳ Ｐゴシック"/>
        <family val="3"/>
        <charset val="128"/>
      </rPr>
      <t>以上となっている。加えて、通信に関しては、レベル４を満たすとともに、各階へはGigabit通信回線が引き込まれており、別途、フロア間通信のためのテナントEPSが確保されている。</t>
    </r>
    <phoneticPr fontId="22"/>
  </si>
  <si>
    <t>各住戸または各客室にGbitクラスのブロードバンドが利用可能な環境が整備されていること。</t>
    <phoneticPr fontId="22"/>
  </si>
  <si>
    <t>-</t>
    <phoneticPr fontId="22"/>
  </si>
  <si>
    <t>バリアフリー新法の建築物移動等円滑化基準（最低限のレベル）を満たしている。</t>
    <phoneticPr fontId="22"/>
  </si>
  <si>
    <t>バリアフリー新法の建築物移動等円滑化誘導基準（望ましいレベル）を満たしている。</t>
    <phoneticPr fontId="22"/>
  </si>
  <si>
    <t>バリアフリー新法の建築物移動等円滑化誘導基準（望ましいレベル）を超えてさらに十分な配慮を行っており、ユニバーサルなデザインとなっている。</t>
    <phoneticPr fontId="22"/>
  </si>
  <si>
    <t>レベル3</t>
  </si>
  <si>
    <t>レベル4</t>
  </si>
  <si>
    <t>レベル5</t>
  </si>
  <si>
    <t>MJ/kWhで換算した値（H25]省エネ法告示全日平均）</t>
    <rPh sb="7" eb="9">
      <t>カンサン</t>
    </rPh>
    <rPh sb="11" eb="12">
      <t>アタイ</t>
    </rPh>
    <rPh sb="17" eb="18">
      <t>ショウ</t>
    </rPh>
    <rPh sb="20" eb="21">
      <t>ホウ</t>
    </rPh>
    <rPh sb="21" eb="23">
      <t>コクジ</t>
    </rPh>
    <rPh sb="23" eb="24">
      <t>ゼン</t>
    </rPh>
    <rPh sb="24" eb="25">
      <t>ヒ</t>
    </rPh>
    <rPh sb="25" eb="27">
      <t>ヘイキン</t>
    </rPh>
    <phoneticPr fontId="28"/>
  </si>
  <si>
    <t>建物用途</t>
  </si>
  <si>
    <t>官公庁</t>
  </si>
  <si>
    <t>物販店舗等</t>
    <rPh sb="0" eb="2">
      <t>ブッパン</t>
    </rPh>
    <rPh sb="2" eb="4">
      <t>テンポ</t>
    </rPh>
    <rPh sb="4" eb="5">
      <t>トウ</t>
    </rPh>
    <phoneticPr fontId="22"/>
  </si>
  <si>
    <t>その他物販</t>
  </si>
  <si>
    <t>ホテル・旅館</t>
  </si>
  <si>
    <t>学校等</t>
    <rPh sb="0" eb="2">
      <t>ガッコウ</t>
    </rPh>
    <rPh sb="2" eb="3">
      <t>トウ</t>
    </rPh>
    <phoneticPr fontId="22"/>
  </si>
  <si>
    <t>幼稚園・保育園</t>
  </si>
  <si>
    <t>小・中学校</t>
  </si>
  <si>
    <t>北海道</t>
    <rPh sb="0" eb="3">
      <t>ホッカイドウ</t>
    </rPh>
    <phoneticPr fontId="22"/>
  </si>
  <si>
    <t>高校</t>
  </si>
  <si>
    <t>大学・専門学校</t>
  </si>
  <si>
    <t>集会所等</t>
    <rPh sb="0" eb="3">
      <t>シュウカイジョ</t>
    </rPh>
    <rPh sb="3" eb="4">
      <t>トウ</t>
    </rPh>
    <phoneticPr fontId="22"/>
  </si>
  <si>
    <t>劇場・ホール</t>
  </si>
  <si>
    <t>展示施設</t>
  </si>
  <si>
    <t>スポーツ施設</t>
  </si>
  <si>
    <t>エネルギー種別一次エネルギー構成比率</t>
    <rPh sb="5" eb="7">
      <t>シュベツ</t>
    </rPh>
    <rPh sb="7" eb="9">
      <t>イチジ</t>
    </rPh>
    <rPh sb="14" eb="16">
      <t>コウセイ</t>
    </rPh>
    <rPh sb="16" eb="18">
      <t>ヒリツ</t>
    </rPh>
    <phoneticPr fontId="5"/>
  </si>
  <si>
    <t>300㎡未満</t>
    <rPh sb="4" eb="6">
      <t>ミマン</t>
    </rPh>
    <phoneticPr fontId="5"/>
  </si>
  <si>
    <t>300㎡以上
2,000㎡未満</t>
    <rPh sb="4" eb="6">
      <t>イジョウ</t>
    </rPh>
    <rPh sb="13" eb="15">
      <t>ミマン</t>
    </rPh>
    <phoneticPr fontId="5"/>
  </si>
  <si>
    <t>2,000㎡以上
1万㎡未満</t>
    <rPh sb="6" eb="8">
      <t>イジョウ</t>
    </rPh>
    <rPh sb="10" eb="11">
      <t>マン</t>
    </rPh>
    <rPh sb="12" eb="14">
      <t>ミマン</t>
    </rPh>
    <phoneticPr fontId="5"/>
  </si>
  <si>
    <t>1万㎡以上
3万㎡未満</t>
    <rPh sb="1" eb="2">
      <t>マン</t>
    </rPh>
    <rPh sb="3" eb="5">
      <t>イジョウ</t>
    </rPh>
    <rPh sb="7" eb="8">
      <t>マン</t>
    </rPh>
    <rPh sb="9" eb="11">
      <t>ミマン</t>
    </rPh>
    <phoneticPr fontId="5"/>
  </si>
  <si>
    <t>3万㎡以上</t>
    <rPh sb="1" eb="2">
      <t>マン</t>
    </rPh>
    <rPh sb="3" eb="5">
      <t>イジョウ</t>
    </rPh>
    <phoneticPr fontId="5"/>
  </si>
  <si>
    <t>電気</t>
    <rPh sb="0" eb="2">
      <t>デンキ</t>
    </rPh>
    <phoneticPr fontId="5"/>
  </si>
  <si>
    <t>その他※</t>
    <rPh sb="2" eb="3">
      <t>ホカ</t>
    </rPh>
    <phoneticPr fontId="5"/>
  </si>
  <si>
    <t>-</t>
  </si>
  <si>
    <t>※集合住宅は灯油</t>
    <rPh sb="1" eb="3">
      <t>シュウゴウ</t>
    </rPh>
    <rPh sb="3" eb="5">
      <t>ジュウタク</t>
    </rPh>
    <rPh sb="6" eb="8">
      <t>トウユ</t>
    </rPh>
    <phoneticPr fontId="22"/>
  </si>
  <si>
    <t>設備の方式</t>
  </si>
  <si>
    <t>地域区分</t>
  </si>
  <si>
    <t>暖房</t>
  </si>
  <si>
    <t>冷房</t>
  </si>
  <si>
    <t>ａ</t>
  </si>
  <si>
    <t>レベル１</t>
  </si>
  <si>
    <t>Ａ</t>
  </si>
  <si>
    <t>ｂ</t>
  </si>
  <si>
    <t>Ｂ</t>
  </si>
  <si>
    <t>Ｃ</t>
  </si>
  <si>
    <t>専有部</t>
    <rPh sb="0" eb="2">
      <t>センユウ</t>
    </rPh>
    <rPh sb="2" eb="3">
      <t>ブ</t>
    </rPh>
    <phoneticPr fontId="22"/>
  </si>
  <si>
    <t>評価建物</t>
    <rPh sb="0" eb="2">
      <t>ヒョウカ</t>
    </rPh>
    <rPh sb="2" eb="4">
      <t>タテモノ</t>
    </rPh>
    <phoneticPr fontId="22"/>
  </si>
  <si>
    <t>暖房方式</t>
    <rPh sb="0" eb="2">
      <t>ダンボウ</t>
    </rPh>
    <rPh sb="2" eb="4">
      <t>ホウシキ</t>
    </rPh>
    <phoneticPr fontId="22"/>
  </si>
  <si>
    <t>冷房方式</t>
    <rPh sb="0" eb="2">
      <t>レイボウ</t>
    </rPh>
    <rPh sb="2" eb="4">
      <t>ホウシキ</t>
    </rPh>
    <phoneticPr fontId="22"/>
  </si>
  <si>
    <t>CO2換算係数</t>
    <rPh sb="3" eb="5">
      <t>カンサン</t>
    </rPh>
    <rPh sb="5" eb="7">
      <t>ケイスウ</t>
    </rPh>
    <phoneticPr fontId="22"/>
  </si>
  <si>
    <t>－</t>
    <phoneticPr fontId="22"/>
  </si>
  <si>
    <t>㎡</t>
    <phoneticPr fontId="22"/>
  </si>
  <si>
    <t>自然換気性能</t>
    <rPh sb="0" eb="2">
      <t>シゼン</t>
    </rPh>
    <rPh sb="2" eb="4">
      <t>カンキ</t>
    </rPh>
    <rPh sb="4" eb="6">
      <t>セイノウ</t>
    </rPh>
    <phoneticPr fontId="22"/>
  </si>
  <si>
    <t>取り入れ外気への配慮</t>
    <rPh sb="0" eb="1">
      <t>ト</t>
    </rPh>
    <rPh sb="2" eb="3">
      <t>イ</t>
    </rPh>
    <rPh sb="4" eb="6">
      <t>ガイキ</t>
    </rPh>
    <rPh sb="8" eb="10">
      <t>ハイリョ</t>
    </rPh>
    <phoneticPr fontId="22"/>
  </si>
  <si>
    <t>給気計画</t>
    <rPh sb="0" eb="1">
      <t>キュウ</t>
    </rPh>
    <rPh sb="1" eb="2">
      <t>キ</t>
    </rPh>
    <rPh sb="2" eb="4">
      <t>ケイカク</t>
    </rPh>
    <phoneticPr fontId="22"/>
  </si>
  <si>
    <t>運用管理</t>
    <rPh sb="0" eb="2">
      <t>ウンヨウ</t>
    </rPh>
    <rPh sb="2" eb="4">
      <t>カンリ</t>
    </rPh>
    <phoneticPr fontId="22"/>
  </si>
  <si>
    <r>
      <t>CO</t>
    </r>
    <r>
      <rPr>
        <vertAlign val="subscript"/>
        <sz val="10"/>
        <rFont val="ＭＳ Ｐゴシック"/>
        <family val="3"/>
        <charset val="128"/>
      </rPr>
      <t>2</t>
    </r>
    <r>
      <rPr>
        <sz val="10"/>
        <rFont val="ＭＳ Ｐゴシック"/>
        <family val="3"/>
        <charset val="128"/>
      </rPr>
      <t>の監視</t>
    </r>
    <rPh sb="4" eb="6">
      <t>カンシ</t>
    </rPh>
    <phoneticPr fontId="22"/>
  </si>
  <si>
    <t>喫煙の制御</t>
    <rPh sb="0" eb="2">
      <t>キツエン</t>
    </rPh>
    <rPh sb="3" eb="5">
      <t>セイギョ</t>
    </rPh>
    <phoneticPr fontId="22"/>
  </si>
  <si>
    <t>機能性</t>
    <rPh sb="0" eb="3">
      <t>ｷﾉｳｾｲ</t>
    </rPh>
    <phoneticPr fontId="34" type="noConversion"/>
  </si>
  <si>
    <t>機能性・使いやすさ</t>
    <rPh sb="0" eb="3">
      <t>キノウセイ</t>
    </rPh>
    <rPh sb="4" eb="5">
      <t>ツカ</t>
    </rPh>
    <phoneticPr fontId="22"/>
  </si>
  <si>
    <t>レベル４に加え、地中熱や井水、太陽熱、顕熱潜熱分離等の更なる効率化が図られている。</t>
    <rPh sb="8" eb="10">
      <t>チチュウ</t>
    </rPh>
    <rPh sb="10" eb="11">
      <t>ネツ</t>
    </rPh>
    <rPh sb="12" eb="13">
      <t>イ</t>
    </rPh>
    <rPh sb="13" eb="14">
      <t>スイ</t>
    </rPh>
    <rPh sb="15" eb="18">
      <t>タイヨウネツ</t>
    </rPh>
    <rPh sb="19" eb="20">
      <t>ケン</t>
    </rPh>
    <rPh sb="20" eb="21">
      <t>ネツ</t>
    </rPh>
    <rPh sb="21" eb="22">
      <t>セン</t>
    </rPh>
    <rPh sb="22" eb="23">
      <t>ネツ</t>
    </rPh>
    <rPh sb="23" eb="25">
      <t>ブンリ</t>
    </rPh>
    <rPh sb="25" eb="26">
      <t>トウ</t>
    </rPh>
    <rPh sb="27" eb="28">
      <t>サラ</t>
    </rPh>
    <rPh sb="30" eb="33">
      <t>コウリツカ</t>
    </rPh>
    <rPh sb="34" eb="35">
      <t>ハカ</t>
    </rPh>
    <phoneticPr fontId="22"/>
  </si>
  <si>
    <t>3.2　換気設備</t>
    <rPh sb="4" eb="6">
      <t>カンキ</t>
    </rPh>
    <rPh sb="6" eb="8">
      <t>セツビ</t>
    </rPh>
    <phoneticPr fontId="22"/>
  </si>
  <si>
    <t>3.3　照明設備</t>
    <rPh sb="4" eb="6">
      <t>ショウメイ</t>
    </rPh>
    <rPh sb="6" eb="8">
      <t>セツビ</t>
    </rPh>
    <phoneticPr fontId="22"/>
  </si>
  <si>
    <t>Hf(高周波点灯専用型）が採用されている。</t>
    <rPh sb="13" eb="15">
      <t>サイヨウ</t>
    </rPh>
    <phoneticPr fontId="3"/>
  </si>
  <si>
    <t>3.4　給湯設備</t>
    <rPh sb="4" eb="6">
      <t>キュウトウ</t>
    </rPh>
    <rPh sb="6" eb="8">
      <t>セツビ</t>
    </rPh>
    <phoneticPr fontId="22"/>
  </si>
  <si>
    <t>3.5　昇降機設備</t>
    <rPh sb="4" eb="7">
      <t>ショウコウキ</t>
    </rPh>
    <rPh sb="7" eb="9">
      <t>セツビ</t>
    </rPh>
    <phoneticPr fontId="22"/>
  </si>
  <si>
    <t>塗膜防水の塗料</t>
    <rPh sb="0" eb="1">
      <t>ヌ</t>
    </rPh>
    <rPh sb="1" eb="2">
      <t>マク</t>
    </rPh>
    <rPh sb="2" eb="4">
      <t>ボウスイ</t>
    </rPh>
    <rPh sb="5" eb="7">
      <t>トリョウ</t>
    </rPh>
    <phoneticPr fontId="22"/>
  </si>
  <si>
    <t>塗料</t>
    <rPh sb="0" eb="2">
      <t>トリョウ</t>
    </rPh>
    <phoneticPr fontId="22"/>
  </si>
  <si>
    <t>建具塗装（木製・金属製）</t>
    <rPh sb="0" eb="2">
      <t>タテグ</t>
    </rPh>
    <rPh sb="2" eb="4">
      <t>トソウ</t>
    </rPh>
    <rPh sb="5" eb="7">
      <t>モクセイ</t>
    </rPh>
    <rPh sb="8" eb="11">
      <t>キンゾクセイ</t>
    </rPh>
    <phoneticPr fontId="22"/>
  </si>
  <si>
    <t>木部塗装（巾木・廻り縁など）</t>
    <rPh sb="0" eb="2">
      <t>モクブ</t>
    </rPh>
    <rPh sb="2" eb="4">
      <t>トソウ</t>
    </rPh>
    <rPh sb="5" eb="6">
      <t>ハバ</t>
    </rPh>
    <rPh sb="6" eb="7">
      <t>キ</t>
    </rPh>
    <rPh sb="8" eb="9">
      <t>マワ</t>
    </rPh>
    <rPh sb="10" eb="11">
      <t>ブチ</t>
    </rPh>
    <phoneticPr fontId="22"/>
  </si>
  <si>
    <t>構造体の塗装</t>
    <rPh sb="0" eb="3">
      <t>コウゾウタイ</t>
    </rPh>
    <rPh sb="4" eb="6">
      <t>トソウ</t>
    </rPh>
    <phoneticPr fontId="22"/>
  </si>
  <si>
    <t>壁塗装</t>
    <rPh sb="0" eb="1">
      <t>カベ</t>
    </rPh>
    <rPh sb="1" eb="3">
      <t>トソウ</t>
    </rPh>
    <phoneticPr fontId="22"/>
  </si>
  <si>
    <t>II 分別回収を推進するための空間整備や設備の設置</t>
    <phoneticPr fontId="22"/>
  </si>
  <si>
    <t>1～2</t>
    <phoneticPr fontId="22"/>
  </si>
  <si>
    <t>III ゴミの減容化・減量化、あるいは堆肥化するための設備の設置</t>
    <phoneticPr fontId="22"/>
  </si>
  <si>
    <t>周辺のまちなみや景観に対して、取組みが十分とはいえない。(評価ポイント1～2）</t>
    <phoneticPr fontId="22"/>
  </si>
  <si>
    <t>植栽により、良好な景観を形成している。</t>
    <phoneticPr fontId="22"/>
  </si>
  <si>
    <t>3）景観の歴史の継承</t>
    <phoneticPr fontId="22"/>
  </si>
  <si>
    <t>LR-3 敷地外環境</t>
    <rPh sb="5" eb="7">
      <t>シキチ</t>
    </rPh>
    <rPh sb="7" eb="8">
      <t>ガイ</t>
    </rPh>
    <rPh sb="8" eb="10">
      <t>カンキョウ</t>
    </rPh>
    <phoneticPr fontId="22"/>
  </si>
  <si>
    <t>熱負荷抑制</t>
    <rPh sb="0" eb="1">
      <t>ネツ</t>
    </rPh>
    <rPh sb="1" eb="3">
      <t>フカ</t>
    </rPh>
    <rPh sb="3" eb="5">
      <t>ヨクセイ</t>
    </rPh>
    <phoneticPr fontId="22"/>
  </si>
  <si>
    <t>水資源</t>
    <rPh sb="0" eb="1">
      <t>ミズ</t>
    </rPh>
    <rPh sb="1" eb="3">
      <t>シゲン</t>
    </rPh>
    <phoneticPr fontId="22"/>
  </si>
  <si>
    <t>LR2</t>
    <phoneticPr fontId="22"/>
  </si>
  <si>
    <t>昼光の建物外壁による反射光（グレア）への対策</t>
    <rPh sb="0" eb="1">
      <t>ﾋﾙ</t>
    </rPh>
    <rPh sb="1" eb="2">
      <t>ﾋｶﾘ</t>
    </rPh>
    <rPh sb="3" eb="5">
      <t>ﾀﾃﾓﾉ</t>
    </rPh>
    <rPh sb="5" eb="7">
      <t>ｶﾞｲﾍｷ</t>
    </rPh>
    <rPh sb="10" eb="13">
      <t>ﾊﾝｼｬｺｳ</t>
    </rPh>
    <rPh sb="20" eb="22">
      <t>ﾀｲｻｸ</t>
    </rPh>
    <phoneticPr fontId="34" type="noConversion"/>
  </si>
  <si>
    <r>
      <t>ライフサイクルCO</t>
    </r>
    <r>
      <rPr>
        <b/>
        <vertAlign val="subscript"/>
        <sz val="12"/>
        <color indexed="9"/>
        <rFont val="ＭＳ Ｐゴシック"/>
        <family val="3"/>
        <charset val="128"/>
      </rPr>
      <t>2</t>
    </r>
    <r>
      <rPr>
        <b/>
        <sz val="12"/>
        <color indexed="9"/>
        <rFont val="ＭＳ Ｐゴシック"/>
        <family val="3"/>
        <charset val="128"/>
      </rPr>
      <t>計算シート（標準計算用）</t>
    </r>
    <rPh sb="10" eb="12">
      <t>ケイサン</t>
    </rPh>
    <rPh sb="16" eb="18">
      <t>ヒョウジュン</t>
    </rPh>
    <rPh sb="18" eb="20">
      <t>ケイサン</t>
    </rPh>
    <rPh sb="20" eb="21">
      <t>ヨウ</t>
    </rPh>
    <phoneticPr fontId="22"/>
  </si>
  <si>
    <t>評価対象</t>
    <rPh sb="0" eb="2">
      <t>ヒョウカ</t>
    </rPh>
    <rPh sb="2" eb="4">
      <t>タイショウ</t>
    </rPh>
    <phoneticPr fontId="22"/>
  </si>
  <si>
    <t>参照値</t>
    <rPh sb="0" eb="2">
      <t>サンショウ</t>
    </rPh>
    <rPh sb="2" eb="3">
      <t>チ</t>
    </rPh>
    <phoneticPr fontId="22"/>
  </si>
  <si>
    <t>LR2/2.3 躯体材料におけるﾘｻｲｸﾙ材（高炉セメント）</t>
    <rPh sb="8" eb="10">
      <t>クタイ</t>
    </rPh>
    <rPh sb="10" eb="12">
      <t>ザイリョウ</t>
    </rPh>
    <rPh sb="21" eb="22">
      <t>ザイ</t>
    </rPh>
    <rPh sb="23" eb="25">
      <t>コウロ</t>
    </rPh>
    <phoneticPr fontId="22"/>
  </si>
  <si>
    <t>1-2.　合計の計算</t>
    <rPh sb="5" eb="7">
      <t>ゴウケイ</t>
    </rPh>
    <rPh sb="8" eb="10">
      <t>ケイサン</t>
    </rPh>
    <phoneticPr fontId="22"/>
  </si>
  <si>
    <t>建物寿命</t>
    <rPh sb="0" eb="2">
      <t>タテモノ</t>
    </rPh>
    <rPh sb="2" eb="4">
      <t>ジュミョウ</t>
    </rPh>
    <phoneticPr fontId="22"/>
  </si>
  <si>
    <t>代表的な資材量</t>
    <rPh sb="0" eb="3">
      <t>ダイヒョウテキ</t>
    </rPh>
    <rPh sb="4" eb="6">
      <t>シザイ</t>
    </rPh>
    <rPh sb="6" eb="7">
      <t>リョウ</t>
    </rPh>
    <phoneticPr fontId="22"/>
  </si>
  <si>
    <t>LR2/2.2 既存建築躯体</t>
    <rPh sb="8" eb="10">
      <t>キソン</t>
    </rPh>
    <rPh sb="10" eb="12">
      <t>ケンチク</t>
    </rPh>
    <rPh sb="12" eb="14">
      <t>クタイ</t>
    </rPh>
    <phoneticPr fontId="22"/>
  </si>
  <si>
    <t>LR2/2.3 ﾘｻｲｸﾙ材（高炉セメント）</t>
    <rPh sb="13" eb="14">
      <t>ザイ</t>
    </rPh>
    <rPh sb="15" eb="17">
      <t>コウロ</t>
    </rPh>
    <phoneticPr fontId="22"/>
  </si>
  <si>
    <t>普通コンクリート</t>
    <rPh sb="0" eb="2">
      <t>フツウ</t>
    </rPh>
    <phoneticPr fontId="22"/>
  </si>
  <si>
    <t>ｍ3/㎡</t>
  </si>
  <si>
    <t>高炉セメントコンクリート</t>
    <rPh sb="0" eb="2">
      <t>コウロ</t>
    </rPh>
    <phoneticPr fontId="22"/>
  </si>
  <si>
    <t>鉄　骨</t>
    <rPh sb="0" eb="1">
      <t>テツ</t>
    </rPh>
    <rPh sb="2" eb="3">
      <t>ホネ</t>
    </rPh>
    <phoneticPr fontId="22"/>
  </si>
  <si>
    <t>ｔ/㎡</t>
  </si>
  <si>
    <t>鉄骨 (電炉）</t>
    <rPh sb="0" eb="1">
      <t>テツ</t>
    </rPh>
    <rPh sb="1" eb="2">
      <t>ホネ</t>
    </rPh>
    <rPh sb="4" eb="6">
      <t>デンロ</t>
    </rPh>
    <phoneticPr fontId="22"/>
  </si>
  <si>
    <t>鉄　筋</t>
    <rPh sb="0" eb="1">
      <t>テツ</t>
    </rPh>
    <rPh sb="2" eb="3">
      <t>スジ</t>
    </rPh>
    <phoneticPr fontId="22"/>
  </si>
  <si>
    <t>㎡</t>
    <phoneticPr fontId="22"/>
  </si>
  <si>
    <t>◇算定省令に基づく電気事業者ごとの実排出係数及び代替値</t>
    <phoneticPr fontId="22"/>
  </si>
  <si>
    <t xml:space="preserve"> [1]実排出係数 </t>
    <phoneticPr fontId="22"/>
  </si>
  <si>
    <t>　（１）評価条件として、与えられた排出係数を用いる場合</t>
    <phoneticPr fontId="22"/>
  </si>
  <si>
    <t>排出係数</t>
    <phoneticPr fontId="22"/>
  </si>
  <si>
    <t>N.A.</t>
    <phoneticPr fontId="22"/>
  </si>
  <si>
    <t>　　①</t>
    <phoneticPr fontId="22"/>
  </si>
  <si>
    <t>排出係数</t>
    <phoneticPr fontId="22"/>
  </si>
  <si>
    <t>　　②</t>
    <phoneticPr fontId="22"/>
  </si>
  <si>
    <t>　　③</t>
    <phoneticPr fontId="22"/>
  </si>
  <si>
    <t>代替値</t>
    <phoneticPr fontId="22"/>
  </si>
  <si>
    <t>　（３）上記以外の場合</t>
    <phoneticPr fontId="22"/>
  </si>
  <si>
    <t>SQ</t>
    <phoneticPr fontId="22"/>
  </si>
  <si>
    <t>background</t>
    <phoneticPr fontId="22"/>
  </si>
  <si>
    <t>Score(RoundDown)</t>
    <phoneticPr fontId="22"/>
  </si>
  <si>
    <t>std</t>
    <phoneticPr fontId="22"/>
  </si>
  <si>
    <t>SLR</t>
    <phoneticPr fontId="22"/>
  </si>
  <si>
    <t>Q2</t>
    <phoneticPr fontId="22"/>
  </si>
  <si>
    <t>全般照明方式の場合で室内にやや不快に感じる程度の暗い部分がある。</t>
    <phoneticPr fontId="22"/>
  </si>
  <si>
    <t>全般照明方式の場合で室内にほとんど暗い部分がない。</t>
    <phoneticPr fontId="22"/>
  </si>
  <si>
    <t>病</t>
    <phoneticPr fontId="22"/>
  </si>
  <si>
    <t>照明制御ができない。</t>
    <phoneticPr fontId="22"/>
  </si>
  <si>
    <t>執務者・売り場等について複数単位の大まかな照明制御ができる。</t>
    <phoneticPr fontId="22"/>
  </si>
  <si>
    <t>明るさや学習形態に応じた制御区画であり、在室者自らが点灯・消灯によって制御できる</t>
    <phoneticPr fontId="22"/>
  </si>
  <si>
    <t>各執務者・売り場等の部分について、細かな照明制御ができる、または、自動照明制御ができる。</t>
    <phoneticPr fontId="22"/>
  </si>
  <si>
    <t>制御区画が分かれていない、かつ、照明制御盤・器具等で調整できない。</t>
    <phoneticPr fontId="22"/>
  </si>
  <si>
    <t>明るさや学習形態に応じた制御区画ではない。</t>
    <phoneticPr fontId="22"/>
  </si>
  <si>
    <t>照明制御ができない。</t>
    <phoneticPr fontId="22"/>
  </si>
  <si>
    <t>風害、砂塵、日照阻害の抑制</t>
    <rPh sb="0" eb="2">
      <t>ﾌｳｶﾞｲ</t>
    </rPh>
    <rPh sb="3" eb="5">
      <t>ｻｼﾞﾝ</t>
    </rPh>
    <rPh sb="6" eb="8">
      <t>ﾆｯｼｮｳ</t>
    </rPh>
    <rPh sb="8" eb="10">
      <t>ｿｶﾞｲ</t>
    </rPh>
    <rPh sb="11" eb="13">
      <t>ﾖｸｾｲ</t>
    </rPh>
    <phoneticPr fontId="34" type="noConversion"/>
  </si>
  <si>
    <t>病(診)</t>
    <rPh sb="0" eb="1">
      <t>ビョウ</t>
    </rPh>
    <rPh sb="2" eb="3">
      <t>ミ</t>
    </rPh>
    <phoneticPr fontId="22"/>
  </si>
  <si>
    <t>空調居住域の上下温度差、気流速度や非空調部屋との室間温度差などについて特に配慮していない空調方式が計画されている。</t>
  </si>
  <si>
    <t>空調居住域の上下温度差、気流速度や非空調部屋との室間温度差などに配慮した空調方式が計画されている。</t>
  </si>
  <si>
    <t>居住域の上下温度差や気流速度が少なくなり、また診療室内の間仕切りに配慮された空調方式＊が採用されている。あるいは、その他の空調方式で、上下温度差および気流速度の目標値をおおよそ2℃以内、0.15m/s程度に設定している。</t>
    <rPh sb="59" eb="60">
      <t>タ</t>
    </rPh>
    <rPh sb="61" eb="63">
      <t>クウチョウ</t>
    </rPh>
    <rPh sb="63" eb="65">
      <t>ホウシキ</t>
    </rPh>
    <phoneticPr fontId="22"/>
  </si>
  <si>
    <r>
      <t xml:space="preserve">2.3.1 </t>
    </r>
    <r>
      <rPr>
        <b/>
        <sz val="10"/>
        <rFont val="ＭＳ Ｐゴシック"/>
        <family val="3"/>
        <charset val="128"/>
      </rPr>
      <t>上下温度差</t>
    </r>
    <rPh sb="6" eb="8">
      <t>ジョウゲ</t>
    </rPh>
    <rPh sb="8" eb="11">
      <t>オンドサ</t>
    </rPh>
    <phoneticPr fontId="22"/>
  </si>
  <si>
    <r>
      <t xml:space="preserve">2.3.2 </t>
    </r>
    <r>
      <rPr>
        <b/>
        <sz val="10"/>
        <rFont val="ＭＳ Ｐゴシック"/>
        <family val="3"/>
        <charset val="128"/>
      </rPr>
      <t>平均気流速度</t>
    </r>
    <rPh sb="6" eb="8">
      <t>ヘイキン</t>
    </rPh>
    <rPh sb="8" eb="10">
      <t>キリュウ</t>
    </rPh>
    <rPh sb="10" eb="12">
      <t>ソクド</t>
    </rPh>
    <phoneticPr fontId="22"/>
  </si>
  <si>
    <t>事・学・物・飲・会・病（待・診）・ホ・工・住</t>
    <rPh sb="0" eb="1">
      <t>コト</t>
    </rPh>
    <rPh sb="2" eb="3">
      <t>ガク</t>
    </rPh>
    <rPh sb="4" eb="5">
      <t>モノ</t>
    </rPh>
    <rPh sb="6" eb="7">
      <t>イン</t>
    </rPh>
    <rPh sb="8" eb="9">
      <t>カイ</t>
    </rPh>
    <rPh sb="10" eb="11">
      <t>ヤマイ</t>
    </rPh>
    <rPh sb="21" eb="22">
      <t>ジュウ</t>
    </rPh>
    <phoneticPr fontId="22"/>
  </si>
  <si>
    <t>0.45ｍ/ｓ＜ [平均気流速度]</t>
  </si>
  <si>
    <t>0.35ｍ/ｓ＜ [平均気流速度] ≦0.45ｍ/ｓ</t>
  </si>
  <si>
    <t>0.25ｍ/ｓ＜ [平均気流速度] ≦0.35ｍ/ｓ</t>
  </si>
  <si>
    <t>0.15ｍ/ｓ＜ [平均気流速度] ≦0.25ｍ/ｓ</t>
  </si>
  <si>
    <t>[上下温度差] ≦2℃</t>
  </si>
  <si>
    <t>[平均気流速度] ≦0.15ｍ/ｓ</t>
  </si>
  <si>
    <t>事前調査や予防計画や低減・回避対策等は行っている。そして机上予測に基づいて風力階級による評価を行い、結果として悪化していない。又は風環境評価指標によるランク評価を行い、結果として立地に対応する風環境のランクを確保している。</t>
  </si>
  <si>
    <t>事前調査や予防計画や低減・回避対策を行っており、風環境評価指標によるランク評価を行っている。その結果、一部に立地に対応する風環境のランクより上のランクがある。</t>
  </si>
  <si>
    <t>事前調査や予防計画や低減・回避対策を行っており、風環境評価指標によるランク評価を行っている。その結果、立地に対応する風環境のランクより上のランクにある。</t>
  </si>
  <si>
    <r>
      <t>3.2.2</t>
    </r>
    <r>
      <rPr>
        <b/>
        <sz val="10"/>
        <rFont val="ＭＳ Ｐゴシック"/>
        <family val="3"/>
        <charset val="128"/>
      </rPr>
      <t>　砂塵の抑制</t>
    </r>
    <rPh sb="6" eb="8">
      <t>サジン</t>
    </rPh>
    <rPh sb="9" eb="11">
      <t>ヨクセイ</t>
    </rPh>
    <phoneticPr fontId="22"/>
  </si>
  <si>
    <t>学(小中高)</t>
    <rPh sb="2" eb="5">
      <t>ショウチュウコウ</t>
    </rPh>
    <phoneticPr fontId="22"/>
  </si>
  <si>
    <t>（評価ポイント　0）</t>
  </si>
  <si>
    <t>校庭からの砂塵に対して、標準以上の取組みが行われている。（評価ポイント3）</t>
  </si>
  <si>
    <t>校庭からの砂塵に対して、充実した取組みが行われている。（評価ポイント4以上）</t>
    <rPh sb="35" eb="37">
      <t>イジョウ</t>
    </rPh>
    <phoneticPr fontId="22"/>
  </si>
  <si>
    <t>3）校庭を砂塵が発生しない舗装または芝生としている。</t>
  </si>
  <si>
    <r>
      <t xml:space="preserve">3.2.3 </t>
    </r>
    <r>
      <rPr>
        <b/>
        <sz val="10"/>
        <rFont val="ＭＳ Ｐゴシック"/>
        <family val="3"/>
        <charset val="128"/>
      </rPr>
      <t>日照阻害の抑制</t>
    </r>
    <rPh sb="6" eb="8">
      <t>ニッショウ</t>
    </rPh>
    <phoneticPr fontId="22"/>
  </si>
  <si>
    <t>光害の抑制</t>
    <rPh sb="0" eb="1">
      <t>ヒカリ</t>
    </rPh>
    <rPh sb="1" eb="2">
      <t>ガイ</t>
    </rPh>
    <rPh sb="3" eb="5">
      <t>ヨクセイ</t>
    </rPh>
    <phoneticPr fontId="22"/>
  </si>
  <si>
    <t>評価する取組み</t>
    <rPh sb="0" eb="2">
      <t>ヒョウカ</t>
    </rPh>
    <rPh sb="4" eb="5">
      <t>ト</t>
    </rPh>
    <rPh sb="5" eb="6">
      <t>ク</t>
    </rPh>
    <phoneticPr fontId="22"/>
  </si>
  <si>
    <t>1)　屋外照明および屋内照明のうち外に漏れる光</t>
  </si>
  <si>
    <t>配管からの騒音（透過騒音）</t>
    <rPh sb="0" eb="2">
      <t>ハイカン</t>
    </rPh>
    <rPh sb="5" eb="7">
      <t>ソウオン</t>
    </rPh>
    <rPh sb="8" eb="10">
      <t>トウカ</t>
    </rPh>
    <rPh sb="10" eb="12">
      <t>ソウオン</t>
    </rPh>
    <phoneticPr fontId="22"/>
  </si>
  <si>
    <t>冬期20℃、夏期28℃と多少我慢を強いる室温を実現するための最低限の設備容量が確保されている。</t>
  </si>
  <si>
    <t>冬期10℃以上、夏期30℃以下と多少我慢を強いる室温を実現するための最低限の設備容量が確保されている。</t>
  </si>
  <si>
    <t>冬期18℃、夏期28℃と多少我慢を強いる室温を実現するための最低限の設備容量が確保されている。</t>
  </si>
  <si>
    <t>一般的な設定値である冬期22℃、夏期26℃の室温を実現するための設備容量が確保されている。</t>
  </si>
  <si>
    <t>一般的な設定値である冬期20℃、夏期26℃の室温を実現するための設備容量が確保されている。</t>
  </si>
  <si>
    <r>
      <t xml:space="preserve">2.1.2 </t>
    </r>
    <r>
      <rPr>
        <b/>
        <sz val="10"/>
        <rFont val="ＭＳ Ｐゴシック"/>
        <family val="3"/>
        <charset val="128"/>
      </rPr>
      <t>負荷変動・追従制御性</t>
    </r>
    <rPh sb="6" eb="8">
      <t>フカ</t>
    </rPh>
    <rPh sb="8" eb="10">
      <t>ヘンドウ</t>
    </rPh>
    <rPh sb="11" eb="13">
      <t>ツイジュウ</t>
    </rPh>
    <rPh sb="13" eb="16">
      <t>セイギョセイ</t>
    </rPh>
    <phoneticPr fontId="22"/>
  </si>
  <si>
    <t>学・物・飲・会</t>
    <rPh sb="0" eb="1">
      <t>ガク</t>
    </rPh>
    <rPh sb="2" eb="3">
      <t>ブツ</t>
    </rPh>
    <rPh sb="4" eb="5">
      <t>イン</t>
    </rPh>
    <rPh sb="6" eb="7">
      <t>カイ</t>
    </rPh>
    <phoneticPr fontId="22"/>
  </si>
  <si>
    <t>急激な負荷変動に対する考慮は特にしていない。</t>
  </si>
  <si>
    <t>一般的な負荷変動を考慮し、ある程度制御可能なシステムになっている。</t>
  </si>
  <si>
    <r>
      <t xml:space="preserve">1.1.2 </t>
    </r>
    <r>
      <rPr>
        <b/>
        <sz val="10"/>
        <rFont val="ＭＳ Ｐゴシック"/>
        <family val="3"/>
        <charset val="128"/>
      </rPr>
      <t>設備騒音対策</t>
    </r>
    <rPh sb="6" eb="8">
      <t>セツビ</t>
    </rPh>
    <rPh sb="8" eb="10">
      <t>ソウオン</t>
    </rPh>
    <rPh sb="10" eb="11">
      <t>タイ</t>
    </rPh>
    <rPh sb="11" eb="12">
      <t>サク</t>
    </rPh>
    <phoneticPr fontId="22"/>
  </si>
  <si>
    <t>建物全体・共用部分</t>
    <phoneticPr fontId="22"/>
  </si>
  <si>
    <t>住</t>
  </si>
  <si>
    <t>騒音対策を行っていない（評価する取組みにおいてなんら取組みがない）</t>
  </si>
  <si>
    <t>防音管巻き、位置など</t>
    <rPh sb="0" eb="2">
      <t>ボウオン</t>
    </rPh>
    <rPh sb="2" eb="3">
      <t>カン</t>
    </rPh>
    <rPh sb="3" eb="4">
      <t>マ</t>
    </rPh>
    <rPh sb="6" eb="8">
      <t>イチ</t>
    </rPh>
    <phoneticPr fontId="22"/>
  </si>
  <si>
    <t>防振吊り、防振支持、フレキシブルジョイント、貫通部の防振施工など</t>
  </si>
  <si>
    <t>同上（固体伝播音）</t>
    <rPh sb="0" eb="2">
      <t>ドウジョウ</t>
    </rPh>
    <rPh sb="3" eb="5">
      <t>コタイ</t>
    </rPh>
    <rPh sb="5" eb="7">
      <t>デンパン</t>
    </rPh>
    <rPh sb="7" eb="8">
      <t>オン</t>
    </rPh>
    <phoneticPr fontId="22"/>
  </si>
  <si>
    <t>防振吊り、防振支持、フレキシブルジョイント、貫通部の防振施工など</t>
    <rPh sb="0" eb="2">
      <t>ボウシン</t>
    </rPh>
    <rPh sb="2" eb="3">
      <t>ツ</t>
    </rPh>
    <rPh sb="5" eb="7">
      <t>ボウシン</t>
    </rPh>
    <rPh sb="7" eb="9">
      <t>シジ</t>
    </rPh>
    <rPh sb="22" eb="24">
      <t>カンツウ</t>
    </rPh>
    <rPh sb="24" eb="25">
      <t>ブ</t>
    </rPh>
    <rPh sb="26" eb="28">
      <t>ボウシン</t>
    </rPh>
    <rPh sb="28" eb="30">
      <t>セコウ</t>
    </rPh>
    <phoneticPr fontId="22"/>
  </si>
  <si>
    <t>防音塀、遮蔽体、防振支持、位置など</t>
    <rPh sb="0" eb="2">
      <t>ボウオン</t>
    </rPh>
    <rPh sb="2" eb="3">
      <t>ヘイ</t>
    </rPh>
    <phoneticPr fontId="22"/>
  </si>
  <si>
    <t>ビルマルチエアコン室内機等からの騒音</t>
    <rPh sb="9" eb="12">
      <t>シツナイキ</t>
    </rPh>
    <rPh sb="12" eb="13">
      <t>トウ</t>
    </rPh>
    <rPh sb="16" eb="18">
      <t>ソウオン</t>
    </rPh>
    <phoneticPr fontId="22"/>
  </si>
  <si>
    <t>低騒音タイプの機器の採用など</t>
    <rPh sb="0" eb="3">
      <t>テイソウオン</t>
    </rPh>
    <rPh sb="7" eb="9">
      <t>キキ</t>
    </rPh>
    <rPh sb="10" eb="12">
      <t>サイヨウ</t>
    </rPh>
    <phoneticPr fontId="22"/>
  </si>
  <si>
    <t>位置、風量・風速の適正化など</t>
  </si>
  <si>
    <t>１～７地域</t>
    <rPh sb="3" eb="5">
      <t>チイキ</t>
    </rPh>
    <phoneticPr fontId="22"/>
  </si>
  <si>
    <t>1～7地域</t>
    <rPh sb="3" eb="5">
      <t>チイキ</t>
    </rPh>
    <phoneticPr fontId="22"/>
  </si>
  <si>
    <t>レベル</t>
    <phoneticPr fontId="22"/>
  </si>
  <si>
    <t>自然エネルギーの利用</t>
    <rPh sb="0" eb="2">
      <t>シゼン</t>
    </rPh>
    <rPh sb="8" eb="10">
      <t>リヨウ</t>
    </rPh>
    <rPh sb="9" eb="10">
      <t>チョクリ</t>
    </rPh>
    <phoneticPr fontId="22"/>
  </si>
  <si>
    <t>加湿機能・除湿機能を有し、かつ45％～55％の範囲の湿度を実現することが可能な設備容量が確保されている。</t>
  </si>
  <si>
    <t>事・学・物・飲・会・病(待)・ホ・工・住</t>
    <rPh sb="12" eb="13">
      <t>マ</t>
    </rPh>
    <rPh sb="19" eb="20">
      <t>ジュウ</t>
    </rPh>
    <phoneticPr fontId="22"/>
  </si>
  <si>
    <t>事・学・物・飲・会・病・ホ・工</t>
    <rPh sb="0" eb="1">
      <t>コト</t>
    </rPh>
    <rPh sb="2" eb="3">
      <t>ガク</t>
    </rPh>
    <rPh sb="4" eb="5">
      <t>モノ</t>
    </rPh>
    <rPh sb="6" eb="7">
      <t>イン</t>
    </rPh>
    <rPh sb="8" eb="9">
      <t>カイ</t>
    </rPh>
    <rPh sb="10" eb="11">
      <t>ヤマイ</t>
    </rPh>
    <rPh sb="14" eb="15">
      <t>コウ</t>
    </rPh>
    <phoneticPr fontId="22"/>
  </si>
  <si>
    <t>外気が空調機でレタンと混合され各室に熱負荷から決まる風量で配分される等、各室の負荷条件によっては、必ずしも必要な場所に必要な外気量が保証されないシステムとなっている。</t>
  </si>
  <si>
    <t>外気がレタンと混合されず、各室の必要外気量が直接各室に供給されている等、各室の負荷条件によらず、必要な場所に必要な外気量が保証されるシステムとなっている。</t>
  </si>
  <si>
    <t xml:space="preserve">評価する取組み表の評価ポイントの合計値が6～12ポイント </t>
    <phoneticPr fontId="22"/>
  </si>
  <si>
    <t>評価する取組み表の評価ポイントの合計値が13～19ポイント</t>
    <phoneticPr fontId="22"/>
  </si>
  <si>
    <t>評価する取組み表の評価ポイントの合計値が20ポイント以上</t>
    <phoneticPr fontId="22"/>
  </si>
  <si>
    <t>評価項目</t>
    <phoneticPr fontId="22"/>
  </si>
  <si>
    <t>評価ポイント</t>
    <phoneticPr fontId="22"/>
  </si>
  <si>
    <t>1～2</t>
    <phoneticPr fontId="22"/>
  </si>
  <si>
    <t>LR2 3.2</t>
  </si>
  <si>
    <t>発泡剤（断熱材等）</t>
  </si>
  <si>
    <t>冷媒</t>
  </si>
  <si>
    <t>LR3 2</t>
  </si>
  <si>
    <t>LR3 2.3</t>
  </si>
  <si>
    <t>LR3 3</t>
  </si>
  <si>
    <t>LR3 3.1</t>
  </si>
  <si>
    <t>振動</t>
    <rPh sb="0" eb="2">
      <t>ｼﾝﾄﾞｳ</t>
    </rPh>
    <phoneticPr fontId="34" type="noConversion"/>
  </si>
  <si>
    <t>換算係数</t>
    <rPh sb="0" eb="2">
      <t>カンサン</t>
    </rPh>
    <rPh sb="2" eb="4">
      <t>ケイスウ</t>
    </rPh>
    <phoneticPr fontId="24"/>
  </si>
  <si>
    <t>　レベル　1</t>
    <phoneticPr fontId="22"/>
  </si>
  <si>
    <t>2.1.4</t>
  </si>
  <si>
    <t>ゾーン別制御性</t>
  </si>
  <si>
    <t>2.1.5</t>
  </si>
  <si>
    <t>温度・湿度制御</t>
  </si>
  <si>
    <t>2.1.6</t>
  </si>
  <si>
    <t>個別制御</t>
  </si>
  <si>
    <t>2.1.7</t>
  </si>
  <si>
    <t>時間外空調に対する配慮</t>
  </si>
  <si>
    <t>2.1.8</t>
  </si>
  <si>
    <t>監視システム</t>
  </si>
  <si>
    <t xml:space="preserve"> Q1 2.3</t>
  </si>
  <si>
    <t xml:space="preserve"> Q1 3</t>
  </si>
  <si>
    <t xml:space="preserve"> Q1 3.1</t>
  </si>
  <si>
    <t>昼光率</t>
  </si>
  <si>
    <t>方位別開口</t>
  </si>
  <si>
    <t>昼光利用設備</t>
  </si>
  <si>
    <t xml:space="preserve"> Q1 3.2</t>
  </si>
  <si>
    <t>照明器具のグレア</t>
  </si>
  <si>
    <t>昼光制御</t>
  </si>
  <si>
    <t>3.2.3</t>
  </si>
  <si>
    <t xml:space="preserve"> Q1 3.3</t>
  </si>
  <si>
    <t xml:space="preserve"> Q1 4</t>
  </si>
  <si>
    <t xml:space="preserve"> Q1 4.1</t>
  </si>
  <si>
    <t xml:space="preserve"> 化学汚染物質</t>
  </si>
  <si>
    <t xml:space="preserve"> ダニ・カビ等</t>
  </si>
  <si>
    <t xml:space="preserve"> レジオネラ対策</t>
  </si>
  <si>
    <t xml:space="preserve"> Q1 4.2</t>
  </si>
  <si>
    <t>換気量</t>
  </si>
  <si>
    <t>自然換気性能</t>
  </si>
  <si>
    <t>取り入れ外気への配慮</t>
  </si>
  <si>
    <t xml:space="preserve"> Q1 4.3</t>
  </si>
  <si>
    <t xml:space="preserve"> Q2</t>
  </si>
  <si>
    <t>機能性</t>
  </si>
  <si>
    <t xml:space="preserve"> Q2 1</t>
  </si>
  <si>
    <t>機能性・使いやすさ</t>
    <rPh sb="0" eb="3">
      <t>キノウセイ</t>
    </rPh>
    <rPh sb="4" eb="5">
      <t>ヅカ</t>
    </rPh>
    <phoneticPr fontId="22"/>
  </si>
  <si>
    <t xml:space="preserve"> Q2 1.1</t>
  </si>
  <si>
    <t>広さ・収納性</t>
  </si>
  <si>
    <t>バリアフリー計画</t>
  </si>
  <si>
    <t xml:space="preserve"> Q2 1.2</t>
  </si>
  <si>
    <t>広さ感・景観</t>
  </si>
  <si>
    <t>リフレッシュスペース</t>
  </si>
  <si>
    <t>内装計画</t>
  </si>
  <si>
    <t>1.3.1</t>
  </si>
  <si>
    <t>効率的運用</t>
    <rPh sb="0" eb="3">
      <t>コウリツテキ</t>
    </rPh>
    <rPh sb="3" eb="5">
      <t>ウンヨウ</t>
    </rPh>
    <phoneticPr fontId="22"/>
  </si>
  <si>
    <t>事・学・物・飲・会・病・ホ・工</t>
    <rPh sb="14" eb="15">
      <t>コウ</t>
    </rPh>
    <phoneticPr fontId="22"/>
  </si>
  <si>
    <t>敷地内温熱環境の向上</t>
    <phoneticPr fontId="22"/>
  </si>
  <si>
    <t>当該対象区における標準的な計画の得点が３点。ＮＡは評価対象外とした項目を示す。敷地選定に関わる評価は対象外。</t>
    <rPh sb="2" eb="4">
      <t>タイショウ</t>
    </rPh>
    <rPh sb="4" eb="5">
      <t>ク</t>
    </rPh>
    <rPh sb="9" eb="11">
      <t>ヒョウジュン</t>
    </rPh>
    <rPh sb="13" eb="15">
      <t>ケイカク</t>
    </rPh>
    <phoneticPr fontId="22"/>
  </si>
  <si>
    <t>注2：</t>
    <rPh sb="0" eb="1">
      <t>チュウ</t>
    </rPh>
    <phoneticPr fontId="22"/>
  </si>
  <si>
    <t>Qは、環境品質・性能（Q）のスコアSQ(Q-1、Q-2、Q-3のスコアにそれぞれの重み係数を乗じた合計値）から算定。</t>
    <rPh sb="41" eb="42">
      <t>オモ</t>
    </rPh>
    <rPh sb="43" eb="45">
      <t>ケイスウ</t>
    </rPh>
    <rPh sb="46" eb="47">
      <t>ジョウ</t>
    </rPh>
    <rPh sb="49" eb="52">
      <t>ゴウケイチ</t>
    </rPh>
    <rPh sb="55" eb="57">
      <t>サンテイ</t>
    </rPh>
    <phoneticPr fontId="22"/>
  </si>
  <si>
    <t>Lは、環境負荷低減性（LR)のスコアSLR（LR-1、LR-2、LR-3のスコアにそれぞれの重み係数を乗じた合計値）から算定。</t>
    <rPh sb="3" eb="5">
      <t>カンキョウ</t>
    </rPh>
    <rPh sb="5" eb="7">
      <t>フカ</t>
    </rPh>
    <rPh sb="7" eb="9">
      <t>テイゲン</t>
    </rPh>
    <rPh sb="9" eb="10">
      <t>セイ</t>
    </rPh>
    <rPh sb="46" eb="47">
      <t>オモ</t>
    </rPh>
    <rPh sb="48" eb="50">
      <t>ケイスウ</t>
    </rPh>
    <rPh sb="51" eb="52">
      <t>ジョウ</t>
    </rPh>
    <rPh sb="54" eb="57">
      <t>ゴウケイチ</t>
    </rPh>
    <rPh sb="60" eb="62">
      <t>サンテイ</t>
    </rPh>
    <phoneticPr fontId="22"/>
  </si>
  <si>
    <t>注3：</t>
    <rPh sb="0" eb="1">
      <t>チュウ</t>
    </rPh>
    <phoneticPr fontId="22"/>
  </si>
  <si>
    <t>■評価ソフト：</t>
    <rPh sb="1" eb="3">
      <t>ヒョウカ</t>
    </rPh>
    <phoneticPr fontId="22"/>
  </si>
  <si>
    <t>スコアシート</t>
    <phoneticPr fontId="34" type="noConversion"/>
  </si>
  <si>
    <t>建物全体・共用部分</t>
    <rPh sb="0" eb="2">
      <t>タテモノ</t>
    </rPh>
    <rPh sb="2" eb="4">
      <t>ゼンタイ</t>
    </rPh>
    <rPh sb="5" eb="7">
      <t>キョウヨウ</t>
    </rPh>
    <rPh sb="7" eb="9">
      <t>ブブン</t>
    </rPh>
    <phoneticPr fontId="22"/>
  </si>
  <si>
    <t>住居・宿泊部分</t>
    <rPh sb="0" eb="2">
      <t>ジュウキョ</t>
    </rPh>
    <rPh sb="3" eb="5">
      <t>シュクハク</t>
    </rPh>
    <rPh sb="5" eb="7">
      <t>ブブン</t>
    </rPh>
    <phoneticPr fontId="22"/>
  </si>
  <si>
    <t>建物全体</t>
    <rPh sb="0" eb="2">
      <t>タテモノ</t>
    </rPh>
    <rPh sb="2" eb="4">
      <t>ゼンタイ</t>
    </rPh>
    <phoneticPr fontId="22"/>
  </si>
  <si>
    <t>住居宿泊</t>
    <rPh sb="0" eb="2">
      <t>ジュウキョ</t>
    </rPh>
    <rPh sb="2" eb="4">
      <t>シュクハク</t>
    </rPh>
    <phoneticPr fontId="22"/>
  </si>
  <si>
    <r>
      <t>Q3</t>
    </r>
    <r>
      <rPr>
        <b/>
        <sz val="14"/>
        <rFont val="ＭＳ Ｐゴシック"/>
        <family val="3"/>
        <charset val="128"/>
      </rPr>
      <t>　室外環境（敷地内）</t>
    </r>
    <phoneticPr fontId="22"/>
  </si>
  <si>
    <t>○</t>
    <phoneticPr fontId="22"/>
  </si>
  <si>
    <t>はい</t>
    <phoneticPr fontId="22"/>
  </si>
  <si>
    <t>いいえ</t>
    <phoneticPr fontId="22"/>
  </si>
  <si>
    <t>生物環境の保全と創出に関して配慮されているが、取り組みが十分とはいえない。(評価ポイント4～6)</t>
    <phoneticPr fontId="22"/>
  </si>
  <si>
    <t>生物環境の保全と創出に関して配慮されており、標準的な取り組みが行われている。(評価ポイント7～9)</t>
    <phoneticPr fontId="22"/>
  </si>
  <si>
    <t>　レベル　1</t>
    <phoneticPr fontId="22"/>
  </si>
  <si>
    <t>■レベル　1</t>
    <phoneticPr fontId="22"/>
  </si>
  <si>
    <t>生物環境の保全と創出に関して配慮されており、比較的多くの取り組みが行われている。(評価ポイント10～12)</t>
    <phoneticPr fontId="22"/>
  </si>
  <si>
    <t>生物環境の保全と創出に関して十分配慮されており、充実した取り組みが行われている。(評価ポイント13以上）</t>
    <phoneticPr fontId="22"/>
  </si>
  <si>
    <t>I 立地特性の把握と計画方針の設定</t>
    <phoneticPr fontId="22"/>
  </si>
  <si>
    <t>レベル</t>
    <phoneticPr fontId="22"/>
  </si>
  <si>
    <t>II 生物資源の保存と復元</t>
    <phoneticPr fontId="22"/>
  </si>
  <si>
    <t>―</t>
    <phoneticPr fontId="22"/>
  </si>
  <si>
    <t>③　水を使用し清掃する箇所（トイレ、ゴミ庫、厨房）には２／１００程度の適度な勾配を計画している。</t>
    <phoneticPr fontId="22"/>
  </si>
  <si>
    <t>同左</t>
  </si>
  <si>
    <t>国内消費支出分</t>
    <rPh sb="0" eb="2">
      <t>コクナイ</t>
    </rPh>
    <rPh sb="2" eb="4">
      <t>ショウヒ</t>
    </rPh>
    <rPh sb="4" eb="6">
      <t>シシュツ</t>
    </rPh>
    <rPh sb="6" eb="7">
      <t>ブン</t>
    </rPh>
    <phoneticPr fontId="22"/>
  </si>
  <si>
    <t>躯体・基礎の寿命（年）</t>
    <rPh sb="0" eb="2">
      <t>クタイ</t>
    </rPh>
    <rPh sb="3" eb="5">
      <t>キソ</t>
    </rPh>
    <rPh sb="6" eb="8">
      <t>ジュミョウ</t>
    </rPh>
    <rPh sb="9" eb="10">
      <t>ネン</t>
    </rPh>
    <phoneticPr fontId="22"/>
  </si>
  <si>
    <t>Q2/2.2.1 躯体材料</t>
    <rPh sb="9" eb="11">
      <t>クタイ</t>
    </rPh>
    <rPh sb="11" eb="13">
      <t>ザイリョウ</t>
    </rPh>
    <phoneticPr fontId="22"/>
  </si>
  <si>
    <t>再利用なし</t>
    <rPh sb="0" eb="3">
      <t>サイリヨウ</t>
    </rPh>
    <phoneticPr fontId="22"/>
  </si>
  <si>
    <t>高炉ｾﾒﾝﾄ100%</t>
    <rPh sb="0" eb="2">
      <t>コウロ</t>
    </rPh>
    <phoneticPr fontId="22"/>
  </si>
  <si>
    <t>更新周期(年）</t>
    <rPh sb="0" eb="2">
      <t>コウシン</t>
    </rPh>
    <rPh sb="2" eb="4">
      <t>シュウキ</t>
    </rPh>
    <rPh sb="5" eb="6">
      <t>ネン</t>
    </rPh>
    <phoneticPr fontId="22"/>
  </si>
  <si>
    <t>外装</t>
    <rPh sb="0" eb="2">
      <t>ガイソウ</t>
    </rPh>
    <phoneticPr fontId="22"/>
  </si>
  <si>
    <t>年</t>
    <rPh sb="0" eb="1">
      <t>ネン</t>
    </rPh>
    <phoneticPr fontId="22"/>
  </si>
  <si>
    <t>屋根</t>
    <rPh sb="0" eb="2">
      <t>ヤネ</t>
    </rPh>
    <phoneticPr fontId="22"/>
  </si>
  <si>
    <t>内装</t>
    <rPh sb="0" eb="2">
      <t>ナイソウ</t>
    </rPh>
    <phoneticPr fontId="22"/>
  </si>
  <si>
    <t>設備</t>
    <rPh sb="0" eb="2">
      <t>セツビ</t>
    </rPh>
    <phoneticPr fontId="22"/>
  </si>
  <si>
    <t>平均修繕率</t>
    <rPh sb="0" eb="2">
      <t>ヘイキン</t>
    </rPh>
    <rPh sb="2" eb="4">
      <t>シュウゼン</t>
    </rPh>
    <rPh sb="4" eb="5">
      <t>リツ</t>
    </rPh>
    <phoneticPr fontId="22"/>
  </si>
  <si>
    <t>/年</t>
    <rPh sb="1" eb="2">
      <t>ネン</t>
    </rPh>
    <phoneticPr fontId="22"/>
  </si>
  <si>
    <t>参照値（参照建物）</t>
    <rPh sb="0" eb="2">
      <t>サンショウ</t>
    </rPh>
    <rPh sb="2" eb="3">
      <t>チ</t>
    </rPh>
    <rPh sb="4" eb="6">
      <t>サンショウ</t>
    </rPh>
    <rPh sb="6" eb="8">
      <t>タテモノ</t>
    </rPh>
    <phoneticPr fontId="22"/>
  </si>
  <si>
    <t>建物
概要</t>
    <rPh sb="0" eb="2">
      <t>タテモノ</t>
    </rPh>
    <rPh sb="3" eb="5">
      <t>ガイヨウ</t>
    </rPh>
    <phoneticPr fontId="22"/>
  </si>
  <si>
    <t>建物規模</t>
    <rPh sb="0" eb="2">
      <t>タテモノ</t>
    </rPh>
    <rPh sb="2" eb="4">
      <t>キボ</t>
    </rPh>
    <phoneticPr fontId="22"/>
  </si>
  <si>
    <t>構造種別</t>
    <rPh sb="0" eb="2">
      <t>コウゾウ</t>
    </rPh>
    <rPh sb="2" eb="4">
      <t>シュベツ</t>
    </rPh>
    <phoneticPr fontId="22"/>
  </si>
  <si>
    <t>ライフサイクル設定</t>
    <rPh sb="7" eb="9">
      <t>セッテイ</t>
    </rPh>
    <phoneticPr fontId="22"/>
  </si>
  <si>
    <t>想定耐用年数</t>
    <rPh sb="0" eb="2">
      <t>ソウテイ</t>
    </rPh>
    <rPh sb="2" eb="4">
      <t>タイヨウ</t>
    </rPh>
    <rPh sb="4" eb="6">
      <t>ネンスウ</t>
    </rPh>
    <phoneticPr fontId="22"/>
  </si>
  <si>
    <r>
      <t>kg-CO</t>
    </r>
    <r>
      <rPr>
        <vertAlign val="subscript"/>
        <sz val="10"/>
        <rFont val="ＭＳ Ｐゴシック"/>
        <family val="3"/>
        <charset val="128"/>
      </rPr>
      <t>2</t>
    </r>
    <r>
      <rPr>
        <sz val="10"/>
        <rFont val="ＭＳ Ｐゴシック"/>
        <family val="3"/>
        <charset val="128"/>
      </rPr>
      <t>/年㎡</t>
    </r>
    <rPh sb="7" eb="8">
      <t>ネン</t>
    </rPh>
    <phoneticPr fontId="22"/>
  </si>
  <si>
    <t>地球温暖化への配慮</t>
    <rPh sb="0" eb="2">
      <t>チキュウ</t>
    </rPh>
    <rPh sb="2" eb="5">
      <t>オンダンカ</t>
    </rPh>
    <rPh sb="7" eb="9">
      <t>ハイリョ</t>
    </rPh>
    <phoneticPr fontId="22"/>
  </si>
  <si>
    <t>自然ｴﾈﾙｷﾞｰ</t>
    <rPh sb="0" eb="2">
      <t>シゼン</t>
    </rPh>
    <phoneticPr fontId="22"/>
  </si>
  <si>
    <t>非再生性材料の削減</t>
    <rPh sb="0" eb="1">
      <t>ヒ</t>
    </rPh>
    <rPh sb="1" eb="3">
      <t>サイセイ</t>
    </rPh>
    <rPh sb="3" eb="4">
      <t>セイ</t>
    </rPh>
    <rPh sb="4" eb="6">
      <t>ザイリョウ</t>
    </rPh>
    <rPh sb="7" eb="9">
      <t>サクゲン</t>
    </rPh>
    <phoneticPr fontId="22"/>
  </si>
  <si>
    <t>地域環境への配慮</t>
    <rPh sb="0" eb="2">
      <t>チイキ</t>
    </rPh>
    <rPh sb="2" eb="4">
      <t>カンキョウ</t>
    </rPh>
    <rPh sb="6" eb="8">
      <t>ハイリョ</t>
    </rPh>
    <phoneticPr fontId="22"/>
  </si>
  <si>
    <t>設備の効率的利用</t>
    <rPh sb="0" eb="2">
      <t>セツビ</t>
    </rPh>
    <rPh sb="3" eb="5">
      <t>コウリツ</t>
    </rPh>
    <rPh sb="5" eb="6">
      <t>テキ</t>
    </rPh>
    <rPh sb="6" eb="8">
      <t>リヨウ</t>
    </rPh>
    <phoneticPr fontId="22"/>
  </si>
  <si>
    <t>汚染物質回避</t>
    <rPh sb="0" eb="2">
      <t>オセン</t>
    </rPh>
    <rPh sb="2" eb="4">
      <t>ブッシツ</t>
    </rPh>
    <rPh sb="4" eb="6">
      <t>カイヒ</t>
    </rPh>
    <phoneticPr fontId="22"/>
  </si>
  <si>
    <t>周辺環境への配慮</t>
    <rPh sb="0" eb="2">
      <t>シュウヘン</t>
    </rPh>
    <rPh sb="2" eb="4">
      <t>カンキョウ</t>
    </rPh>
    <rPh sb="6" eb="8">
      <t>ハイリョ</t>
    </rPh>
    <phoneticPr fontId="22"/>
  </si>
  <si>
    <t>運用ﾏﾈｼﾞﾒﾝﾄ</t>
    <rPh sb="0" eb="2">
      <t>ウンヨウ</t>
    </rPh>
    <phoneticPr fontId="22"/>
  </si>
  <si>
    <r>
      <t>3</t>
    </r>
    <r>
      <rPr>
        <b/>
        <sz val="12"/>
        <color indexed="9"/>
        <rFont val="ＭＳ Ｐゴシック"/>
        <family val="3"/>
        <charset val="128"/>
      </rPr>
      <t>　設計上の配慮事項</t>
    </r>
    <rPh sb="2" eb="4">
      <t>セッケイ</t>
    </rPh>
    <rPh sb="4" eb="5">
      <t>ジョウ</t>
    </rPh>
    <rPh sb="6" eb="8">
      <t>ハイリョ</t>
    </rPh>
    <rPh sb="8" eb="10">
      <t>ジコウ</t>
    </rPh>
    <phoneticPr fontId="22"/>
  </si>
  <si>
    <t>総合</t>
    <rPh sb="0" eb="2">
      <t>ｿｳｺﾞｳ</t>
    </rPh>
    <phoneticPr fontId="34" type="noConversion"/>
  </si>
  <si>
    <t>その他</t>
    <rPh sb="2" eb="3">
      <t>ﾀ</t>
    </rPh>
    <phoneticPr fontId="34" type="noConversion"/>
  </si>
  <si>
    <r>
      <t>（</t>
    </r>
    <r>
      <rPr>
        <b/>
        <sz val="12"/>
        <color indexed="9"/>
        <rFont val="Arial"/>
        <family val="2"/>
      </rPr>
      <t>3</t>
    </r>
    <r>
      <rPr>
        <b/>
        <sz val="12"/>
        <color indexed="9"/>
        <rFont val="ＭＳ Ｐゴシック"/>
        <family val="3"/>
        <charset val="128"/>
      </rPr>
      <t>）　建築物の総合的な環境性能とは別枠の重要評価項目</t>
    </r>
    <rPh sb="4" eb="7">
      <t>ｹﾝﾁｸﾌﾞﾂ</t>
    </rPh>
    <rPh sb="8" eb="10">
      <t>ｿｳｺﾞｳ</t>
    </rPh>
    <rPh sb="10" eb="11">
      <t>ﾃｷ</t>
    </rPh>
    <rPh sb="12" eb="14">
      <t>ｶﾝｷｮｳ</t>
    </rPh>
    <rPh sb="14" eb="16">
      <t>ｾｲﾉｳ</t>
    </rPh>
    <rPh sb="18" eb="20">
      <t>ﾍﾞﾂﾜｸ</t>
    </rPh>
    <rPh sb="21" eb="23">
      <t>ｼﾞｭｳﾖｳ</t>
    </rPh>
    <rPh sb="23" eb="25">
      <t>ﾋｮｳｶ</t>
    </rPh>
    <rPh sb="25" eb="27">
      <t>ｺｳﾓｸ</t>
    </rPh>
    <phoneticPr fontId="34" type="noConversion"/>
  </si>
  <si>
    <t>注3</t>
    <rPh sb="0" eb="1">
      <t>チュウ</t>
    </rPh>
    <phoneticPr fontId="22"/>
  </si>
  <si>
    <t>心理性・快適性</t>
    <rPh sb="0" eb="1">
      <t>ｺｺﾛ</t>
    </rPh>
    <rPh sb="1" eb="3">
      <t>ﾘｾｲ</t>
    </rPh>
    <rPh sb="4" eb="7">
      <t>ｶｲﾃｷｾｲ</t>
    </rPh>
    <phoneticPr fontId="34" type="noConversion"/>
  </si>
  <si>
    <t>■レベル　1</t>
    <phoneticPr fontId="22"/>
  </si>
  <si>
    <t>個室8㎡/床で、かつ多床室6㎡/床以上。</t>
    <phoneticPr fontId="22"/>
  </si>
  <si>
    <t>シングル15㎡以上、かつツイン22㎡以上。</t>
    <phoneticPr fontId="22"/>
  </si>
  <si>
    <t>シングル22㎡以上、かつツイン32㎡以上。</t>
    <phoneticPr fontId="22"/>
  </si>
  <si>
    <t>個室10㎡/床で、かつ多床室8㎡/床以上。</t>
    <phoneticPr fontId="22"/>
  </si>
  <si>
    <t>シングル30㎡以上、かつツイン40㎡以上。</t>
    <phoneticPr fontId="22"/>
  </si>
  <si>
    <t>レベル</t>
    <phoneticPr fontId="22"/>
  </si>
  <si>
    <t>建物全体・共用部分</t>
    <phoneticPr fontId="22"/>
  </si>
  <si>
    <t>ホ・住</t>
    <phoneticPr fontId="22"/>
  </si>
  <si>
    <t>病・ホ</t>
    <rPh sb="0" eb="1">
      <t>ビョウ</t>
    </rPh>
    <phoneticPr fontId="22"/>
  </si>
  <si>
    <t>会話等の話の内容がわかる。</t>
    <rPh sb="0" eb="2">
      <t>カイワ</t>
    </rPh>
    <rPh sb="2" eb="3">
      <t>トウ</t>
    </rPh>
    <rPh sb="4" eb="5">
      <t>ハナシ</t>
    </rPh>
    <rPh sb="6" eb="8">
      <t>ナイヨウ</t>
    </rPh>
    <phoneticPr fontId="22"/>
  </si>
  <si>
    <t>　　　　　　　　　　　　　　　　　</t>
  </si>
  <si>
    <t>人の話し声がほとんど聞こえない。</t>
  </si>
  <si>
    <t>テレビ、ラジオ、会話等の一般の発生音が通常では聞こえない。</t>
  </si>
  <si>
    <t>隣戸の気配を感じない。</t>
  </si>
  <si>
    <t>Dr-30未満</t>
  </si>
  <si>
    <t>Dr-35未満</t>
  </si>
  <si>
    <t xml:space="preserve">Dr-30 </t>
  </si>
  <si>
    <t>Dr-35</t>
  </si>
  <si>
    <t>Dr-40</t>
  </si>
  <si>
    <t>事・学・物・飲・会・病・ホ・工・住</t>
    <rPh sb="14" eb="15">
      <t>コウ</t>
    </rPh>
    <rPh sb="16" eb="17">
      <t>ジュウ</t>
    </rPh>
    <phoneticPr fontId="22"/>
  </si>
  <si>
    <t>病・ホ</t>
    <rPh sb="0" eb="1">
      <t>ヤマイ</t>
    </rPh>
    <phoneticPr fontId="22"/>
  </si>
  <si>
    <t>窓,外壁,屋根や床（特にピロティ）において室内への熱の侵入に対しての配慮が十分でなく、日射遮蔽性能や断熱性能が低い。</t>
  </si>
  <si>
    <t>窓,外壁,屋根や床（特にピロティ）において、室内への熱の侵入に対しての配慮がなされており、実用上、日射遮蔽性能および断熱性能に問題がない。</t>
  </si>
  <si>
    <t>窓,外壁,屋根や床（特にピロティ）において、室内への熱の侵入に対して、十分な配慮がなされており、最良の日射遮蔽性能および断熱性能を有する。</t>
  </si>
  <si>
    <t>←　直接入力</t>
    <rPh sb="2" eb="4">
      <t>チョクセツ</t>
    </rPh>
    <rPh sb="4" eb="6">
      <t>ニュウリョク</t>
    </rPh>
    <phoneticPr fontId="22"/>
  </si>
  <si>
    <t>延床面積</t>
    <rPh sb="0" eb="4">
      <t>ノベユカメンセキ</t>
    </rPh>
    <phoneticPr fontId="22"/>
  </si>
  <si>
    <t>　</t>
  </si>
  <si>
    <t>吹出し口、吸込み口からの騒音</t>
    <rPh sb="12" eb="14">
      <t>ソウオン</t>
    </rPh>
    <phoneticPr fontId="22"/>
  </si>
  <si>
    <t>低騒音型吹出し口、低騒音型吸込み口、位置、風量・風速の適正化など</t>
  </si>
  <si>
    <t>○</t>
  </si>
  <si>
    <t>教室の天井高2.7m以上。</t>
    <rPh sb="0" eb="2">
      <t>キョウシツ</t>
    </rPh>
    <rPh sb="3" eb="5">
      <t>テンジョウ</t>
    </rPh>
    <rPh sb="5" eb="6">
      <t>ダカ</t>
    </rPh>
    <rPh sb="10" eb="12">
      <t>イジョウ</t>
    </rPh>
    <phoneticPr fontId="22"/>
  </si>
  <si>
    <t>教室の天井高3.0m以上。</t>
  </si>
  <si>
    <t>教室の天井高3.1m以上。</t>
  </si>
  <si>
    <t>教室の天井高3.2m以上。</t>
  </si>
  <si>
    <t>物</t>
    <rPh sb="0" eb="1">
      <t>モノ</t>
    </rPh>
    <phoneticPr fontId="22"/>
  </si>
  <si>
    <r>
      <t xml:space="preserve">1.2.3 </t>
    </r>
    <r>
      <rPr>
        <b/>
        <sz val="10"/>
        <rFont val="ＭＳ Ｐゴシック"/>
        <family val="3"/>
        <charset val="128"/>
      </rPr>
      <t>内装計画</t>
    </r>
    <rPh sb="6" eb="8">
      <t>ナイソウ</t>
    </rPh>
    <rPh sb="8" eb="10">
      <t>ケイカク</t>
    </rPh>
    <phoneticPr fontId="22"/>
  </si>
  <si>
    <t>評価する取組み</t>
    <rPh sb="0" eb="2">
      <t>ヒョウカ</t>
    </rPh>
    <rPh sb="4" eb="6">
      <t>トリク</t>
    </rPh>
    <phoneticPr fontId="22"/>
  </si>
  <si>
    <t>建物全体のコンセプトが明確にあり、内装計画の段階で、コンセプトを反映するための取り組みが具体的にされている。（例えばエコロジーをテーマとする場合に天然素材やエコマテリアルを多用する等）</t>
    <rPh sb="87" eb="88">
      <t>ヨウ</t>
    </rPh>
    <phoneticPr fontId="22"/>
  </si>
  <si>
    <t>建物全体のコンセプトが明確にあり、内装計画の段階で、コンセプトを反映するための取り組みが具体的にされている。（例えば、エコロジーをテーマとする場合に天然素材やエコマテリアルを多用する等）</t>
    <rPh sb="55" eb="56">
      <t>タト</t>
    </rPh>
    <rPh sb="88" eb="89">
      <t>ヨウ</t>
    </rPh>
    <phoneticPr fontId="22"/>
  </si>
  <si>
    <t>その他の燃料
（　　　）</t>
    <rPh sb="2" eb="3">
      <t>タ</t>
    </rPh>
    <rPh sb="4" eb="6">
      <t>ネンリョウ</t>
    </rPh>
    <phoneticPr fontId="22"/>
  </si>
  <si>
    <t>上水使用</t>
    <rPh sb="0" eb="1">
      <t>ウエ</t>
    </rPh>
    <rPh sb="1" eb="2">
      <t>ミズ</t>
    </rPh>
    <rPh sb="2" eb="4">
      <t>シヨウ</t>
    </rPh>
    <phoneticPr fontId="22"/>
  </si>
  <si>
    <t>kg/㎡</t>
  </si>
  <si>
    <t>統計値より、一次エネルギー消費量の平均値を引用</t>
    <rPh sb="0" eb="2">
      <t>トウケイ</t>
    </rPh>
    <rPh sb="2" eb="3">
      <t>アタイ</t>
    </rPh>
    <rPh sb="6" eb="8">
      <t>イチジ</t>
    </rPh>
    <rPh sb="13" eb="16">
      <t>ショウヒリョウ</t>
    </rPh>
    <rPh sb="17" eb="20">
      <t>ヘイキンチ</t>
    </rPh>
    <rPh sb="21" eb="23">
      <t>インヨウ</t>
    </rPh>
    <phoneticPr fontId="22"/>
  </si>
  <si>
    <t>LR1の取り組みによる省エネルギー量を推定</t>
    <rPh sb="4" eb="5">
      <t>ト</t>
    </rPh>
    <rPh sb="6" eb="7">
      <t>ク</t>
    </rPh>
    <rPh sb="11" eb="12">
      <t>ショウ</t>
    </rPh>
    <rPh sb="17" eb="18">
      <t>リョウ</t>
    </rPh>
    <rPh sb="19" eb="21">
      <t>スイテイ</t>
    </rPh>
    <phoneticPr fontId="22"/>
  </si>
  <si>
    <t>電力</t>
    <rPh sb="0" eb="2">
      <t>デンリョク</t>
    </rPh>
    <phoneticPr fontId="22"/>
  </si>
  <si>
    <t>搬送熱量/ポンプ消費エネルギー（2次エネルギー基準）</t>
  </si>
  <si>
    <t>空調機搬送ATF</t>
  </si>
  <si>
    <t>搬送熱量/ファン消費エネルギー（2次エネルギー基準）</t>
  </si>
  <si>
    <t>全熱交換器効果</t>
  </si>
  <si>
    <t>削減熱量、エネルギー量</t>
  </si>
  <si>
    <t>Ⅵ その他</t>
    <phoneticPr fontId="22"/>
  </si>
  <si>
    <t>■　環境設計の配慮事項</t>
    <rPh sb="2" eb="4">
      <t>カンキョウ</t>
    </rPh>
    <rPh sb="4" eb="6">
      <t>セッケイ</t>
    </rPh>
    <rPh sb="7" eb="9">
      <t>ハイリョ</t>
    </rPh>
    <rPh sb="9" eb="11">
      <t>ジコウ</t>
    </rPh>
    <phoneticPr fontId="22"/>
  </si>
  <si>
    <t>■建物名称</t>
    <rPh sb="1" eb="3">
      <t>タテモノ</t>
    </rPh>
    <rPh sb="3" eb="5">
      <t>メイショウ</t>
    </rPh>
    <phoneticPr fontId="22"/>
  </si>
  <si>
    <t>計画上の配慮事項</t>
    <rPh sb="0" eb="2">
      <t>ケイカク</t>
    </rPh>
    <rPh sb="2" eb="3">
      <t>ジョウ</t>
    </rPh>
    <rPh sb="4" eb="6">
      <t>ハイリョ</t>
    </rPh>
    <rPh sb="6" eb="8">
      <t>ジコウ</t>
    </rPh>
    <phoneticPr fontId="22"/>
  </si>
  <si>
    <t>総合</t>
    <rPh sb="0" eb="2">
      <t>ソウゴウ</t>
    </rPh>
    <phoneticPr fontId="22"/>
  </si>
  <si>
    <t>Q1 
室内環境</t>
    <rPh sb="4" eb="6">
      <t>シツナイ</t>
    </rPh>
    <rPh sb="6" eb="8">
      <t>カンキョウ</t>
    </rPh>
    <phoneticPr fontId="22"/>
  </si>
  <si>
    <t>Q2 
サービス性能</t>
    <rPh sb="8" eb="10">
      <t>セイノウ</t>
    </rPh>
    <phoneticPr fontId="22"/>
  </si>
  <si>
    <t>Q3 
室外環境（敷地内）</t>
    <rPh sb="4" eb="6">
      <t>シツガイ</t>
    </rPh>
    <rPh sb="6" eb="8">
      <t>カンキョウ</t>
    </rPh>
    <rPh sb="9" eb="11">
      <t>シキチ</t>
    </rPh>
    <rPh sb="11" eb="12">
      <t>ナイ</t>
    </rPh>
    <phoneticPr fontId="22"/>
  </si>
  <si>
    <t>LR2 
資源・マテリアル</t>
    <rPh sb="5" eb="7">
      <t>シゲン</t>
    </rPh>
    <phoneticPr fontId="22"/>
  </si>
  <si>
    <t>その他</t>
    <rPh sb="2" eb="3">
      <t>ホカ</t>
    </rPh>
    <phoneticPr fontId="22"/>
  </si>
  <si>
    <t>照度均斉度</t>
    <phoneticPr fontId="22"/>
  </si>
  <si>
    <t>4.1.1</t>
    <phoneticPr fontId="22"/>
  </si>
  <si>
    <t>4.1.2</t>
    <phoneticPr fontId="22"/>
  </si>
  <si>
    <t xml:space="preserve"> アスベスト対策</t>
    <phoneticPr fontId="22"/>
  </si>
  <si>
    <t>4.1.3</t>
    <phoneticPr fontId="22"/>
  </si>
  <si>
    <t>4.1.4</t>
    <phoneticPr fontId="22"/>
  </si>
  <si>
    <t>4.2.1</t>
    <phoneticPr fontId="22"/>
  </si>
  <si>
    <t>4.2.2</t>
    <phoneticPr fontId="22"/>
  </si>
  <si>
    <t>4.2.3</t>
    <phoneticPr fontId="22"/>
  </si>
  <si>
    <t>4.2.4</t>
    <phoneticPr fontId="22"/>
  </si>
  <si>
    <t>給気計画</t>
    <phoneticPr fontId="22"/>
  </si>
  <si>
    <t>4.3.1</t>
    <phoneticPr fontId="22"/>
  </si>
  <si>
    <t>CO2の監視</t>
    <phoneticPr fontId="22"/>
  </si>
  <si>
    <t>4.3.2</t>
    <phoneticPr fontId="22"/>
  </si>
  <si>
    <t>喫煙の制御</t>
    <phoneticPr fontId="22"/>
  </si>
  <si>
    <t>Q2</t>
    <phoneticPr fontId="22"/>
  </si>
  <si>
    <t>サービス性能</t>
    <phoneticPr fontId="22"/>
  </si>
  <si>
    <t>1.1.1</t>
    <phoneticPr fontId="22"/>
  </si>
  <si>
    <t>1.1.2</t>
    <phoneticPr fontId="22"/>
  </si>
  <si>
    <t>高度情報通信設備対応</t>
    <phoneticPr fontId="22"/>
  </si>
  <si>
    <t>1.1.3</t>
    <phoneticPr fontId="22"/>
  </si>
  <si>
    <t>1.2.1</t>
    <phoneticPr fontId="22"/>
  </si>
  <si>
    <t>1.2.2</t>
    <phoneticPr fontId="22"/>
  </si>
  <si>
    <t>1.2.3</t>
    <phoneticPr fontId="22"/>
  </si>
  <si>
    <t xml:space="preserve"> Q2 1.3</t>
    <phoneticPr fontId="22"/>
  </si>
  <si>
    <t>0</t>
    <phoneticPr fontId="22"/>
  </si>
  <si>
    <t>2.1.1</t>
    <phoneticPr fontId="22"/>
  </si>
  <si>
    <t>2.1.2</t>
    <phoneticPr fontId="22"/>
  </si>
  <si>
    <t>2.1.2</t>
    <phoneticPr fontId="22"/>
  </si>
  <si>
    <t>2.2.1</t>
    <phoneticPr fontId="22"/>
  </si>
  <si>
    <t>2.2.1</t>
    <phoneticPr fontId="22"/>
  </si>
  <si>
    <t>2.2.2</t>
    <phoneticPr fontId="22"/>
  </si>
  <si>
    <t>2.2.3</t>
    <phoneticPr fontId="22"/>
  </si>
  <si>
    <t>2.2.4</t>
    <phoneticPr fontId="22"/>
  </si>
  <si>
    <t>2.2.4</t>
    <phoneticPr fontId="22"/>
  </si>
  <si>
    <t>2.2.5</t>
    <phoneticPr fontId="22"/>
  </si>
  <si>
    <t>2.2.5</t>
    <phoneticPr fontId="22"/>
  </si>
  <si>
    <t>2.2.6</t>
    <phoneticPr fontId="22"/>
  </si>
  <si>
    <t xml:space="preserve"> Q2 2</t>
    <phoneticPr fontId="22"/>
  </si>
  <si>
    <t>2.3.1</t>
    <phoneticPr fontId="22"/>
  </si>
  <si>
    <t xml:space="preserve"> Q2 2.3</t>
    <phoneticPr fontId="22"/>
  </si>
  <si>
    <t>2.3.1</t>
    <phoneticPr fontId="22"/>
  </si>
  <si>
    <t>2.3.2</t>
    <phoneticPr fontId="22"/>
  </si>
  <si>
    <t xml:space="preserve"> Q2 2.3</t>
    <phoneticPr fontId="22"/>
  </si>
  <si>
    <t>一次ｴﾈﾙｷﾞｰあたり　非住宅</t>
    <rPh sb="0" eb="2">
      <t>イチジ</t>
    </rPh>
    <rPh sb="12" eb="13">
      <t>ヒ</t>
    </rPh>
    <rPh sb="13" eb="15">
      <t>ジュウタク</t>
    </rPh>
    <phoneticPr fontId="22"/>
  </si>
  <si>
    <t>同上　　住宅（専有部）</t>
    <rPh sb="0" eb="2">
      <t>ドウジョウ</t>
    </rPh>
    <rPh sb="4" eb="6">
      <t>ジュウタク</t>
    </rPh>
    <rPh sb="7" eb="9">
      <t>センユウ</t>
    </rPh>
    <rPh sb="9" eb="10">
      <t>ブ</t>
    </rPh>
    <phoneticPr fontId="22"/>
  </si>
  <si>
    <t>木部の防腐剤</t>
    <rPh sb="0" eb="2">
      <t>モクブ</t>
    </rPh>
    <rPh sb="3" eb="6">
      <t>ボウフザイ</t>
    </rPh>
    <phoneticPr fontId="22"/>
  </si>
  <si>
    <r>
      <t xml:space="preserve">3.2.1 </t>
    </r>
    <r>
      <rPr>
        <b/>
        <sz val="10"/>
        <rFont val="ＭＳ Ｐゴシック"/>
        <family val="3"/>
        <charset val="128"/>
      </rPr>
      <t>消火剤</t>
    </r>
    <rPh sb="6" eb="8">
      <t>ショウカ</t>
    </rPh>
    <rPh sb="8" eb="9">
      <t>ザイ</t>
    </rPh>
    <phoneticPr fontId="22"/>
  </si>
  <si>
    <r>
      <t xml:space="preserve">3.2.2 </t>
    </r>
    <r>
      <rPr>
        <b/>
        <sz val="10"/>
        <rFont val="ＭＳ Ｐゴシック"/>
        <family val="3"/>
        <charset val="128"/>
      </rPr>
      <t>発泡剤（断熱材等）</t>
    </r>
    <rPh sb="6" eb="8">
      <t>ハッポウ</t>
    </rPh>
    <rPh sb="8" eb="9">
      <t>ザイ</t>
    </rPh>
    <rPh sb="10" eb="13">
      <t>ダンネツザイ</t>
    </rPh>
    <rPh sb="13" eb="14">
      <t>トウ</t>
    </rPh>
    <phoneticPr fontId="22"/>
  </si>
  <si>
    <t>ODP及びGWPが高いハロン消火剤を使用している（クリティカルユース含む）。</t>
    <rPh sb="3" eb="4">
      <t>オヨ</t>
    </rPh>
    <rPh sb="9" eb="10">
      <t>タカ</t>
    </rPh>
    <rPh sb="14" eb="17">
      <t>ショウカザイ</t>
    </rPh>
    <rPh sb="18" eb="20">
      <t>シヨウ</t>
    </rPh>
    <rPh sb="34" eb="35">
      <t>フク</t>
    </rPh>
    <phoneticPr fontId="22"/>
  </si>
  <si>
    <t>ハロゲン化物消火剤を使用している。</t>
    <rPh sb="4" eb="5">
      <t>カ</t>
    </rPh>
    <rPh sb="5" eb="6">
      <t>ブツ</t>
    </rPh>
    <rPh sb="6" eb="9">
      <t>ショウカザイ</t>
    </rPh>
    <rPh sb="10" eb="12">
      <t>シヨウ</t>
    </rPh>
    <phoneticPr fontId="22"/>
  </si>
  <si>
    <t>錆止め</t>
    <rPh sb="0" eb="1">
      <t>サビ</t>
    </rPh>
    <rPh sb="1" eb="2">
      <t>ド</t>
    </rPh>
    <phoneticPr fontId="22"/>
  </si>
  <si>
    <t>躯体</t>
    <rPh sb="0" eb="1">
      <t>ムクロ</t>
    </rPh>
    <rPh sb="1" eb="2">
      <t>タイ</t>
    </rPh>
    <phoneticPr fontId="22"/>
  </si>
  <si>
    <t>躯体以外</t>
    <rPh sb="2" eb="4">
      <t>イガイ</t>
    </rPh>
    <phoneticPr fontId="22"/>
  </si>
  <si>
    <t>塗り床</t>
    <rPh sb="0" eb="1">
      <t>ヌ</t>
    </rPh>
    <rPh sb="2" eb="3">
      <t>ユカ</t>
    </rPh>
    <phoneticPr fontId="22"/>
  </si>
  <si>
    <t>備考　　　　注1：</t>
    <rPh sb="6" eb="7">
      <t>チュウ</t>
    </rPh>
    <phoneticPr fontId="22"/>
  </si>
  <si>
    <t>建材種別</t>
    <rPh sb="0" eb="2">
      <t>ケンザイ</t>
    </rPh>
    <rPh sb="2" eb="4">
      <t>シュベツ</t>
    </rPh>
    <phoneticPr fontId="22"/>
  </si>
  <si>
    <t>接着剤</t>
    <rPh sb="0" eb="3">
      <t>セッチャクザイ</t>
    </rPh>
    <phoneticPr fontId="22"/>
  </si>
  <si>
    <t>ビニル床タイル・シート用接着剤</t>
    <rPh sb="3" eb="4">
      <t>ユカ</t>
    </rPh>
    <rPh sb="11" eb="12">
      <t>ヨウ</t>
    </rPh>
    <rPh sb="12" eb="15">
      <t>セッチャクザイ</t>
    </rPh>
    <phoneticPr fontId="22"/>
  </si>
  <si>
    <t>タイル用接着剤</t>
    <rPh sb="3" eb="4">
      <t>ヨウ</t>
    </rPh>
    <rPh sb="4" eb="7">
      <t>セッチャクザイ</t>
    </rPh>
    <phoneticPr fontId="22"/>
  </si>
  <si>
    <t>壁紙用接着剤</t>
    <rPh sb="0" eb="2">
      <t>カベガミ</t>
    </rPh>
    <rPh sb="2" eb="3">
      <t>ヨウ</t>
    </rPh>
    <rPh sb="3" eb="6">
      <t>セッチャクザイ</t>
    </rPh>
    <phoneticPr fontId="22"/>
  </si>
  <si>
    <t>フローリングボード用接着剤</t>
    <rPh sb="9" eb="10">
      <t>ヨウ</t>
    </rPh>
    <rPh sb="10" eb="13">
      <t>セッチャクザイ</t>
    </rPh>
    <phoneticPr fontId="22"/>
  </si>
  <si>
    <t>シーリング材</t>
    <rPh sb="5" eb="6">
      <t>ザイ</t>
    </rPh>
    <phoneticPr fontId="22"/>
  </si>
  <si>
    <t>サッシ用シーリング</t>
    <rPh sb="3" eb="4">
      <t>ヨウ</t>
    </rPh>
    <phoneticPr fontId="22"/>
  </si>
  <si>
    <t>ガラス用シーリング</t>
    <rPh sb="3" eb="4">
      <t>ヨウ</t>
    </rPh>
    <phoneticPr fontId="22"/>
  </si>
  <si>
    <t>タイル目地シーリング</t>
    <rPh sb="3" eb="5">
      <t>メジ</t>
    </rPh>
    <phoneticPr fontId="22"/>
  </si>
  <si>
    <t>打ち継ぎ目地</t>
    <rPh sb="0" eb="1">
      <t>ウ</t>
    </rPh>
    <rPh sb="2" eb="3">
      <t>ツ</t>
    </rPh>
    <rPh sb="4" eb="5">
      <t>メ</t>
    </rPh>
    <rPh sb="5" eb="6">
      <t>ジ</t>
    </rPh>
    <phoneticPr fontId="22"/>
  </si>
  <si>
    <t>防水工事材料</t>
    <rPh sb="0" eb="2">
      <t>ボウスイ</t>
    </rPh>
    <rPh sb="2" eb="4">
      <t>コウジ</t>
    </rPh>
    <rPh sb="4" eb="6">
      <t>ザイリョウ</t>
    </rPh>
    <phoneticPr fontId="22"/>
  </si>
  <si>
    <t>防水工事のプライマー</t>
    <rPh sb="0" eb="2">
      <t>ボウスイ</t>
    </rPh>
    <rPh sb="2" eb="4">
      <t>コウジ</t>
    </rPh>
    <phoneticPr fontId="22"/>
  </si>
  <si>
    <t>a（傾き）</t>
    <rPh sb="2" eb="3">
      <t>カタム</t>
    </rPh>
    <phoneticPr fontId="22"/>
  </si>
  <si>
    <t>ｂ（切片）</t>
    <rPh sb="2" eb="4">
      <t>セッペン</t>
    </rPh>
    <phoneticPr fontId="22"/>
  </si>
  <si>
    <t>等級3</t>
    <rPh sb="0" eb="2">
      <t>トウキュウ</t>
    </rPh>
    <phoneticPr fontId="22"/>
  </si>
  <si>
    <t>VI その他</t>
    <phoneticPr fontId="22"/>
  </si>
  <si>
    <t>1.2.1</t>
    <phoneticPr fontId="22"/>
  </si>
  <si>
    <t>雨水利用システム導入の有無</t>
    <phoneticPr fontId="22"/>
  </si>
  <si>
    <t>1.2.2</t>
    <phoneticPr fontId="22"/>
  </si>
  <si>
    <t>2.1</t>
    <phoneticPr fontId="22"/>
  </si>
  <si>
    <t>2.1</t>
    <phoneticPr fontId="22"/>
  </si>
  <si>
    <t>2.2</t>
    <phoneticPr fontId="22"/>
  </si>
  <si>
    <t>2.2</t>
    <phoneticPr fontId="22"/>
  </si>
  <si>
    <t>2.3</t>
    <phoneticPr fontId="22"/>
  </si>
  <si>
    <t>2.3</t>
    <phoneticPr fontId="22"/>
  </si>
  <si>
    <t>2.4</t>
    <phoneticPr fontId="22"/>
  </si>
  <si>
    <t>2.4</t>
    <phoneticPr fontId="22"/>
  </si>
  <si>
    <t>2.5</t>
    <phoneticPr fontId="22"/>
  </si>
  <si>
    <t>持続可能な森林から産出された木材</t>
    <phoneticPr fontId="22"/>
  </si>
  <si>
    <t>2.6</t>
    <phoneticPr fontId="22"/>
  </si>
  <si>
    <t>事・学・物・飲・会・病・ホ・工</t>
    <rPh sb="2" eb="3">
      <t>ガク</t>
    </rPh>
    <rPh sb="4" eb="5">
      <t>ブツ</t>
    </rPh>
    <rPh sb="6" eb="7">
      <t>イン</t>
    </rPh>
    <rPh sb="8" eb="9">
      <t>カイ</t>
    </rPh>
    <rPh sb="14" eb="15">
      <t>コウ</t>
    </rPh>
    <phoneticPr fontId="22"/>
  </si>
  <si>
    <t>空気取り入れ口は敷地周囲の状況を勘案して、汚染源のない方位に設けられている。かつ、各種排気口と異なる方位か、または3ｍ以上離れて設置されている。</t>
  </si>
  <si>
    <t>2)　広告物照明における光害対策</t>
    <rPh sb="5" eb="6">
      <t>ブツ</t>
    </rPh>
    <rPh sb="6" eb="8">
      <t>ショウメイ</t>
    </rPh>
    <phoneticPr fontId="22"/>
  </si>
  <si>
    <t>S造、</t>
    <rPh sb="1" eb="2">
      <t>ゾウ</t>
    </rPh>
    <phoneticPr fontId="22"/>
  </si>
  <si>
    <t>LR2/2.2 削減分</t>
    <rPh sb="8" eb="10">
      <t>サクゲン</t>
    </rPh>
    <rPh sb="10" eb="11">
      <t>ブン</t>
    </rPh>
    <phoneticPr fontId="22"/>
  </si>
  <si>
    <t>LR2/2.3 削減分</t>
    <rPh sb="8" eb="10">
      <t>サクゲン</t>
    </rPh>
    <rPh sb="10" eb="11">
      <t>ブン</t>
    </rPh>
    <phoneticPr fontId="22"/>
  </si>
  <si>
    <t>削減後</t>
    <rPh sb="0" eb="2">
      <t>サクゲン</t>
    </rPh>
    <rPh sb="2" eb="3">
      <t>ゴ</t>
    </rPh>
    <phoneticPr fontId="22"/>
  </si>
  <si>
    <t>電力　（実排出係数）</t>
    <rPh sb="0" eb="2">
      <t>デンリョク</t>
    </rPh>
    <rPh sb="4" eb="5">
      <t>ジツ</t>
    </rPh>
    <rPh sb="5" eb="7">
      <t>ハイシュツ</t>
    </rPh>
    <rPh sb="7" eb="9">
      <t>ケイスウ</t>
    </rPh>
    <phoneticPr fontId="28"/>
  </si>
  <si>
    <t>事務室の天井高2.5m以上となっており、かつ、すべての執務者が十分な屋外の情報を得られるように窓が設置されている。</t>
    <phoneticPr fontId="22"/>
  </si>
  <si>
    <t>売場の天井高3.0m以上。</t>
    <phoneticPr fontId="22"/>
  </si>
  <si>
    <t>住居・宿泊部の天井高2.3m以上。</t>
    <phoneticPr fontId="22"/>
  </si>
  <si>
    <t>事務室の天井高2.7m以上となっており、かつ、すべての執務者が十分な屋外の情報を得られるように窓が設置されている。</t>
    <phoneticPr fontId="22"/>
  </si>
  <si>
    <t>売場の天井高3.3m以上。</t>
    <phoneticPr fontId="22"/>
  </si>
  <si>
    <t>住居・宿泊部の天井高2.5m以上。</t>
    <phoneticPr fontId="22"/>
  </si>
  <si>
    <t>教室・専有部のほぼ全体（80%以上）が、外皮に２方向面しており、有効な採光・通風が確保されている。</t>
    <rPh sb="0" eb="2">
      <t>キョウシツ</t>
    </rPh>
    <rPh sb="3" eb="5">
      <t>センユウ</t>
    </rPh>
    <rPh sb="5" eb="6">
      <t>ブ</t>
    </rPh>
    <phoneticPr fontId="22"/>
  </si>
  <si>
    <t>2300N/㎡以上～2900N/㎡未満</t>
    <phoneticPr fontId="22"/>
  </si>
  <si>
    <t>1800N/㎡以上～2100N/㎡未満</t>
    <phoneticPr fontId="22"/>
  </si>
  <si>
    <t>3500N/㎡以上～4500N/㎡未満</t>
    <phoneticPr fontId="22"/>
  </si>
  <si>
    <t>4200N/㎡以上～5200N/㎡未満</t>
    <phoneticPr fontId="22"/>
  </si>
  <si>
    <t>適正な水圧、防音管巻き、管の防振支持金具、便器の防振支持、浴室の防振支持、位置など</t>
    <rPh sb="0" eb="2">
      <t>テキセイ</t>
    </rPh>
    <rPh sb="3" eb="5">
      <t>スイアツ</t>
    </rPh>
    <rPh sb="6" eb="8">
      <t>ボウオン</t>
    </rPh>
    <rPh sb="8" eb="9">
      <t>カン</t>
    </rPh>
    <rPh sb="9" eb="10">
      <t>マ</t>
    </rPh>
    <rPh sb="12" eb="13">
      <t>カン</t>
    </rPh>
    <rPh sb="14" eb="16">
      <t>ボウシン</t>
    </rPh>
    <rPh sb="16" eb="18">
      <t>シジ</t>
    </rPh>
    <rPh sb="18" eb="20">
      <t>カナグ</t>
    </rPh>
    <rPh sb="21" eb="23">
      <t>ベンキ</t>
    </rPh>
    <rPh sb="24" eb="28">
      <t>ボウシンシジ</t>
    </rPh>
    <rPh sb="29" eb="31">
      <t>ヨクシツ</t>
    </rPh>
    <rPh sb="32" eb="36">
      <t>ボウシンシジ</t>
    </rPh>
    <rPh sb="37" eb="39">
      <t>イチ</t>
    </rPh>
    <phoneticPr fontId="22"/>
  </si>
  <si>
    <t>ウォーターハンマー</t>
  </si>
  <si>
    <t>適正な水圧、ウォーターハンマー防止器の採用など</t>
  </si>
  <si>
    <t>エアコン室内機等からの騒音</t>
  </si>
  <si>
    <t>低騒音タイプの機器の採用など</t>
  </si>
  <si>
    <t>エアコン室外機からの騒音</t>
  </si>
  <si>
    <t>防振ゴム、防振マット、低騒音タイプの機器</t>
  </si>
  <si>
    <t>換気扇からの騒音</t>
    <rPh sb="6" eb="8">
      <t>ソウオン</t>
    </rPh>
    <phoneticPr fontId="22"/>
  </si>
  <si>
    <t>遮音</t>
    <rPh sb="0" eb="2">
      <t>シャオン</t>
    </rPh>
    <phoneticPr fontId="22"/>
  </si>
  <si>
    <r>
      <t xml:space="preserve">1.2.1 </t>
    </r>
    <r>
      <rPr>
        <b/>
        <sz val="10"/>
        <rFont val="ＭＳ Ｐゴシック"/>
        <family val="3"/>
        <charset val="128"/>
      </rPr>
      <t>開口部遮音性能</t>
    </r>
    <rPh sb="6" eb="9">
      <t>カイコウブ</t>
    </rPh>
    <rPh sb="9" eb="11">
      <t>シャオン</t>
    </rPh>
    <phoneticPr fontId="22"/>
  </si>
  <si>
    <t>建物全体・共用部分</t>
    <phoneticPr fontId="22"/>
  </si>
  <si>
    <t>事・学・物・飲・会・病・ホ・工・住</t>
    <rPh sb="4" eb="5">
      <t>ブツ</t>
    </rPh>
    <rPh sb="8" eb="9">
      <t>カイ</t>
    </rPh>
    <phoneticPr fontId="22"/>
  </si>
  <si>
    <t>騒音が気になる。</t>
    <rPh sb="0" eb="2">
      <t>ソウオン</t>
    </rPh>
    <rPh sb="3" eb="4">
      <t>キ</t>
    </rPh>
    <phoneticPr fontId="22"/>
  </si>
  <si>
    <t>騒音がほとんど気にならない。</t>
    <rPh sb="0" eb="2">
      <t>ソウオン</t>
    </rPh>
    <rPh sb="7" eb="8">
      <t>キ</t>
    </rPh>
    <phoneticPr fontId="22"/>
  </si>
  <si>
    <t>騒音が気にならない</t>
    <rPh sb="0" eb="2">
      <t>ソウオン</t>
    </rPh>
    <rPh sb="3" eb="4">
      <t>キ</t>
    </rPh>
    <phoneticPr fontId="22"/>
  </si>
  <si>
    <t>騒音が気にならない。</t>
    <rPh sb="0" eb="2">
      <t>ソウオン</t>
    </rPh>
    <rPh sb="3" eb="4">
      <t>キ</t>
    </rPh>
    <phoneticPr fontId="22"/>
  </si>
  <si>
    <t>窓システム、外壁、屋根や床（特にピロティ）において、室内への熱の侵入に対して、十分な配慮がなされており、最良の日射遮蔽性能および断熱性能を有する。
（窓システムSC：0.2程度、U=3.0(W/m2K) 程度、外壁その他：U=1.0(W/m2K) 程度）</t>
  </si>
  <si>
    <t xml:space="preserve">  レベル 2</t>
  </si>
  <si>
    <t xml:space="preserve">  レベル 3</t>
  </si>
  <si>
    <t xml:space="preserve">  レベル 4</t>
  </si>
  <si>
    <t xml:space="preserve">  レベル 5</t>
  </si>
  <si>
    <t>1.0％≦ [昼光率] ＜1.25％</t>
    <phoneticPr fontId="22"/>
  </si>
  <si>
    <t>1.25％≦ [昼光率]</t>
    <phoneticPr fontId="22"/>
  </si>
  <si>
    <t xml:space="preserve">2.0％≦ [昼光率] </t>
    <phoneticPr fontId="22"/>
  </si>
  <si>
    <t>住居・宿泊部分</t>
    <phoneticPr fontId="22"/>
  </si>
  <si>
    <t>-</t>
    <phoneticPr fontId="22"/>
  </si>
  <si>
    <t>建物全体・共用部分</t>
    <phoneticPr fontId="22"/>
  </si>
  <si>
    <t>-</t>
    <phoneticPr fontId="22"/>
  </si>
  <si>
    <t>昼光利用設備がない。</t>
    <phoneticPr fontId="22"/>
  </si>
  <si>
    <t>効率評価の事例</t>
    <rPh sb="0" eb="2">
      <t>コウリツ</t>
    </rPh>
    <rPh sb="2" eb="4">
      <t>ヒョウカ</t>
    </rPh>
    <rPh sb="5" eb="7">
      <t>ジレイ</t>
    </rPh>
    <phoneticPr fontId="22"/>
  </si>
  <si>
    <t>設備項目</t>
  </si>
  <si>
    <t>評価項目</t>
  </si>
  <si>
    <t>評価概要</t>
  </si>
  <si>
    <t>備考</t>
  </si>
  <si>
    <t>熱源設備</t>
  </si>
  <si>
    <t>熱源機COP評価</t>
  </si>
  <si>
    <t>製造熱量/熱源機消費エネルギー（1次エネルギー基準）</t>
  </si>
  <si>
    <t>熱源システムCOP評価</t>
  </si>
  <si>
    <t>製造熱量/熱源機+補機消費エネルギー（1次エネルギー基準）</t>
  </si>
  <si>
    <t>地域冷暖房導入を含む</t>
  </si>
  <si>
    <t>熱媒搬送WTF</t>
  </si>
  <si>
    <t>等級1</t>
    <rPh sb="0" eb="2">
      <t>トウキュウ</t>
    </rPh>
    <phoneticPr fontId="22"/>
  </si>
  <si>
    <t>等級2</t>
    <rPh sb="0" eb="2">
      <t>トウキュウ</t>
    </rPh>
    <phoneticPr fontId="22"/>
  </si>
  <si>
    <t>等級4</t>
    <rPh sb="0" eb="2">
      <t>トウキュウ</t>
    </rPh>
    <phoneticPr fontId="22"/>
  </si>
  <si>
    <t>等級未入力</t>
    <rPh sb="0" eb="2">
      <t>トウキュウ</t>
    </rPh>
    <rPh sb="2" eb="5">
      <t>ミニュウリョク</t>
    </rPh>
    <phoneticPr fontId="22"/>
  </si>
  <si>
    <t>MJ/年㎡</t>
    <rPh sb="3" eb="4">
      <t>ネン</t>
    </rPh>
    <phoneticPr fontId="22"/>
  </si>
  <si>
    <t>レベル３を満たし、かつ複数の機器の使い分けが可能</t>
    <rPh sb="11" eb="13">
      <t>フクスウ</t>
    </rPh>
    <rPh sb="14" eb="16">
      <t>キキ</t>
    </rPh>
    <rPh sb="17" eb="18">
      <t>ツカ</t>
    </rPh>
    <rPh sb="19" eb="20">
      <t>ワ</t>
    </rPh>
    <rPh sb="22" eb="24">
      <t>カノウ</t>
    </rPh>
    <phoneticPr fontId="22"/>
  </si>
  <si>
    <r>
      <t xml:space="preserve">3.3.2 </t>
    </r>
    <r>
      <rPr>
        <b/>
        <sz val="10"/>
        <rFont val="ＭＳ Ｐゴシック"/>
        <family val="3"/>
        <charset val="128"/>
      </rPr>
      <t>照度均斉度</t>
    </r>
    <rPh sb="6" eb="8">
      <t>ショウド</t>
    </rPh>
    <rPh sb="8" eb="10">
      <t>キンセイ</t>
    </rPh>
    <rPh sb="10" eb="11">
      <t>ド</t>
    </rPh>
    <phoneticPr fontId="22"/>
  </si>
  <si>
    <t>事・学・病(診)・ホ・工・住</t>
    <rPh sb="2" eb="3">
      <t>ガク</t>
    </rPh>
    <rPh sb="6" eb="7">
      <t>ミ</t>
    </rPh>
    <phoneticPr fontId="22"/>
  </si>
  <si>
    <t>全般照明方式の場合で室内に許容できる程度の暗い部分がある。タスク・アンビエント照明方式の場合で作業面の明るさと周りの明るさのバランスが不十分。</t>
    <rPh sb="41" eb="43">
      <t>ホウシキ</t>
    </rPh>
    <phoneticPr fontId="22"/>
  </si>
  <si>
    <t>全般照明方式の場合で室内に暗い部分がない。タスク・アンビエント照明方式の場合で作業面の明るさと周りの明るさのバランスが良い。</t>
    <rPh sb="33" eb="35">
      <t>ホウシキ</t>
    </rPh>
    <phoneticPr fontId="22"/>
  </si>
  <si>
    <t>明るさや学習形態に応じた制御区画ではない。</t>
  </si>
  <si>
    <t>照明制御ができない。</t>
  </si>
  <si>
    <t>複数ベッド単位の大まかな照明制御ができる。</t>
  </si>
  <si>
    <t>室内で大まかな照明制御ができる。</t>
  </si>
  <si>
    <t>ベッド単位の細かな照明制御ができる。</t>
  </si>
  <si>
    <t>室内の複数部分に対して細かい照明制御ができる、または、自動照明制御ができる。</t>
    <rPh sb="27" eb="29">
      <t>ジドウ</t>
    </rPh>
    <rPh sb="29" eb="31">
      <t>ショウメイ</t>
    </rPh>
    <rPh sb="31" eb="33">
      <t>セイギョ</t>
    </rPh>
    <phoneticPr fontId="22"/>
  </si>
  <si>
    <t>４作業単位で照明制御できる、または、照明制御盤・器具等で調整できる。</t>
    <rPh sb="6" eb="8">
      <t>ショウメイ</t>
    </rPh>
    <phoneticPr fontId="22"/>
  </si>
  <si>
    <t>21年以上～30年未満</t>
  </si>
  <si>
    <t>30年以上</t>
  </si>
  <si>
    <r>
      <t xml:space="preserve">2.2.4 </t>
    </r>
    <r>
      <rPr>
        <b/>
        <sz val="10"/>
        <rFont val="ＭＳ Ｐゴシック"/>
        <family val="3"/>
        <charset val="128"/>
      </rPr>
      <t>空調換気ダクトの更新必要間隔</t>
    </r>
    <rPh sb="6" eb="8">
      <t>クウチョウ</t>
    </rPh>
    <rPh sb="8" eb="10">
      <t>カンキ</t>
    </rPh>
    <phoneticPr fontId="22"/>
  </si>
  <si>
    <t>5年以上～10年未満</t>
  </si>
  <si>
    <t>10年以上～15年未満</t>
  </si>
  <si>
    <t>10年</t>
  </si>
  <si>
    <t>15年</t>
  </si>
  <si>
    <t>ほぼ全てに亜鉛鉄板を使用</t>
    <rPh sb="2" eb="3">
      <t>スベ</t>
    </rPh>
    <rPh sb="5" eb="7">
      <t>アエン</t>
    </rPh>
    <rPh sb="7" eb="9">
      <t>テッパン</t>
    </rPh>
    <rPh sb="10" eb="12">
      <t>シヨウ</t>
    </rPh>
    <phoneticPr fontId="22"/>
  </si>
  <si>
    <t>日影規制を満たしている、または当該敷地に日影規制が無い場合。</t>
    <phoneticPr fontId="22"/>
  </si>
  <si>
    <r>
      <t>日影規制に対して１ランク上</t>
    </r>
    <r>
      <rPr>
        <vertAlign val="superscript"/>
        <sz val="9"/>
        <rFont val="ＭＳ Ｐゴシック"/>
        <family val="3"/>
        <charset val="128"/>
      </rPr>
      <t>*</t>
    </r>
    <r>
      <rPr>
        <sz val="9"/>
        <rFont val="ＭＳ Ｐゴシック"/>
        <family val="3"/>
        <charset val="128"/>
      </rPr>
      <t>の基準を満たしている</t>
    </r>
    <phoneticPr fontId="22"/>
  </si>
  <si>
    <t>*日照阻害の抑制において、1ランク上とは、例えば近隣商業地域で日影規制が5時間/3時間（5m、10m）の場合、それより1つ厳しい基準が準住居地域で、4時間/2.5時間とすると、準住居地域の日影規制を満たしている場合である。</t>
    <phoneticPr fontId="22"/>
  </si>
  <si>
    <r>
      <t>3.3.1</t>
    </r>
    <r>
      <rPr>
        <b/>
        <sz val="10"/>
        <rFont val="ＭＳ Ｐゴシック"/>
        <family val="3"/>
        <charset val="128"/>
      </rPr>
      <t>　屋外照明及び屋内照明のうち外に漏れる光への対策</t>
    </r>
    <phoneticPr fontId="22"/>
  </si>
  <si>
    <t>3.3.2</t>
    <phoneticPr fontId="22"/>
  </si>
  <si>
    <t>昼光の建物外壁による反射光（グレア）への対策</t>
    <phoneticPr fontId="34" type="noConversion"/>
  </si>
  <si>
    <t>d. LCCO2算定条件</t>
    <rPh sb="8" eb="10">
      <t>サンテイ</t>
    </rPh>
    <rPh sb="10" eb="12">
      <t>ジョウケン</t>
    </rPh>
    <phoneticPr fontId="22"/>
  </si>
  <si>
    <t>各建築物に適用されている法律、規則、基準などに則り、ねずみ等の点検・防除を定期的に実施している。
※法律、規則、基準などがない建築物の場合は年1回のねずみ等の点検・防除を実施している。</t>
    <phoneticPr fontId="22"/>
  </si>
  <si>
    <t>建築物環境衛生管理基準レベルのねずみ等の点検・防除を実施し、記録を保管している。</t>
    <phoneticPr fontId="22"/>
  </si>
  <si>
    <t>給水・給湯管理（飲用・炊事用・浴用等）は何も実施していない。</t>
    <phoneticPr fontId="22"/>
  </si>
  <si>
    <t>「水道法」に基づき、受水槽の清掃や水質の外部検査を年1回実施し、改善している。
※直結式給水で受水槽がない場合は取組み「0点」として評価する。</t>
    <phoneticPr fontId="22"/>
  </si>
  <si>
    <t>建築物環境衛生管理基準レベルの給水・給湯管理（飲用・炊事用・浴用等）を実施し、記録を保管している。</t>
    <phoneticPr fontId="22"/>
  </si>
  <si>
    <t>ON</t>
  </si>
  <si>
    <t>-</t>
    <phoneticPr fontId="22"/>
  </si>
  <si>
    <r>
      <t xml:space="preserve">2.1.2 </t>
    </r>
    <r>
      <rPr>
        <b/>
        <sz val="10"/>
        <rFont val="ＭＳ Ｐゴシック"/>
        <family val="3"/>
        <charset val="128"/>
      </rPr>
      <t>外皮性能</t>
    </r>
    <rPh sb="6" eb="8">
      <t>ガイヒ</t>
    </rPh>
    <rPh sb="8" eb="10">
      <t>セイノウ</t>
    </rPh>
    <phoneticPr fontId="22"/>
  </si>
  <si>
    <t>負荷変動・追従制御性</t>
    <phoneticPr fontId="22"/>
  </si>
  <si>
    <t>窓システム、外壁、屋根や床（特にピロティ）において、室内への熱の侵入に対しての配慮がなされており、実用上、日射遮蔽性能および断熱性能に問題がない。
（窓システムSC：0.5程度、U=4.0(W/m2K) 程度、外壁・その他：U=2.0(W/m2K) 程度）</t>
    <phoneticPr fontId="22"/>
  </si>
  <si>
    <t>窓システム、外壁、屋根や床（特にピロティ）において、室内への熱の侵入に対しての配慮がなされており、実用上、日射遮蔽性能および断熱性能に問題がない。（窓システムSC：0.5程度、U=4.0(W/m2K)程度、外壁その他：U=2.0(W/m2K)程度）</t>
    <phoneticPr fontId="22"/>
  </si>
  <si>
    <t>窓システム、外壁、屋根や床（特にピロティ）において、室内への熱の侵入に対して、十分な配慮がなされており、最良の日射遮蔽性能および断熱性能を有する。（窓システムSC：0.2程度、U=3.0(W/m2K)程度、外壁その他：U=1.0(W/m2K)程度）</t>
    <phoneticPr fontId="22"/>
  </si>
  <si>
    <r>
      <t xml:space="preserve">2.1.3 </t>
    </r>
    <r>
      <rPr>
        <b/>
        <sz val="10"/>
        <rFont val="ＭＳ Ｐゴシック"/>
        <family val="3"/>
        <charset val="128"/>
      </rPr>
      <t>ゾーン別制御性</t>
    </r>
    <rPh sb="9" eb="10">
      <t>ベツ</t>
    </rPh>
    <rPh sb="10" eb="13">
      <t>セイギョセイ</t>
    </rPh>
    <phoneticPr fontId="22"/>
  </si>
  <si>
    <r>
      <t xml:space="preserve">3.2.1 </t>
    </r>
    <r>
      <rPr>
        <b/>
        <sz val="10"/>
        <rFont val="ＭＳ Ｐゴシック"/>
        <family val="3"/>
        <charset val="128"/>
      </rPr>
      <t>昼光制御</t>
    </r>
    <rPh sb="6" eb="7">
      <t>ヒル</t>
    </rPh>
    <rPh sb="7" eb="8">
      <t>ヒカリ</t>
    </rPh>
    <rPh sb="8" eb="10">
      <t>セイギョ</t>
    </rPh>
    <phoneticPr fontId="22"/>
  </si>
  <si>
    <r>
      <t>3.2.2</t>
    </r>
    <r>
      <rPr>
        <b/>
        <sz val="10"/>
        <rFont val="ＭＳ Ｐゴシック"/>
        <family val="3"/>
        <charset val="128"/>
      </rPr>
      <t>　映り込み対策</t>
    </r>
    <rPh sb="6" eb="7">
      <t>ウツ</t>
    </rPh>
    <rPh sb="8" eb="9">
      <t>コ</t>
    </rPh>
    <rPh sb="10" eb="12">
      <t>タイサク</t>
    </rPh>
    <phoneticPr fontId="22"/>
  </si>
  <si>
    <t>レベル３に加えて年間エネルギー消費量の計算に基づく、建物全体のエネルギー消費量の目標値が計画され、建築主に提出されている。</t>
    <phoneticPr fontId="22"/>
  </si>
  <si>
    <t>レベル４に加えて、運用時の定期的な設備性能検証、不具合是正等の具体的な実施方策が計画されている。（コミッショニング）</t>
    <phoneticPr fontId="22"/>
  </si>
  <si>
    <t>採点シートの
採点結果</t>
    <rPh sb="0" eb="2">
      <t>サイテン</t>
    </rPh>
    <rPh sb="7" eb="9">
      <t>サイテン</t>
    </rPh>
    <rPh sb="9" eb="11">
      <t>ケッカ</t>
    </rPh>
    <phoneticPr fontId="22"/>
  </si>
  <si>
    <t>※参照建物の一次エネルギー消費量(参照値)はレベル３相当とする。</t>
    <rPh sb="1" eb="3">
      <t>サンショウ</t>
    </rPh>
    <rPh sb="3" eb="5">
      <t>タテモノ</t>
    </rPh>
    <rPh sb="6" eb="8">
      <t>イチジ</t>
    </rPh>
    <rPh sb="13" eb="16">
      <t>ショウヒリョウ</t>
    </rPh>
    <rPh sb="17" eb="19">
      <t>サンショウ</t>
    </rPh>
    <rPh sb="19" eb="20">
      <t>チ</t>
    </rPh>
    <rPh sb="26" eb="28">
      <t>ソウトウ</t>
    </rPh>
    <phoneticPr fontId="22"/>
  </si>
  <si>
    <t>Ａａ0</t>
    <phoneticPr fontId="22"/>
  </si>
  <si>
    <t>Ａｂ0</t>
    <phoneticPr fontId="22"/>
  </si>
  <si>
    <t>Ｂａ0</t>
    <phoneticPr fontId="22"/>
  </si>
  <si>
    <t>Ｂｂ0</t>
    <phoneticPr fontId="22"/>
  </si>
  <si>
    <t>Ｃａ0</t>
    <phoneticPr fontId="22"/>
  </si>
  <si>
    <t>Ｃｂ0</t>
    <phoneticPr fontId="22"/>
  </si>
  <si>
    <t>Ｃｂ1</t>
    <phoneticPr fontId="22"/>
  </si>
  <si>
    <t>集合住宅以外の評価(3a.3b)</t>
    <rPh sb="0" eb="2">
      <t>シュウゴウ</t>
    </rPh>
    <rPh sb="2" eb="4">
      <t>ジュウタク</t>
    </rPh>
    <rPh sb="4" eb="6">
      <t>イガイ</t>
    </rPh>
    <rPh sb="7" eb="9">
      <t>ヒョウカ</t>
    </rPh>
    <phoneticPr fontId="22"/>
  </si>
  <si>
    <t>集合住宅の評価(3c)</t>
    <rPh sb="0" eb="2">
      <t>シュウゴウ</t>
    </rPh>
    <rPh sb="2" eb="4">
      <t>ジュウタク</t>
    </rPh>
    <rPh sb="5" eb="7">
      <t>ヒョウカ</t>
    </rPh>
    <phoneticPr fontId="22"/>
  </si>
  <si>
    <t>算定プログラムによる評価</t>
    <rPh sb="0" eb="2">
      <t>サンテイ</t>
    </rPh>
    <rPh sb="10" eb="12">
      <t>ヒョウカ</t>
    </rPh>
    <phoneticPr fontId="22"/>
  </si>
  <si>
    <t>Ａ：単位住戸全体を暖房する方式</t>
  </si>
  <si>
    <t>Ｂ：居室のみを暖房する方式（連続運転）</t>
  </si>
  <si>
    <t>Ｃ：居室のみを暖房する方式（間歇運転）</t>
  </si>
  <si>
    <t>－：上記以外（不明な場合を含む）</t>
    <rPh sb="2" eb="4">
      <t>ジョウキ</t>
    </rPh>
    <rPh sb="4" eb="6">
      <t>イガイ</t>
    </rPh>
    <rPh sb="7" eb="9">
      <t>フメイ</t>
    </rPh>
    <rPh sb="10" eb="12">
      <t>バアイ</t>
    </rPh>
    <rPh sb="13" eb="14">
      <t>フク</t>
    </rPh>
    <phoneticPr fontId="4"/>
  </si>
  <si>
    <t>ａ ：単位住戸全体を冷房する方式</t>
  </si>
  <si>
    <t>ｂ ：居室のみを冷房する方式（間歇運転）</t>
  </si>
  <si>
    <t>採点レベル</t>
    <rPh sb="0" eb="2">
      <t>サイテン</t>
    </rPh>
    <phoneticPr fontId="22"/>
  </si>
  <si>
    <t>「－」の場合</t>
    <phoneticPr fontId="22"/>
  </si>
  <si>
    <t>算定プログラムを使わない場合の評価</t>
    <rPh sb="0" eb="2">
      <t>サンテイ</t>
    </rPh>
    <rPh sb="8" eb="9">
      <t>ツカ</t>
    </rPh>
    <rPh sb="12" eb="14">
      <t>バアイ</t>
    </rPh>
    <rPh sb="15" eb="17">
      <t>ヒョウカ</t>
    </rPh>
    <phoneticPr fontId="22"/>
  </si>
  <si>
    <t>3a.3b</t>
    <phoneticPr fontId="22"/>
  </si>
  <si>
    <t>3b.c</t>
    <phoneticPr fontId="22"/>
  </si>
  <si>
    <t>㎡</t>
    <phoneticPr fontId="22"/>
  </si>
  <si>
    <t>LR1/2. 自然ｴﾈﾙｷﾞｰ利用</t>
    <rPh sb="7" eb="9">
      <t>シゼン</t>
    </rPh>
    <rPh sb="15" eb="17">
      <t>リヨウ</t>
    </rPh>
    <phoneticPr fontId="22"/>
  </si>
  <si>
    <t>図を貼り付けるときは</t>
    <rPh sb="0" eb="1">
      <t>ズ</t>
    </rPh>
    <rPh sb="2" eb="3">
      <t>ハ</t>
    </rPh>
    <rPh sb="4" eb="5">
      <t>ツ</t>
    </rPh>
    <phoneticPr fontId="22"/>
  </si>
  <si>
    <t>シートの保護を解除してください</t>
    <phoneticPr fontId="22"/>
  </si>
  <si>
    <t xml:space="preserve">評価する取組みのうち、何れの手法も採用していない。または、何れかの手法が採用されているが、有効性は検討されていない。
 </t>
    <rPh sb="11" eb="12">
      <t>イズ</t>
    </rPh>
    <rPh sb="14" eb="16">
      <t>シュホウ</t>
    </rPh>
    <rPh sb="17" eb="19">
      <t>サイヨウ</t>
    </rPh>
    <phoneticPr fontId="22"/>
  </si>
  <si>
    <t>評価する取組みのうち、何れかの手法が有効性を検討した上で採用されている。（但し、モニュメントの計画を除く。）</t>
    <phoneticPr fontId="22"/>
  </si>
  <si>
    <t>対象外</t>
    <rPh sb="0" eb="3">
      <t>タイショウガイ</t>
    </rPh>
    <phoneticPr fontId="22"/>
  </si>
  <si>
    <t>設計仕様に基づく評価</t>
    <phoneticPr fontId="22"/>
  </si>
  <si>
    <t>（１）　設計仕様に基づく評価の補正</t>
    <phoneticPr fontId="22"/>
  </si>
  <si>
    <t>（２）　実測結果に基づく評価</t>
    <phoneticPr fontId="22"/>
  </si>
  <si>
    <t>Ⅰ 建築物衛生法における特定建築物の場合に評価する取組み</t>
    <rPh sb="2" eb="5">
      <t>ケンチクブツ</t>
    </rPh>
    <rPh sb="5" eb="8">
      <t>エイセイホウ</t>
    </rPh>
    <rPh sb="12" eb="14">
      <t>トクテイ</t>
    </rPh>
    <rPh sb="14" eb="17">
      <t>ケンチクブツ</t>
    </rPh>
    <rPh sb="18" eb="20">
      <t>バアイ</t>
    </rPh>
    <rPh sb="21" eb="23">
      <t>ヒョウカ</t>
    </rPh>
    <rPh sb="25" eb="27">
      <t>トリク</t>
    </rPh>
    <phoneticPr fontId="22"/>
  </si>
  <si>
    <t>評価内容</t>
    <phoneticPr fontId="22"/>
  </si>
  <si>
    <t>1) 業務仕様</t>
    <phoneticPr fontId="22"/>
  </si>
  <si>
    <t>清掃管理および設備管理仕様書の基本方針において環境配慮を明示している。</t>
  </si>
  <si>
    <t>安定した品質を維持するために業務契約期間を2年以上としている。</t>
  </si>
  <si>
    <t>清掃管理と設備管理における業務標準手順書を用意している。</t>
  </si>
  <si>
    <t>4) インスペクション</t>
    <phoneticPr fontId="22"/>
  </si>
  <si>
    <t>清掃および設備の維持管理状態のインスペクション記録がある。</t>
  </si>
  <si>
    <t>外気に接するガラス･照明の清掃を含めた計画書がある。</t>
  </si>
  <si>
    <t>年1回以上の環境等をテーマにしたトレーニングの計画と記録がある。</t>
  </si>
  <si>
    <t>7) EMS</t>
    <phoneticPr fontId="22"/>
  </si>
  <si>
    <t>管理者が外部評価による環境マネジメントシステム(EMS)の認証を得ている。</t>
  </si>
  <si>
    <t>Ⅱ 建築物衛生法における特定建築物に該当しない建築物の場合に評価する取組み</t>
    <phoneticPr fontId="22"/>
  </si>
  <si>
    <t>施設清掃や設備点検･清掃の箇所別頻度の設定がなされている。</t>
  </si>
  <si>
    <t>施設清掃と設備点検･清掃における各責任者･委託先が決められている。</t>
  </si>
  <si>
    <t>施設清掃と設備点検･清掃における作業手順書やマニュアルを用意している。</t>
  </si>
  <si>
    <t>施設清掃と設備点検･清掃の点検記録がある。</t>
  </si>
  <si>
    <t>施設清掃や設備点検･清掃の実施記録がある。</t>
  </si>
  <si>
    <t>施設清掃と設備点検･清掃の点検結果を共有する機会を設けている。</t>
  </si>
  <si>
    <t>Ⅱ 建築物衛生法における特定建築物に該当しない建築物の場合に評価する取組み</t>
  </si>
  <si>
    <t>評価内容</t>
    <phoneticPr fontId="22"/>
  </si>
  <si>
    <t>充分な長さのエントランスマットを設置している。(外部、内部含む5ｍ以上)</t>
    <phoneticPr fontId="22"/>
  </si>
  <si>
    <t>ある程度の長さのエントランスマットを設置している。</t>
    <phoneticPr fontId="22"/>
  </si>
  <si>
    <t>① 清掃業務において効果的な方法を採用している。</t>
    <phoneticPr fontId="22"/>
  </si>
  <si>
    <t>-</t>
    <phoneticPr fontId="22"/>
  </si>
  <si>
    <t>② 清掃業務において環境影響の少ない方法を採用している。</t>
    <phoneticPr fontId="22"/>
  </si>
  <si>
    <t>① トイレ、共用部、厨房、玄関マットは毎日、清掃を実施する事としている。</t>
    <phoneticPr fontId="22"/>
  </si>
  <si>
    <t>② 希釈をする洗浄剤の希釈方法を明記している。</t>
    <phoneticPr fontId="22"/>
  </si>
  <si>
    <r>
      <t>①</t>
    </r>
    <r>
      <rPr>
        <sz val="9"/>
        <rFont val="ＭＳ Ｐゴシック"/>
        <family val="3"/>
        <charset val="128"/>
      </rPr>
      <t xml:space="preserve"> 環境ラベル取得製品の採用。(エコマーク、グリーンマークなど)</t>
    </r>
    <phoneticPr fontId="22"/>
  </si>
  <si>
    <t>① 環境ラベル取得製品を採用している。（エコマーク、グリーンマークなど）</t>
    <phoneticPr fontId="22"/>
  </si>
  <si>
    <t>② 清掃用ケミカルのⅰ 床用保護剤、ⅱ 床用洗浄剤(カーペット含む)、ⅲ トイレ用洗浄剤、ⅳ ガラス用洗浄剤の4製品に関して、環境負荷と安全に配慮した製品を採用している。(判定表を参照)</t>
    <phoneticPr fontId="22"/>
  </si>
  <si>
    <t>② 清掃資材専用の保管スペースがある。</t>
    <phoneticPr fontId="22"/>
  </si>
  <si>
    <t>③ トイレ、共用部、厨房などの清掃に使用するケミカルの2種類以上についてMSDS（化学物質安全データシート）を保管している。</t>
    <phoneticPr fontId="22"/>
  </si>
  <si>
    <t>① トイレ清掃では除菌剤配合洗剤を使用している。</t>
    <phoneticPr fontId="22"/>
  </si>
  <si>
    <t>② 感染防止を考慮した嘔吐物の処理方法がある。</t>
    <phoneticPr fontId="22"/>
  </si>
  <si>
    <t>手袋、メガネ、マスクなどの保護具の着用を促している。</t>
    <phoneticPr fontId="22"/>
  </si>
  <si>
    <t>水素イオン濃度（pH）</t>
  </si>
  <si>
    <t>原液＝pH5～pH9である事。</t>
  </si>
  <si>
    <t>ⅰ 床用保護剤</t>
  </si>
  <si>
    <t>ⅱ 床用洗浄剤
ⅲ トイレ用洗浄剤
ⅳ ガラス用洗浄剤</t>
    <phoneticPr fontId="22"/>
  </si>
  <si>
    <t>LD50：＞2,000mg/kgである事。</t>
  </si>
  <si>
    <t>製品が定める最も高濃度希釈時のVOC含有率が洗浄剤＜1%　床用保護剤＜7%である事。（沸点260℃未満のVOC対象）</t>
  </si>
  <si>
    <t>特定化学物質の環境への排出量の把握等及び管理の改善の促進に関する法律（ＰＲＴＲ法）の「第一種指定化学物質」と「第二種指定化学物質」が指定割合以下である事。</t>
  </si>
  <si>
    <t>(該当するレベルなし)</t>
    <phoneticPr fontId="22"/>
  </si>
  <si>
    <t>延床面積500㎡以下の建築物は
レベル3とする。
注）500㎡以下の建物は直接入力により、レベル3を選択してください。</t>
    <phoneticPr fontId="22"/>
  </si>
  <si>
    <r>
      <t>建築物環境衛生管理基準を満たし、</t>
    </r>
    <r>
      <rPr>
        <sz val="9"/>
        <rFont val="ＭＳ Ｐゴシック"/>
        <family val="3"/>
        <charset val="128"/>
      </rPr>
      <t>6ヶ月に1回の点検および防除を行っている。</t>
    </r>
    <rPh sb="18" eb="19">
      <t>ゲツ</t>
    </rPh>
    <rPh sb="21" eb="22">
      <t>カイ</t>
    </rPh>
    <rPh sb="23" eb="25">
      <t>テンケン</t>
    </rPh>
    <rPh sb="28" eb="30">
      <t>ボウジョ</t>
    </rPh>
    <rPh sb="31" eb="32">
      <t>オコナ</t>
    </rPh>
    <phoneticPr fontId="22"/>
  </si>
  <si>
    <t>主要機器は耐用年数以内である。</t>
    <phoneticPr fontId="22"/>
  </si>
  <si>
    <t>主要機器は耐用年数以内である。</t>
    <phoneticPr fontId="22"/>
  </si>
  <si>
    <t>全て耐用年数以内である。</t>
    <phoneticPr fontId="22"/>
  </si>
  <si>
    <r>
      <t>3.2</t>
    </r>
    <r>
      <rPr>
        <b/>
        <sz val="12"/>
        <rFont val="ＭＳ Ｐゴシック"/>
        <family val="3"/>
        <charset val="128"/>
      </rPr>
      <t>　実績値を用いた総合評価</t>
    </r>
    <phoneticPr fontId="22"/>
  </si>
  <si>
    <t>[3.1a、3.1bによる設備システムの高効率化のスコア]が2.0点未満</t>
  </si>
  <si>
    <t>[3,1a、3.1bによる設備システムの高効率化のスコア]が2.0点以上</t>
  </si>
  <si>
    <t>スコア-1.0</t>
  </si>
  <si>
    <t>（１）によるスコア</t>
    <phoneticPr fontId="22"/>
  </si>
  <si>
    <t>加点あり</t>
    <rPh sb="0" eb="2">
      <t>カテン</t>
    </rPh>
    <phoneticPr fontId="22"/>
  </si>
  <si>
    <t>上下なし</t>
    <rPh sb="0" eb="2">
      <t>ジョウゲ</t>
    </rPh>
    <phoneticPr fontId="22"/>
  </si>
  <si>
    <t>減点あり</t>
    <rPh sb="0" eb="2">
      <t>ゲンテン</t>
    </rPh>
    <phoneticPr fontId="22"/>
  </si>
  <si>
    <t>1.0以上1.5未満</t>
  </si>
  <si>
    <t>1.5以上2.0未満</t>
  </si>
  <si>
    <t>2.0以上2.5未満</t>
  </si>
  <si>
    <t>2.5以上3.0未満</t>
  </si>
  <si>
    <t>3.0以上3.5未満</t>
  </si>
  <si>
    <t>3.5以上4.0未満</t>
  </si>
  <si>
    <t>レベル４を満たさない</t>
    <phoneticPr fontId="22"/>
  </si>
  <si>
    <t>ODP＝0かつGWPが低い発泡剤（GWP（100年値）が１以下）を用いた断熱材等を使用している。あるいは発泡剤を用いた断熱材等を使用していない。</t>
    <rPh sb="29" eb="31">
      <t>イカ</t>
    </rPh>
    <rPh sb="33" eb="34">
      <t>モチ</t>
    </rPh>
    <rPh sb="36" eb="40">
      <t>ダンネツザイナド</t>
    </rPh>
    <rPh sb="41" eb="43">
      <t>シヨウ</t>
    </rPh>
    <rPh sb="52" eb="54">
      <t>ハッポウ</t>
    </rPh>
    <rPh sb="54" eb="55">
      <t>ザイ</t>
    </rPh>
    <rPh sb="56" eb="57">
      <t>モチ</t>
    </rPh>
    <rPh sb="59" eb="63">
      <t>ダンネツザイトウ</t>
    </rPh>
    <rPh sb="64" eb="66">
      <t>シヨウ</t>
    </rPh>
    <phoneticPr fontId="22"/>
  </si>
  <si>
    <r>
      <t>kg-CO</t>
    </r>
    <r>
      <rPr>
        <vertAlign val="subscript"/>
        <sz val="10"/>
        <rFont val="ＭＳ Ｐゴシック"/>
        <family val="3"/>
        <charset val="128"/>
      </rPr>
      <t>2</t>
    </r>
    <r>
      <rPr>
        <sz val="10"/>
        <rFont val="ＭＳ Ｐゴシック"/>
        <family val="3"/>
        <charset val="128"/>
      </rPr>
      <t>/kg</t>
    </r>
    <phoneticPr fontId="22"/>
  </si>
  <si>
    <r>
      <t>kg-CO</t>
    </r>
    <r>
      <rPr>
        <vertAlign val="subscript"/>
        <sz val="10"/>
        <rFont val="ＭＳ Ｐゴシック"/>
        <family val="3"/>
        <charset val="128"/>
      </rPr>
      <t>2</t>
    </r>
    <r>
      <rPr>
        <sz val="10"/>
        <rFont val="ＭＳ Ｐゴシック"/>
        <family val="3"/>
        <charset val="128"/>
      </rPr>
      <t>/ｔ</t>
    </r>
    <phoneticPr fontId="22"/>
  </si>
  <si>
    <r>
      <t>kg-CO</t>
    </r>
    <r>
      <rPr>
        <vertAlign val="subscript"/>
        <sz val="10"/>
        <rFont val="ＭＳ Ｐゴシック"/>
        <family val="3"/>
        <charset val="128"/>
      </rPr>
      <t>2</t>
    </r>
    <r>
      <rPr>
        <sz val="10"/>
        <rFont val="ＭＳ Ｐゴシック"/>
        <family val="3"/>
        <charset val="128"/>
      </rPr>
      <t>/㎡</t>
    </r>
    <phoneticPr fontId="22"/>
  </si>
  <si>
    <t>〃</t>
    <phoneticPr fontId="22"/>
  </si>
  <si>
    <r>
      <t>kg-CO</t>
    </r>
    <r>
      <rPr>
        <vertAlign val="subscript"/>
        <sz val="10"/>
        <rFont val="ＭＳ Ｐゴシック"/>
        <family val="3"/>
        <charset val="128"/>
      </rPr>
      <t>2</t>
    </r>
    <r>
      <rPr>
        <sz val="10"/>
        <rFont val="ＭＳ Ｐゴシック"/>
        <family val="3"/>
        <charset val="128"/>
      </rPr>
      <t>/m</t>
    </r>
    <r>
      <rPr>
        <vertAlign val="superscript"/>
        <sz val="10"/>
        <rFont val="ＭＳ Ｐゴシック"/>
        <family val="3"/>
        <charset val="128"/>
      </rPr>
      <t>3</t>
    </r>
    <phoneticPr fontId="22"/>
  </si>
  <si>
    <r>
      <t>kg-CO</t>
    </r>
    <r>
      <rPr>
        <vertAlign val="subscript"/>
        <sz val="10"/>
        <rFont val="ＭＳ Ｐゴシック"/>
        <family val="3"/>
        <charset val="128"/>
      </rPr>
      <t>2</t>
    </r>
    <r>
      <rPr>
        <sz val="10"/>
        <rFont val="ＭＳ Ｐゴシック"/>
        <family val="3"/>
        <charset val="128"/>
      </rPr>
      <t>/kg</t>
    </r>
    <phoneticPr fontId="22"/>
  </si>
  <si>
    <t>備考</t>
    <rPh sb="0" eb="2">
      <t>ビコウ</t>
    </rPh>
    <phoneticPr fontId="22"/>
  </si>
  <si>
    <t>（評価する取組み欄で「対象外」を選択）</t>
    <rPh sb="1" eb="3">
      <t>ヒョウカ</t>
    </rPh>
    <rPh sb="5" eb="7">
      <t>トリクミ</t>
    </rPh>
    <rPh sb="8" eb="9">
      <t>ラン</t>
    </rPh>
    <rPh sb="11" eb="14">
      <t>タイショウガイ</t>
    </rPh>
    <rPh sb="16" eb="18">
      <t>センタク</t>
    </rPh>
    <phoneticPr fontId="22"/>
  </si>
  <si>
    <t>生産エリアのみの工場は対象外とする。</t>
    <rPh sb="0" eb="2">
      <t>セイサン</t>
    </rPh>
    <rPh sb="8" eb="10">
      <t>コウジョウ</t>
    </rPh>
    <rPh sb="11" eb="14">
      <t>タイショウガイ</t>
    </rPh>
    <phoneticPr fontId="22"/>
  </si>
  <si>
    <t>LCCO2用床面積</t>
    <rPh sb="5" eb="6">
      <t>ヨウ</t>
    </rPh>
    <rPh sb="6" eb="9">
      <t>ユカメンセキ</t>
    </rPh>
    <phoneticPr fontId="22"/>
  </si>
  <si>
    <t>合計</t>
    <rPh sb="0" eb="2">
      <t>ゴウケイ</t>
    </rPh>
    <phoneticPr fontId="22"/>
  </si>
  <si>
    <t>dB(A)</t>
    <phoneticPr fontId="22"/>
  </si>
  <si>
    <t>地域区分</t>
    <rPh sb="0" eb="2">
      <t>チイキ</t>
    </rPh>
    <phoneticPr fontId="22"/>
  </si>
  <si>
    <t>学(大学等)・
会(図)・病(診)</t>
    <rPh sb="8" eb="9">
      <t>カイ</t>
    </rPh>
    <rPh sb="10" eb="11">
      <t>ズ</t>
    </rPh>
    <rPh sb="13" eb="14">
      <t>ビョウ</t>
    </rPh>
    <rPh sb="15" eb="16">
      <t>ミ</t>
    </rPh>
    <phoneticPr fontId="22"/>
  </si>
  <si>
    <t>物・飲</t>
  </si>
  <si>
    <t>学(大学等)</t>
  </si>
  <si>
    <t>物・飲・会(その他)</t>
    <rPh sb="8" eb="9">
      <t>ホカ</t>
    </rPh>
    <phoneticPr fontId="22"/>
  </si>
  <si>
    <t>物・飲・会(その他)</t>
    <rPh sb="0" eb="1">
      <t>ブツ</t>
    </rPh>
    <rPh sb="2" eb="3">
      <t>イン</t>
    </rPh>
    <rPh sb="4" eb="5">
      <t>カイ</t>
    </rPh>
    <rPh sb="8" eb="9">
      <t>ホカ</t>
    </rPh>
    <phoneticPr fontId="22"/>
  </si>
  <si>
    <t>事・学・会(図)・病・ホ・工・住</t>
    <rPh sb="4" eb="5">
      <t>カイ</t>
    </rPh>
    <rPh sb="6" eb="7">
      <t>ズ</t>
    </rPh>
    <rPh sb="15" eb="16">
      <t>ジュウ</t>
    </rPh>
    <phoneticPr fontId="22"/>
  </si>
  <si>
    <t>物・飲・会(図)・病・ホ・住</t>
    <rPh sb="2" eb="3">
      <t>イン</t>
    </rPh>
    <rPh sb="4" eb="5">
      <t>カイ</t>
    </rPh>
    <rPh sb="6" eb="7">
      <t>ズ</t>
    </rPh>
    <rPh sb="9" eb="10">
      <t>ビョウ</t>
    </rPh>
    <rPh sb="13" eb="14">
      <t>ジュウ</t>
    </rPh>
    <phoneticPr fontId="22"/>
  </si>
  <si>
    <t>事・病(診)・会(図)・工</t>
    <rPh sb="4" eb="5">
      <t>ミ</t>
    </rPh>
    <rPh sb="7" eb="8">
      <t>カイ</t>
    </rPh>
    <rPh sb="9" eb="10">
      <t>ズ</t>
    </rPh>
    <rPh sb="12" eb="13">
      <t>コウ</t>
    </rPh>
    <phoneticPr fontId="22"/>
  </si>
  <si>
    <t>事・学(大学等)・会(その他)・
物・病・ホ・工・住</t>
    <rPh sb="2" eb="3">
      <t>ガク</t>
    </rPh>
    <rPh sb="9" eb="10">
      <t>カイ</t>
    </rPh>
    <rPh sb="13" eb="14">
      <t>ホカ</t>
    </rPh>
    <rPh sb="17" eb="18">
      <t>ブツ</t>
    </rPh>
    <rPh sb="25" eb="26">
      <t>ジュウ</t>
    </rPh>
    <phoneticPr fontId="22"/>
  </si>
  <si>
    <t>事・学(大学)・会(図)・工</t>
    <rPh sb="0" eb="1">
      <t>コト</t>
    </rPh>
    <rPh sb="2" eb="3">
      <t>ガク</t>
    </rPh>
    <rPh sb="4" eb="6">
      <t>ダイガク</t>
    </rPh>
    <rPh sb="8" eb="9">
      <t>カイ</t>
    </rPh>
    <rPh sb="10" eb="11">
      <t>ズ</t>
    </rPh>
    <rPh sb="13" eb="14">
      <t>コウ</t>
    </rPh>
    <phoneticPr fontId="22"/>
  </si>
  <si>
    <t>会（その他）において、博物館・展示施設は評価対象外</t>
    <phoneticPr fontId="22"/>
  </si>
  <si>
    <t>会(その他)では博物館・展示施設のみを評価対象とする。博物館・展示施設は展示室のみを評価する。</t>
    <phoneticPr fontId="22"/>
  </si>
  <si>
    <t>北海道電力(株)</t>
  </si>
  <si>
    <t>東北電力(株)</t>
  </si>
  <si>
    <t>東京電力(株)</t>
  </si>
  <si>
    <t>中部電力(株)</t>
  </si>
  <si>
    <t>北陸電力(株)</t>
  </si>
  <si>
    <t>関西電力(株)</t>
  </si>
  <si>
    <t>中国電力(株)</t>
  </si>
  <si>
    <t>四国電力(株)</t>
  </si>
  <si>
    <t>九州電力(株)</t>
  </si>
  <si>
    <t>沖縄電力(株)</t>
  </si>
  <si>
    <t>アーバンエナジー(株)</t>
  </si>
  <si>
    <t>アストモスエネルギー(株)</t>
  </si>
  <si>
    <t>イーレックス(株)</t>
  </si>
  <si>
    <t>（一財）中之条電力</t>
  </si>
  <si>
    <t>（一社）電力託送代行機構</t>
  </si>
  <si>
    <t>出光グリーンパワー(株)</t>
  </si>
  <si>
    <t>伊藤忠エネクス(株)</t>
  </si>
  <si>
    <t>ＳＢパワー(株)</t>
  </si>
  <si>
    <t>エネサーブ(株)</t>
  </si>
  <si>
    <t>荏原環境プラント(株)</t>
  </si>
  <si>
    <t>王子製紙(株)</t>
  </si>
  <si>
    <t>オリックス(株)</t>
  </si>
  <si>
    <t>(株)イーセル</t>
  </si>
  <si>
    <t>(株)岩手ウッドパワー</t>
  </si>
  <si>
    <t>(株)うなかみの大地</t>
  </si>
  <si>
    <t>(株)ＳＥウイングズ</t>
  </si>
  <si>
    <t>(株)エヌパワー</t>
  </si>
  <si>
    <t>(株)エネット</t>
  </si>
  <si>
    <t>(株)Ｆ－Ｐｏｗｅｒ</t>
  </si>
  <si>
    <t>(株)関電エネルギーソリューション</t>
  </si>
  <si>
    <t>(株)クールトラスト</t>
  </si>
  <si>
    <t>(株)グローバルエンジニアリング</t>
  </si>
  <si>
    <t>(株)ケーキュービック</t>
  </si>
  <si>
    <t>(株)洸陽電機</t>
  </si>
  <si>
    <t>(株)サイサン</t>
  </si>
  <si>
    <t>(株)サニックス</t>
  </si>
  <si>
    <t>(株)ＣＮＯパワーソリューションズ</t>
  </si>
  <si>
    <t>(株)Ｇ－Ｐｏｗｅｒ</t>
  </si>
  <si>
    <t>(株)新出光</t>
  </si>
  <si>
    <t>(株)トヨタタービンアンドシステム</t>
  </si>
  <si>
    <t>(株)とんでん</t>
  </si>
  <si>
    <t>(株)ナンワエナジー</t>
  </si>
  <si>
    <t>(株)日本セレモニー</t>
  </si>
  <si>
    <t>(株)Ｖ－Ｐｏｗｅｒ</t>
  </si>
  <si>
    <t>(株)フォレストパワー</t>
  </si>
  <si>
    <t>(株)ベイサイドエナジー</t>
  </si>
  <si>
    <t>京葉瓦斯(株)</t>
  </si>
  <si>
    <t>サミットエナジー(株)</t>
  </si>
  <si>
    <t>ＪＸ日鉱日石エネルギー(株)</t>
  </si>
  <si>
    <t>ＪＬエナジー(株)</t>
  </si>
  <si>
    <t>志賀高原リゾート開発(株)</t>
  </si>
  <si>
    <t>シナネン(株)</t>
  </si>
  <si>
    <t>昭和シェル石油(株)</t>
  </si>
  <si>
    <t>新日鉄住金エンジニアリング(株)</t>
  </si>
  <si>
    <t>鈴与商事(株)</t>
  </si>
  <si>
    <t>泉北天然ガス発電(株)</t>
  </si>
  <si>
    <t>総合エネルギー(株)</t>
  </si>
  <si>
    <t>大東エナジー(株)</t>
  </si>
  <si>
    <t>ダイヤモンドパワー(株)</t>
  </si>
  <si>
    <t>大和ハウス工業(株)</t>
  </si>
  <si>
    <t>中央電力エナジー(株)</t>
  </si>
  <si>
    <t>テス・エンジニアリング(株)</t>
  </si>
  <si>
    <t>テプコカスタマーサービス(株)</t>
  </si>
  <si>
    <t>東京エコサービス(株)</t>
  </si>
  <si>
    <t>にちほクラウド電力(株)</t>
  </si>
  <si>
    <t>日産トレーデイング(株)</t>
  </si>
  <si>
    <t>日本アルファ電力(株)</t>
  </si>
  <si>
    <t>日本テクノ(株)</t>
  </si>
  <si>
    <t>パナソニック(株)</t>
  </si>
  <si>
    <t>プレミアムグリーンパワー(株)</t>
  </si>
  <si>
    <t>本田技研工業(株)</t>
  </si>
  <si>
    <t>丸紅(株)</t>
  </si>
  <si>
    <t>ミサワホーム(株)</t>
  </si>
  <si>
    <t>三井物産(株)</t>
  </si>
  <si>
    <t>ミツウロコグリーンエネルギー(株)</t>
  </si>
  <si>
    <t>リエスパワー(株)</t>
  </si>
  <si>
    <t>ワタミファーム＆エナジー(株)</t>
  </si>
  <si>
    <t>平成26年度の電気事業者別実排出係数等の公表値</t>
    <phoneticPr fontId="22"/>
  </si>
  <si>
    <r>
      <t>平成26</t>
    </r>
    <r>
      <rPr>
        <sz val="11"/>
        <rFont val="ＭＳ Ｐゴシック"/>
        <family val="3"/>
        <charset val="128"/>
      </rPr>
      <t>年度の電気事業者別実排出係数等の公表値</t>
    </r>
    <r>
      <rPr>
        <sz val="11"/>
        <rFont val="ＭＳ Ｐゴシック"/>
        <family val="3"/>
        <charset val="128"/>
      </rPr>
      <t xml:space="preserve"> (H27.11.30公表)</t>
    </r>
    <rPh sb="22" eb="23">
      <t>チ</t>
    </rPh>
    <rPh sb="34" eb="36">
      <t>コウヒョウ</t>
    </rPh>
    <phoneticPr fontId="22"/>
  </si>
  <si>
    <t>北海道電力(株)</t>
    <phoneticPr fontId="22"/>
  </si>
  <si>
    <t>電気事業者から供給された電気</t>
    <phoneticPr fontId="22"/>
  </si>
  <si>
    <t>■LR1　「建築物エネルギー消費性能確保計画」等からの必要事項の転記</t>
    <rPh sb="6" eb="9">
      <t>ケンチクブツ</t>
    </rPh>
    <rPh sb="14" eb="16">
      <t>ショウヒ</t>
    </rPh>
    <rPh sb="16" eb="18">
      <t>セイノウ</t>
    </rPh>
    <rPh sb="18" eb="20">
      <t>カクホ</t>
    </rPh>
    <rPh sb="20" eb="22">
      <t>ケイカク</t>
    </rPh>
    <rPh sb="23" eb="24">
      <t>トウ</t>
    </rPh>
    <phoneticPr fontId="22"/>
  </si>
  <si>
    <t>2</t>
    <phoneticPr fontId="22"/>
  </si>
  <si>
    <t>1</t>
    <phoneticPr fontId="22"/>
  </si>
  <si>
    <t>住宅部分</t>
    <rPh sb="0" eb="2">
      <t>ジュウタク</t>
    </rPh>
    <rPh sb="2" eb="4">
      <t>ブブン</t>
    </rPh>
    <phoneticPr fontId="22"/>
  </si>
  <si>
    <t xml:space="preserve">[BPI][BPIm] = </t>
    <phoneticPr fontId="22"/>
  </si>
  <si>
    <t>等級4を超える</t>
    <rPh sb="0" eb="2">
      <t>トウキュウ</t>
    </rPh>
    <rPh sb="4" eb="5">
      <t>コ</t>
    </rPh>
    <phoneticPr fontId="22"/>
  </si>
  <si>
    <t>ｵﾝｻｲﾄの取組</t>
    <rPh sb="6" eb="8">
      <t>トリクミ</t>
    </rPh>
    <phoneticPr fontId="22"/>
  </si>
  <si>
    <t>一次ｴﾈﾙｷﾞｰ消費量</t>
    <rPh sb="0" eb="2">
      <t>イチジ</t>
    </rPh>
    <rPh sb="8" eb="11">
      <t>ショウヒリョウ</t>
    </rPh>
    <phoneticPr fontId="24"/>
  </si>
  <si>
    <t>自然ｴﾈﾙｷﾞｰ削減量</t>
    <rPh sb="0" eb="2">
      <t>シゼン</t>
    </rPh>
    <rPh sb="8" eb="10">
      <t>サクゲン</t>
    </rPh>
    <rPh sb="10" eb="11">
      <t>リョウ</t>
    </rPh>
    <phoneticPr fontId="22"/>
  </si>
  <si>
    <t>電気分</t>
    <rPh sb="0" eb="2">
      <t>デンキ</t>
    </rPh>
    <rPh sb="2" eb="3">
      <t>ブン</t>
    </rPh>
    <phoneticPr fontId="22"/>
  </si>
  <si>
    <t>レベル３</t>
    <phoneticPr fontId="22"/>
  </si>
  <si>
    <t>Ａａ3</t>
    <phoneticPr fontId="22"/>
  </si>
  <si>
    <t>Ａｂ3</t>
    <phoneticPr fontId="22"/>
  </si>
  <si>
    <t>Ｂａ3</t>
    <phoneticPr fontId="22"/>
  </si>
  <si>
    <t>Ｂｂ3</t>
    <phoneticPr fontId="22"/>
  </si>
  <si>
    <t>Ｃａ3</t>
    <phoneticPr fontId="22"/>
  </si>
  <si>
    <t>Ｃｂ3</t>
    <phoneticPr fontId="22"/>
  </si>
  <si>
    <t>評価建物</t>
    <rPh sb="0" eb="2">
      <t>ヒョウカ</t>
    </rPh>
    <rPh sb="2" eb="4">
      <t>タテモノ</t>
    </rPh>
    <phoneticPr fontId="22"/>
  </si>
  <si>
    <t>事・学・工</t>
    <phoneticPr fontId="22"/>
  </si>
  <si>
    <t>物・飲・会・病・ホ</t>
    <phoneticPr fontId="22"/>
  </si>
  <si>
    <t>住</t>
    <rPh sb="0" eb="1">
      <t>ジュウ</t>
    </rPh>
    <phoneticPr fontId="22"/>
  </si>
  <si>
    <t>ﾚﾍﾞﾙ２</t>
    <phoneticPr fontId="22"/>
  </si>
  <si>
    <t>ﾚﾍﾞﾙ１</t>
    <phoneticPr fontId="22"/>
  </si>
  <si>
    <t>床面積(㎡)</t>
    <rPh sb="0" eb="3">
      <t>ユカメンセキ</t>
    </rPh>
    <rPh sb="1" eb="3">
      <t>メンセキ</t>
    </rPh>
    <phoneticPr fontId="22"/>
  </si>
  <si>
    <t>■用途別BEI設定値</t>
    <rPh sb="1" eb="3">
      <t>ようと</t>
    </rPh>
    <rPh sb="3" eb="4">
      <t>べつ</t>
    </rPh>
    <rPh sb="7" eb="10">
      <t>ｾｯﾃｲﾁ</t>
    </rPh>
    <phoneticPr fontId="34" type="noConversion"/>
  </si>
  <si>
    <t>等級４を超える水準</t>
    <rPh sb="0" eb="2">
      <t>トウキュウ</t>
    </rPh>
    <rPh sb="4" eb="5">
      <t>コ</t>
    </rPh>
    <rPh sb="7" eb="9">
      <t>スイジュン</t>
    </rPh>
    <phoneticPr fontId="22"/>
  </si>
  <si>
    <t>※2</t>
    <phoneticPr fontId="22"/>
  </si>
  <si>
    <t>相当　※1、2</t>
    <rPh sb="0" eb="2">
      <t>ソウトウ</t>
    </rPh>
    <phoneticPr fontId="22"/>
  </si>
  <si>
    <t>※1</t>
    <phoneticPr fontId="22"/>
  </si>
  <si>
    <t>＜８地域＞</t>
    <phoneticPr fontId="22"/>
  </si>
  <si>
    <t>＜１～７地域＞</t>
    <rPh sb="4" eb="6">
      <t>チイキ</t>
    </rPh>
    <phoneticPr fontId="22"/>
  </si>
  <si>
    <t>レベル4を超える水準の断熱性能を満たす。</t>
    <phoneticPr fontId="22"/>
  </si>
  <si>
    <t xml:space="preserve">レベル1: [BPI][BPIm] ≧ 1.03
レベル2: [BPI][BPIm] ＝ 1.00
レベル3: [BPI][BPIm] ＝ 0.97
レベル4: [BPI][BPIm] ＝ 0.90
レベル5: [BPI][BPIm] ≦ 0.80
各レベル間はBPIまたはBPImにより、小数点一桁までの直線補間で評価する。
</t>
    <phoneticPr fontId="22"/>
  </si>
  <si>
    <t xml:space="preserve">レベル1: [BPI][BPIm] ≧ 1.03
レベル2: [BPI][BPIm] ＝ 1.00
レベル3: [BPI][BPIm] ＝ 0.97
レベル4: [BPI][BPIm] ＝ 0.93
レベル5: [BPI][BPIm] ≦ 0.85
各レベル間はBPIまたはBPImにより、小数点一桁までの直線補間で評価する。
</t>
    <phoneticPr fontId="22"/>
  </si>
  <si>
    <t>「住宅部分の外壁、窓等を通しての熱の損失の防止に関する基準及び一次エネルギー消費量に関する基準（平成28年国土交通省告示266号）」に定められる「外壁、窓等を通しての熱の損失の防止に関する基準」および「一次エネルギー消費量に関する基準」の双方を満たす場合は「レベル３」、これを満たさない場合は、「レベル１」とする。</t>
    <rPh sb="138" eb="139">
      <t>ミ</t>
    </rPh>
    <rPh sb="143" eb="145">
      <t>バアイ</t>
    </rPh>
    <phoneticPr fontId="22"/>
  </si>
  <si>
    <t>工場の生産エリアへの利用量は、評価しない。</t>
    <rPh sb="0" eb="2">
      <t>コウジョウ</t>
    </rPh>
    <rPh sb="15" eb="17">
      <t>ヒョウカ</t>
    </rPh>
    <phoneticPr fontId="22"/>
  </si>
  <si>
    <t>＜用途①＞
レベル1: [BEI][BEIm] ≧ 1.10
レベル2: [BEI][BEIm] ＝ 1.00
レベル3: [BEI][BEIm] ＝ 0.80
レベル4: [BEI][BEIm] ＝ 0.70
レベル5: [BEI][BEIm] ≦ 0.60
各レベル間はBEIまたはBEImにより、小数点一桁までの直線補間で評価する。</t>
    <rPh sb="1" eb="3">
      <t>ヨウト</t>
    </rPh>
    <phoneticPr fontId="22"/>
  </si>
  <si>
    <t>＜用途②＞
レベル1: [BEI][BEIm] ≧ 1.10
レベル2: [BEI][BEIm] ＝ 1.00
レベル3: [BEI][BEIm] ＝ 0.80
レベル4: [BEI][BEIm] ＝ 0.75
レベル5: [BEI][BEIm] ≦ 0.70
各レベル間はBEIまたはBEImにより、小数点一桁までの直線補間で評価する。</t>
    <rPh sb="0" eb="2">
      <t>ヨウト</t>
    </rPh>
    <phoneticPr fontId="22"/>
  </si>
  <si>
    <t>＜用途③＞
レベル1: [BEI] ≧ 1.20
レベル2: [BEI] ＝ 1.10
レベル3: [BEI] ＝ 1.00
レベル4: [BEI] ＝ 0.90
レベル5: [BEI] ≦ 0.85
各レベル間はBEIにより、小数点一桁までの直線補間で評価する.</t>
    <rPh sb="1" eb="3">
      <t>ヨウト</t>
    </rPh>
    <phoneticPr fontId="22"/>
  </si>
  <si>
    <t>[BEI][BEIm] ≧</t>
    <phoneticPr fontId="22"/>
  </si>
  <si>
    <t>[BEI][BEIm] ＝</t>
    <phoneticPr fontId="22"/>
  </si>
  <si>
    <t>[BEI][BEIm] ≦</t>
    <phoneticPr fontId="22"/>
  </si>
  <si>
    <t>レベル1:</t>
    <phoneticPr fontId="22"/>
  </si>
  <si>
    <t>レベル2:</t>
    <phoneticPr fontId="22"/>
  </si>
  <si>
    <t>レベル3:</t>
  </si>
  <si>
    <t>レベル4:</t>
  </si>
  <si>
    <t>レベル5:</t>
  </si>
  <si>
    <r>
      <t>CASBEE-</t>
    </r>
    <r>
      <rPr>
        <sz val="9"/>
        <rFont val="ＭＳ Ｐゴシック"/>
        <family val="3"/>
        <charset val="128"/>
      </rPr>
      <t>建築</t>
    </r>
    <r>
      <rPr>
        <sz val="9"/>
        <rFont val="Arial"/>
        <family val="2"/>
      </rPr>
      <t>(</t>
    </r>
    <r>
      <rPr>
        <sz val="9"/>
        <rFont val="ＭＳ Ｐゴシック"/>
        <family val="3"/>
        <charset val="128"/>
      </rPr>
      <t>新築</t>
    </r>
    <r>
      <rPr>
        <sz val="9"/>
        <rFont val="Arial"/>
        <family val="2"/>
      </rPr>
      <t>)2016</t>
    </r>
    <r>
      <rPr>
        <sz val="9"/>
        <rFont val="ＭＳ Ｐゴシック"/>
        <family val="3"/>
        <charset val="128"/>
      </rPr>
      <t>年版</t>
    </r>
    <rPh sb="7" eb="9">
      <t>ケンチク</t>
    </rPh>
    <rPh sb="10" eb="12">
      <t>シンチク</t>
    </rPh>
    <rPh sb="17" eb="18">
      <t>ネン</t>
    </rPh>
    <rPh sb="18" eb="19">
      <t>バン</t>
    </rPh>
    <phoneticPr fontId="22"/>
  </si>
  <si>
    <t xml:space="preserve">共用部を含む非住宅部分[BEI] = </t>
    <rPh sb="0" eb="2">
      <t>キョウヨウ</t>
    </rPh>
    <rPh sb="2" eb="3">
      <t>ブ</t>
    </rPh>
    <rPh sb="4" eb="5">
      <t>フク</t>
    </rPh>
    <rPh sb="6" eb="7">
      <t>ヒ</t>
    </rPh>
    <rPh sb="7" eb="9">
      <t>ジュウタク</t>
    </rPh>
    <rPh sb="9" eb="11">
      <t>ブブン</t>
    </rPh>
    <phoneticPr fontId="22"/>
  </si>
  <si>
    <t>床面積比率</t>
    <rPh sb="0" eb="3">
      <t>ユカメンセキ</t>
    </rPh>
    <rPh sb="1" eb="3">
      <t>メンセキ</t>
    </rPh>
    <rPh sb="3" eb="4">
      <t>ヒ</t>
    </rPh>
    <rPh sb="4" eb="5">
      <t>リツ</t>
    </rPh>
    <phoneticPr fontId="22"/>
  </si>
  <si>
    <t>住戸合計</t>
    <rPh sb="0" eb="2">
      <t>ジュウコ</t>
    </rPh>
    <rPh sb="2" eb="4">
      <t>ゴウケイ</t>
    </rPh>
    <phoneticPr fontId="22"/>
  </si>
  <si>
    <t>BEI未入力</t>
    <rPh sb="3" eb="6">
      <t>ミニュウリョク</t>
    </rPh>
    <phoneticPr fontId="22"/>
  </si>
  <si>
    <t>BPI未入力</t>
    <rPh sb="3" eb="6">
      <t>ミニュウリョク</t>
    </rPh>
    <phoneticPr fontId="22"/>
  </si>
  <si>
    <t xml:space="preserve">BEI = </t>
    <phoneticPr fontId="22"/>
  </si>
  <si>
    <t>建築物の取組み（②）</t>
  </si>
  <si>
    <t>■太陽光発電等エネルギー量（③ｵﾝｻｲﾄの取組）</t>
    <rPh sb="1" eb="4">
      <t>ﾀｲﾖｳｺｳ</t>
    </rPh>
    <rPh sb="4" eb="6">
      <t>ﾊﾂﾃﾞﾝ</t>
    </rPh>
    <rPh sb="6" eb="7">
      <t>とう</t>
    </rPh>
    <rPh sb="12" eb="13">
      <t>ﾘｮｳ</t>
    </rPh>
    <rPh sb="21" eb="23">
      <t>とりくみ</t>
    </rPh>
    <phoneticPr fontId="34" type="noConversion"/>
  </si>
  <si>
    <t>うちBEI評価に含まれる量（ex.自家消費分相当）</t>
    <rPh sb="5" eb="7">
      <t>ヒョウカ</t>
    </rPh>
    <rPh sb="8" eb="9">
      <t>フク</t>
    </rPh>
    <rPh sb="12" eb="13">
      <t>リョウ</t>
    </rPh>
    <rPh sb="17" eb="19">
      <t>ジカ</t>
    </rPh>
    <rPh sb="19" eb="21">
      <t>ショウヒ</t>
    </rPh>
    <rPh sb="21" eb="22">
      <t>ブン</t>
    </rPh>
    <rPh sb="22" eb="24">
      <t>ソウトウ</t>
    </rPh>
    <phoneticPr fontId="22"/>
  </si>
  <si>
    <t>総量※</t>
    <rPh sb="0" eb="2">
      <t>ソウリョウ</t>
    </rPh>
    <phoneticPr fontId="22"/>
  </si>
  <si>
    <t>※全量買取制度は評価対象外</t>
    <rPh sb="1" eb="3">
      <t>ゼンリョウ</t>
    </rPh>
    <rPh sb="3" eb="5">
      <t>カイトリ</t>
    </rPh>
    <rPh sb="5" eb="7">
      <t>セイド</t>
    </rPh>
    <rPh sb="8" eb="10">
      <t>ヒョウカ</t>
    </rPh>
    <rPh sb="10" eb="12">
      <t>タイショウ</t>
    </rPh>
    <rPh sb="12" eb="13">
      <t>ガイ</t>
    </rPh>
    <phoneticPr fontId="22"/>
  </si>
  <si>
    <t>■基準一次エネルギー消費量 (その他一次ｴﾈﾙｷﾞｰを含む)</t>
    <rPh sb="1" eb="3">
      <t>ｷｼﾞｭﾝ</t>
    </rPh>
    <rPh sb="3" eb="5">
      <t>ｲﾁｼﾞ</t>
    </rPh>
    <rPh sb="10" eb="13">
      <t>ｼｮｳﾋﾘｮｳ</t>
    </rPh>
    <rPh sb="17" eb="18">
      <t>ほか</t>
    </rPh>
    <rPh sb="18" eb="20">
      <t>いちじ</t>
    </rPh>
    <rPh sb="27" eb="28">
      <t>ふく</t>
    </rPh>
    <phoneticPr fontId="34" type="noConversion"/>
  </si>
  <si>
    <t>■設計一次エネルギー消費量 (その他一次ｴﾈﾙｷﾞｰを含む)</t>
    <rPh sb="1" eb="3">
      <t>ｾｯｹｲ</t>
    </rPh>
    <rPh sb="3" eb="5">
      <t>ｲﾁｼﾞ</t>
    </rPh>
    <rPh sb="10" eb="13">
      <t>ｼｮｳﾋﾘｮｳ</t>
    </rPh>
    <phoneticPr fontId="34" type="noConversion"/>
  </si>
  <si>
    <t>共用部ゲストルーム等
住戸扱い</t>
  </si>
  <si>
    <t>RN使用欄</t>
    <rPh sb="2" eb="4">
      <t>シヨウ</t>
    </rPh>
    <rPh sb="4" eb="5">
      <t>ラン</t>
    </rPh>
    <phoneticPr fontId="22"/>
  </si>
  <si>
    <t>耐震･免震・制震・制振</t>
  </si>
  <si>
    <r>
      <t xml:space="preserve">2.1.1 </t>
    </r>
    <r>
      <rPr>
        <b/>
        <sz val="10"/>
        <rFont val="ＭＳ Ｐゴシック"/>
        <family val="3"/>
        <charset val="128"/>
      </rPr>
      <t>耐震性（建物のこわれにくさ）</t>
    </r>
    <phoneticPr fontId="22"/>
  </si>
  <si>
    <t>揺れを抑える装置を導入していない。</t>
  </si>
  <si>
    <t>揺れを抑える装置を導入し、部分的に強風時・強風時の内部設備保護が図られている。</t>
  </si>
  <si>
    <t>揺れを抑える装置を導入し、建物全体で強風時・強風時の内部設備保護が図られている。</t>
  </si>
  <si>
    <t>躯体材料が着脱しやすいように設計されているなど、躯体材料のリサイクル・リユースについて取組無し</t>
    <rPh sb="0" eb="2">
      <t>クタイ</t>
    </rPh>
    <rPh sb="2" eb="4">
      <t>ザイリョウ</t>
    </rPh>
    <rPh sb="5" eb="7">
      <t>チャクダツ</t>
    </rPh>
    <rPh sb="14" eb="16">
      <t>セッケイ</t>
    </rPh>
    <rPh sb="24" eb="26">
      <t>クタイ</t>
    </rPh>
    <rPh sb="26" eb="28">
      <t>ザイリョウ</t>
    </rPh>
    <rPh sb="43" eb="45">
      <t>トリクミ</t>
    </rPh>
    <rPh sb="45" eb="46">
      <t>ナ</t>
    </rPh>
    <phoneticPr fontId="3"/>
  </si>
  <si>
    <t>躯体材料の一部が着脱でき、それらをリサイクルもしくはリユースできる</t>
    <rPh sb="0" eb="2">
      <t>クタイ</t>
    </rPh>
    <rPh sb="2" eb="4">
      <t>ザイリョウ</t>
    </rPh>
    <rPh sb="5" eb="7">
      <t>イチブ</t>
    </rPh>
    <phoneticPr fontId="3"/>
  </si>
  <si>
    <t>躯体材料の大半が着脱できるか、もしくは、単種類の材料で構成されていて、それらを少なくともリサイクルはできる</t>
    <rPh sb="0" eb="2">
      <t>クタイ</t>
    </rPh>
    <rPh sb="2" eb="4">
      <t>ザイリョウ</t>
    </rPh>
    <rPh sb="5" eb="7">
      <t>タイハン</t>
    </rPh>
    <rPh sb="20" eb="21">
      <t>タン</t>
    </rPh>
    <rPh sb="21" eb="23">
      <t>シュルイ</t>
    </rPh>
    <rPh sb="24" eb="26">
      <t>ザイリョウ</t>
    </rPh>
    <rPh sb="27" eb="29">
      <t>コウセイ</t>
    </rPh>
    <rPh sb="39" eb="40">
      <t>スク</t>
    </rPh>
    <phoneticPr fontId="3"/>
  </si>
  <si>
    <t>レベル3に加えて、躯体材料の一部は規格材で構成されていてリユースできる</t>
    <rPh sb="5" eb="6">
      <t>クワ</t>
    </rPh>
    <rPh sb="9" eb="11">
      <t>クタイ</t>
    </rPh>
    <rPh sb="11" eb="13">
      <t>ザイリョウ</t>
    </rPh>
    <rPh sb="14" eb="16">
      <t>イチブ</t>
    </rPh>
    <rPh sb="17" eb="19">
      <t>キカク</t>
    </rPh>
    <rPh sb="19" eb="20">
      <t>ザイ</t>
    </rPh>
    <rPh sb="21" eb="23">
      <t>コウセイ</t>
    </rPh>
    <phoneticPr fontId="3"/>
  </si>
  <si>
    <t>レベル3に加えて、躯体材料の大半は規格材で構成されていてリユースできる</t>
    <rPh sb="9" eb="11">
      <t>クタイ</t>
    </rPh>
    <rPh sb="11" eb="13">
      <t>ザイリョウ</t>
    </rPh>
    <rPh sb="14" eb="16">
      <t>タイハン</t>
    </rPh>
    <phoneticPr fontId="3"/>
  </si>
  <si>
    <r>
      <t>2.6.1</t>
    </r>
    <r>
      <rPr>
        <b/>
        <sz val="10"/>
        <rFont val="ＭＳ Ｐゴシック"/>
        <family val="3"/>
        <charset val="128"/>
      </rPr>
      <t>　躯体のリサイクル・リユース</t>
    </r>
    <rPh sb="6" eb="8">
      <t>クタイ</t>
    </rPh>
    <phoneticPr fontId="3"/>
  </si>
  <si>
    <r>
      <t>2.6.2</t>
    </r>
    <r>
      <rPr>
        <b/>
        <sz val="10"/>
        <rFont val="ＭＳ Ｐゴシック"/>
        <family val="3"/>
        <charset val="128"/>
      </rPr>
      <t>　屋根材のリサイクル・リユース</t>
    </r>
    <rPh sb="6" eb="8">
      <t>ヤネ</t>
    </rPh>
    <rPh sb="8" eb="9">
      <t>ザイ</t>
    </rPh>
    <phoneticPr fontId="3"/>
  </si>
  <si>
    <t>屋根材・下地材が着脱しやすいように設計されているなど、屋根材・下地材のリサイクル・リユースについて取組無し</t>
    <rPh sb="0" eb="2">
      <t>ヤネ</t>
    </rPh>
    <rPh sb="2" eb="3">
      <t>ザイ</t>
    </rPh>
    <rPh sb="4" eb="6">
      <t>シタジ</t>
    </rPh>
    <rPh sb="6" eb="7">
      <t>ザイ</t>
    </rPh>
    <rPh sb="8" eb="10">
      <t>チャクダツ</t>
    </rPh>
    <rPh sb="17" eb="19">
      <t>セッケイ</t>
    </rPh>
    <rPh sb="27" eb="29">
      <t>ヤネ</t>
    </rPh>
    <rPh sb="29" eb="30">
      <t>ザイ</t>
    </rPh>
    <rPh sb="31" eb="33">
      <t>シタジ</t>
    </rPh>
    <rPh sb="33" eb="34">
      <t>ザイ</t>
    </rPh>
    <rPh sb="49" eb="51">
      <t>トリクミ</t>
    </rPh>
    <rPh sb="51" eb="52">
      <t>ナ</t>
    </rPh>
    <phoneticPr fontId="3"/>
  </si>
  <si>
    <t>屋根材・下地材の一部が着脱でき、それらをリサイクルもしくはリユースできる</t>
    <rPh sb="8" eb="10">
      <t>イチブ</t>
    </rPh>
    <phoneticPr fontId="3"/>
  </si>
  <si>
    <t>屋根材・下地材の大半が着脱できるか、もしくは、単種類の材料で構成されていて、それらを少なくともリサイクルはできる</t>
    <rPh sb="8" eb="10">
      <t>タイハン</t>
    </rPh>
    <rPh sb="23" eb="24">
      <t>タン</t>
    </rPh>
    <rPh sb="24" eb="26">
      <t>シュルイ</t>
    </rPh>
    <rPh sb="27" eb="29">
      <t>ザイリョウ</t>
    </rPh>
    <rPh sb="30" eb="32">
      <t>コウセイ</t>
    </rPh>
    <rPh sb="42" eb="43">
      <t>スク</t>
    </rPh>
    <phoneticPr fontId="3"/>
  </si>
  <si>
    <t>レベル3に加えて、屋根材の一部は規格材で構成されていてリユースできる</t>
    <rPh sb="5" eb="6">
      <t>クワ</t>
    </rPh>
    <rPh sb="9" eb="11">
      <t>ヤネ</t>
    </rPh>
    <rPh sb="11" eb="12">
      <t>ザイ</t>
    </rPh>
    <rPh sb="13" eb="15">
      <t>イチブ</t>
    </rPh>
    <rPh sb="16" eb="18">
      <t>キカク</t>
    </rPh>
    <rPh sb="18" eb="19">
      <t>ザイ</t>
    </rPh>
    <rPh sb="20" eb="22">
      <t>コウセイ</t>
    </rPh>
    <phoneticPr fontId="3"/>
  </si>
  <si>
    <t>レベル3に加えて、屋根材の大半は規格材で構成されていてリユースできる</t>
    <rPh sb="13" eb="15">
      <t>タイハン</t>
    </rPh>
    <phoneticPr fontId="3"/>
  </si>
  <si>
    <r>
      <t>2.6.3</t>
    </r>
    <r>
      <rPr>
        <b/>
        <sz val="10"/>
        <rFont val="ＭＳ Ｐゴシック"/>
        <family val="3"/>
        <charset val="128"/>
      </rPr>
      <t>　外壁材のリサイクル・リユース</t>
    </r>
    <rPh sb="6" eb="8">
      <t>ガイヘキ</t>
    </rPh>
    <rPh sb="8" eb="9">
      <t>ザイ</t>
    </rPh>
    <phoneticPr fontId="22"/>
  </si>
  <si>
    <t>外壁材・下地材が着脱しやすいように設計されているなど、外壁材・下地材のリサイクル・リユースについて取組無し</t>
    <rPh sb="0" eb="2">
      <t>ガイヘキ</t>
    </rPh>
    <rPh sb="2" eb="3">
      <t>ザイ</t>
    </rPh>
    <rPh sb="4" eb="6">
      <t>シタジ</t>
    </rPh>
    <rPh sb="6" eb="7">
      <t>ザイ</t>
    </rPh>
    <rPh sb="8" eb="10">
      <t>チャクダツ</t>
    </rPh>
    <rPh sb="17" eb="19">
      <t>セッケイ</t>
    </rPh>
    <rPh sb="27" eb="29">
      <t>ガイヘキ</t>
    </rPh>
    <rPh sb="29" eb="30">
      <t>ザイ</t>
    </rPh>
    <rPh sb="31" eb="33">
      <t>シタジ</t>
    </rPh>
    <rPh sb="33" eb="34">
      <t>ザイ</t>
    </rPh>
    <rPh sb="49" eb="51">
      <t>トリクミ</t>
    </rPh>
    <rPh sb="51" eb="52">
      <t>ナ</t>
    </rPh>
    <phoneticPr fontId="3"/>
  </si>
  <si>
    <t>外壁材・下地材の一部が着脱でき、それらをリサイクルもしくはリユースできる</t>
    <rPh sb="0" eb="2">
      <t>ガイヘキ</t>
    </rPh>
    <rPh sb="8" eb="10">
      <t>イチブ</t>
    </rPh>
    <phoneticPr fontId="3"/>
  </si>
  <si>
    <t>外壁材・下地材の大半が着脱できるか、もしくは、単種類の材料で構成されていて、それらを少なくともリサイクルはできる</t>
    <rPh sb="0" eb="2">
      <t>ガイヘキ</t>
    </rPh>
    <rPh sb="8" eb="10">
      <t>タイハン</t>
    </rPh>
    <rPh sb="23" eb="24">
      <t>タン</t>
    </rPh>
    <rPh sb="24" eb="26">
      <t>シュルイ</t>
    </rPh>
    <rPh sb="27" eb="29">
      <t>ザイリョウ</t>
    </rPh>
    <rPh sb="30" eb="32">
      <t>コウセイ</t>
    </rPh>
    <rPh sb="42" eb="43">
      <t>スク</t>
    </rPh>
    <phoneticPr fontId="3"/>
  </si>
  <si>
    <t>レベル3に加えて、外壁材の一部は規格材で構成されていてリユースできる</t>
    <rPh sb="5" eb="6">
      <t>クワ</t>
    </rPh>
    <rPh sb="9" eb="11">
      <t>ガイヘキ</t>
    </rPh>
    <rPh sb="11" eb="12">
      <t>ザイ</t>
    </rPh>
    <rPh sb="13" eb="15">
      <t>イチブ</t>
    </rPh>
    <rPh sb="16" eb="18">
      <t>キカク</t>
    </rPh>
    <rPh sb="18" eb="19">
      <t>ザイ</t>
    </rPh>
    <rPh sb="20" eb="22">
      <t>コウセイ</t>
    </rPh>
    <phoneticPr fontId="3"/>
  </si>
  <si>
    <t>レベル3に加えて、外壁材の大半は規格材で構成されていてリユースできる</t>
    <rPh sb="9" eb="11">
      <t>ガイヘキ</t>
    </rPh>
    <rPh sb="13" eb="15">
      <t>タイハン</t>
    </rPh>
    <phoneticPr fontId="3"/>
  </si>
  <si>
    <t>内装材・下地材が着脱しやすいように設計されているなど、内装材・下地材のリサイクル・リユースについて取組無し</t>
    <rPh sb="0" eb="2">
      <t>ナイソウ</t>
    </rPh>
    <rPh sb="2" eb="3">
      <t>ザイ</t>
    </rPh>
    <rPh sb="4" eb="6">
      <t>シタジ</t>
    </rPh>
    <rPh sb="6" eb="7">
      <t>ザイ</t>
    </rPh>
    <rPh sb="8" eb="10">
      <t>チャクダツ</t>
    </rPh>
    <rPh sb="17" eb="19">
      <t>セッケイ</t>
    </rPh>
    <rPh sb="27" eb="29">
      <t>ナイソウ</t>
    </rPh>
    <rPh sb="29" eb="30">
      <t>ザイ</t>
    </rPh>
    <rPh sb="31" eb="33">
      <t>シタジ</t>
    </rPh>
    <rPh sb="33" eb="34">
      <t>ザイ</t>
    </rPh>
    <rPh sb="49" eb="51">
      <t>トリクミ</t>
    </rPh>
    <rPh sb="51" eb="52">
      <t>ナ</t>
    </rPh>
    <phoneticPr fontId="3"/>
  </si>
  <si>
    <t>内装材・下地材の一部が着脱でき、それらをリサイクルもしくはリユースできる</t>
    <rPh sb="0" eb="2">
      <t>ナイソウ</t>
    </rPh>
    <rPh sb="2" eb="3">
      <t>ザイ</t>
    </rPh>
    <rPh sb="8" eb="10">
      <t>イチブ</t>
    </rPh>
    <phoneticPr fontId="3"/>
  </si>
  <si>
    <t>内装材・下地材の大半が着脱できるか、もしくは、単種類の材料で構成されていて、それらを少なくともリサイクルはできる</t>
    <rPh sb="0" eb="2">
      <t>ナイソウ</t>
    </rPh>
    <rPh sb="2" eb="3">
      <t>ザイ</t>
    </rPh>
    <rPh sb="8" eb="10">
      <t>タイハン</t>
    </rPh>
    <rPh sb="23" eb="24">
      <t>タン</t>
    </rPh>
    <rPh sb="24" eb="26">
      <t>シュルイ</t>
    </rPh>
    <rPh sb="27" eb="29">
      <t>ザイリョウ</t>
    </rPh>
    <rPh sb="30" eb="32">
      <t>コウセイ</t>
    </rPh>
    <rPh sb="42" eb="43">
      <t>スク</t>
    </rPh>
    <phoneticPr fontId="3"/>
  </si>
  <si>
    <t>レベル3に加えて、内装材の一部は規格材で構成されていてリユースできる</t>
    <rPh sb="5" eb="6">
      <t>クワ</t>
    </rPh>
    <rPh sb="9" eb="11">
      <t>ナイソウ</t>
    </rPh>
    <rPh sb="11" eb="12">
      <t>ザイ</t>
    </rPh>
    <rPh sb="13" eb="15">
      <t>イチブ</t>
    </rPh>
    <rPh sb="16" eb="18">
      <t>キカク</t>
    </rPh>
    <rPh sb="18" eb="19">
      <t>ザイ</t>
    </rPh>
    <rPh sb="20" eb="22">
      <t>コウセイ</t>
    </rPh>
    <phoneticPr fontId="3"/>
  </si>
  <si>
    <t>レベル3に加えて、内装材の大半は規格材で構成されていてリユースできる</t>
    <rPh sb="9" eb="11">
      <t>ナイソウ</t>
    </rPh>
    <rPh sb="11" eb="12">
      <t>ザイ</t>
    </rPh>
    <rPh sb="13" eb="15">
      <t>タイハン</t>
    </rPh>
    <phoneticPr fontId="3"/>
  </si>
  <si>
    <r>
      <t>2.6.4</t>
    </r>
    <r>
      <rPr>
        <b/>
        <sz val="10"/>
        <rFont val="ＭＳ Ｐゴシック"/>
        <family val="3"/>
        <charset val="128"/>
      </rPr>
      <t>　内装材のリサイクル・リユース</t>
    </r>
    <rPh sb="6" eb="8">
      <t>ナイソウ</t>
    </rPh>
    <rPh sb="8" eb="9">
      <t>ザイ</t>
    </rPh>
    <phoneticPr fontId="3"/>
  </si>
  <si>
    <r>
      <t>2.6.5</t>
    </r>
    <r>
      <rPr>
        <b/>
        <sz val="10"/>
        <rFont val="ＭＳ Ｐゴシック"/>
        <family val="3"/>
        <charset val="128"/>
      </rPr>
      <t>　設備機器のリサイクル・リユース</t>
    </r>
    <rPh sb="6" eb="8">
      <t>セツビ</t>
    </rPh>
    <rPh sb="8" eb="10">
      <t>キキ</t>
    </rPh>
    <phoneticPr fontId="3"/>
  </si>
  <si>
    <r>
      <t>2.6.6</t>
    </r>
    <r>
      <rPr>
        <b/>
        <sz val="10"/>
        <rFont val="ＭＳ Ｐゴシック"/>
        <family val="3"/>
        <charset val="128"/>
      </rPr>
      <t>　外構資材のリユース</t>
    </r>
    <rPh sb="6" eb="8">
      <t>ガイコウ</t>
    </rPh>
    <rPh sb="8" eb="10">
      <t>シザイ</t>
    </rPh>
    <phoneticPr fontId="3"/>
  </si>
  <si>
    <t>廃棄物発生量の最小化</t>
    <phoneticPr fontId="22"/>
  </si>
  <si>
    <t>評価する取組みが1つ。</t>
  </si>
  <si>
    <t>評価する取組みが3つ。</t>
  </si>
  <si>
    <t>評価する取組みが4つ以上。</t>
  </si>
  <si>
    <t>評価する取組みが3つ以上。</t>
    <rPh sb="10" eb="12">
      <t>イジョウ</t>
    </rPh>
    <phoneticPr fontId="22"/>
  </si>
  <si>
    <t>短期使用</t>
    <rPh sb="0" eb="2">
      <t>タンキ</t>
    </rPh>
    <rPh sb="2" eb="4">
      <t>シヨウ</t>
    </rPh>
    <phoneticPr fontId="22"/>
  </si>
  <si>
    <t>2.6.1</t>
    <phoneticPr fontId="22"/>
  </si>
  <si>
    <t>2.6.2</t>
  </si>
  <si>
    <t>2.6.3</t>
  </si>
  <si>
    <t>2.6.4</t>
  </si>
  <si>
    <t>2.6.5</t>
  </si>
  <si>
    <t>2.6.6</t>
  </si>
  <si>
    <t>TC</t>
    <phoneticPr fontId="22"/>
  </si>
  <si>
    <t>NC</t>
    <phoneticPr fontId="22"/>
  </si>
  <si>
    <t>EB</t>
    <phoneticPr fontId="22"/>
  </si>
  <si>
    <t>部材の再利用可能性向上への取組み（TC)</t>
    <rPh sb="9" eb="11">
      <t>コウジョウ</t>
    </rPh>
    <rPh sb="13" eb="15">
      <t>トリク</t>
    </rPh>
    <phoneticPr fontId="22"/>
  </si>
  <si>
    <t>2.6.1</t>
    <phoneticPr fontId="22"/>
  </si>
  <si>
    <t>LR2 2.2</t>
    <phoneticPr fontId="22"/>
  </si>
  <si>
    <t>躯体のリサイクル・リユース</t>
  </si>
  <si>
    <t>躯体のリサイクル・リユース</t>
    <phoneticPr fontId="22"/>
  </si>
  <si>
    <t>屋根材のリサイクル・リユース</t>
  </si>
  <si>
    <t>屋根材のリサイクル・リユース</t>
    <phoneticPr fontId="22"/>
  </si>
  <si>
    <t>外壁材のリサイクル・リユース</t>
  </si>
  <si>
    <t>外壁材のリサイクル・リユース</t>
    <phoneticPr fontId="22"/>
  </si>
  <si>
    <t>内装材のリサイクル・リユース</t>
  </si>
  <si>
    <t>内装材のリサイクル・リユース</t>
    <phoneticPr fontId="22"/>
  </si>
  <si>
    <t>設備機器のリサイクル・リユース</t>
  </si>
  <si>
    <t>設備機器のリサイクル・リユース</t>
    <phoneticPr fontId="22"/>
  </si>
  <si>
    <t>外構資材のリユース</t>
  </si>
  <si>
    <t>外構資材のリユース</t>
    <phoneticPr fontId="22"/>
  </si>
  <si>
    <t>廃棄物発生量の最小化</t>
    <phoneticPr fontId="22"/>
  </si>
  <si>
    <t>LR2 2</t>
    <phoneticPr fontId="22"/>
  </si>
  <si>
    <t>３．短期使用</t>
    <rPh sb="2" eb="4">
      <t>タンキ</t>
    </rPh>
    <rPh sb="4" eb="6">
      <t>シヨウ</t>
    </rPh>
    <phoneticPr fontId="22"/>
  </si>
  <si>
    <t>短期使用</t>
    <rPh sb="0" eb="2">
      <t>タンキ</t>
    </rPh>
    <rPh sb="2" eb="4">
      <t>シヨウ</t>
    </rPh>
    <phoneticPr fontId="22"/>
  </si>
  <si>
    <t>住宅　専有部（住戸全体）※</t>
    <rPh sb="0" eb="2">
      <t>ジュウタク</t>
    </rPh>
    <rPh sb="3" eb="5">
      <t>センユウ</t>
    </rPh>
    <rPh sb="5" eb="6">
      <t>ブ</t>
    </rPh>
    <rPh sb="7" eb="9">
      <t>ジュウコ</t>
    </rPh>
    <rPh sb="9" eb="11">
      <t>ゼンタイ</t>
    </rPh>
    <phoneticPr fontId="22"/>
  </si>
  <si>
    <t>※算定プログラムによらない場合は、評価対象外</t>
    <rPh sb="1" eb="3">
      <t>サンテイ</t>
    </rPh>
    <rPh sb="13" eb="15">
      <t>バアイ</t>
    </rPh>
    <rPh sb="17" eb="19">
      <t>ヒョウカ</t>
    </rPh>
    <rPh sb="19" eb="21">
      <t>タイショウ</t>
    </rPh>
    <rPh sb="21" eb="22">
      <t>ガイ</t>
    </rPh>
    <phoneticPr fontId="22"/>
  </si>
  <si>
    <t>2）屋根緑化や壁面緑化等の建物緑化に用いる植物の移設・再使用を前提とした植栽方法の採用</t>
  </si>
  <si>
    <t>3）舗装用平板やブロック等道路用材について、移設・再使用を前提とした資材・工法の採用</t>
  </si>
  <si>
    <t>4）擁壁や植栽ブロック等土木用材について、移設・再使用を前提とした資材・工法の採用</t>
  </si>
  <si>
    <t>1)外構に植栽する樹木の移設・再使用を前提とした植栽方法の採用</t>
    <phoneticPr fontId="22"/>
  </si>
  <si>
    <t>取組み</t>
    <rPh sb="0" eb="2">
      <t>トリク</t>
    </rPh>
    <phoneticPr fontId="22"/>
  </si>
  <si>
    <t>自然素材利用による建築構造体の軽量化</t>
    <rPh sb="0" eb="2">
      <t>シゼン</t>
    </rPh>
    <rPh sb="2" eb="4">
      <t>ソザイ</t>
    </rPh>
    <rPh sb="4" eb="6">
      <t>リヨウ</t>
    </rPh>
    <rPh sb="9" eb="11">
      <t>ケンチク</t>
    </rPh>
    <rPh sb="11" eb="14">
      <t>コウゾウタイ</t>
    </rPh>
    <rPh sb="15" eb="18">
      <t>ケイリョウカ</t>
    </rPh>
    <phoneticPr fontId="3"/>
  </si>
  <si>
    <t>施工廃棄物減量計画・マネジメント手法の整備</t>
    <rPh sb="0" eb="2">
      <t>セコウ</t>
    </rPh>
    <rPh sb="2" eb="4">
      <t>ハイキ</t>
    </rPh>
    <rPh sb="4" eb="5">
      <t>ブツ</t>
    </rPh>
    <rPh sb="5" eb="7">
      <t>ゲンリョウ</t>
    </rPh>
    <rPh sb="7" eb="9">
      <t>ケイカク</t>
    </rPh>
    <rPh sb="16" eb="18">
      <t>シュホウ</t>
    </rPh>
    <rPh sb="19" eb="21">
      <t>セイビ</t>
    </rPh>
    <phoneticPr fontId="3"/>
  </si>
  <si>
    <t>リース・レンタル材料及び設備の採用</t>
    <rPh sb="8" eb="10">
      <t>ザイリョウ</t>
    </rPh>
    <rPh sb="10" eb="11">
      <t>オヨ</t>
    </rPh>
    <rPh sb="12" eb="14">
      <t>セツビ</t>
    </rPh>
    <rPh sb="15" eb="17">
      <t>サイヨウ</t>
    </rPh>
    <phoneticPr fontId="3"/>
  </si>
  <si>
    <t>リユース＆リサイクルルートと受け入れ先確保（リース・レンタルは除く）</t>
    <rPh sb="14" eb="15">
      <t>ウ</t>
    </rPh>
    <rPh sb="16" eb="17">
      <t>イ</t>
    </rPh>
    <rPh sb="18" eb="19">
      <t>サキ</t>
    </rPh>
    <rPh sb="19" eb="21">
      <t>カクホ</t>
    </rPh>
    <rPh sb="31" eb="32">
      <t>ノゾ</t>
    </rPh>
    <phoneticPr fontId="3"/>
  </si>
  <si>
    <t>その他（記述）</t>
    <rPh sb="2" eb="3">
      <t>ホカ</t>
    </rPh>
    <rPh sb="4" eb="6">
      <t>キジュツ</t>
    </rPh>
    <phoneticPr fontId="22"/>
  </si>
  <si>
    <t>5)その他（記述）</t>
    <rPh sb="4" eb="5">
      <t>ホカ</t>
    </rPh>
    <rPh sb="6" eb="8">
      <t>キジュツ</t>
    </rPh>
    <phoneticPr fontId="22"/>
  </si>
  <si>
    <t>1)使用材料種類の集約</t>
    <rPh sb="2" eb="4">
      <t>シヨウ</t>
    </rPh>
    <rPh sb="4" eb="6">
      <t>ザイリョウ</t>
    </rPh>
    <rPh sb="6" eb="8">
      <t>シュルイ</t>
    </rPh>
    <rPh sb="9" eb="11">
      <t>シュウヤク</t>
    </rPh>
    <phoneticPr fontId="3"/>
  </si>
  <si>
    <t>2)配管材の規格一律化・規格材の活用</t>
    <rPh sb="2" eb="4">
      <t>ハイカン</t>
    </rPh>
    <rPh sb="4" eb="5">
      <t>ザイ</t>
    </rPh>
    <rPh sb="6" eb="8">
      <t>キカク</t>
    </rPh>
    <rPh sb="8" eb="11">
      <t>イチリツカ</t>
    </rPh>
    <rPh sb="12" eb="14">
      <t>キカク</t>
    </rPh>
    <rPh sb="14" eb="15">
      <t>ザイ</t>
    </rPh>
    <rPh sb="16" eb="18">
      <t>カツヨウ</t>
    </rPh>
    <phoneticPr fontId="3"/>
  </si>
  <si>
    <t>3)設備機器（空調機）の規格化</t>
    <rPh sb="2" eb="4">
      <t>セツビ</t>
    </rPh>
    <rPh sb="4" eb="6">
      <t>キキ</t>
    </rPh>
    <rPh sb="7" eb="9">
      <t>クウチョウ</t>
    </rPh>
    <rPh sb="9" eb="10">
      <t>キ</t>
    </rPh>
    <rPh sb="12" eb="14">
      <t>キカク</t>
    </rPh>
    <rPh sb="14" eb="15">
      <t>カ</t>
    </rPh>
    <phoneticPr fontId="3"/>
  </si>
  <si>
    <t>4)設備機器（照明）の規格化</t>
    <rPh sb="2" eb="4">
      <t>セツビ</t>
    </rPh>
    <rPh sb="4" eb="6">
      <t>キキ</t>
    </rPh>
    <rPh sb="7" eb="9">
      <t>ショウメイ</t>
    </rPh>
    <rPh sb="11" eb="13">
      <t>キカク</t>
    </rPh>
    <rPh sb="13" eb="14">
      <t>カ</t>
    </rPh>
    <phoneticPr fontId="3"/>
  </si>
  <si>
    <t>5)設備機器の着脱性の確保</t>
    <rPh sb="2" eb="4">
      <t>セツビ</t>
    </rPh>
    <rPh sb="4" eb="6">
      <t>キキ</t>
    </rPh>
    <rPh sb="7" eb="10">
      <t>チャクダツセイ</t>
    </rPh>
    <rPh sb="11" eb="13">
      <t>カクホ</t>
    </rPh>
    <phoneticPr fontId="3"/>
  </si>
  <si>
    <t>6)設備機器と内装材・外装材・屋根材との錯綜を回避した納まり</t>
    <rPh sb="2" eb="4">
      <t>セツビ</t>
    </rPh>
    <rPh sb="4" eb="6">
      <t>キキ</t>
    </rPh>
    <rPh sb="7" eb="9">
      <t>ナイソウ</t>
    </rPh>
    <rPh sb="9" eb="10">
      <t>ザイ</t>
    </rPh>
    <rPh sb="11" eb="14">
      <t>ガイソウザイ</t>
    </rPh>
    <rPh sb="15" eb="17">
      <t>ヤネ</t>
    </rPh>
    <rPh sb="17" eb="18">
      <t>ザイ</t>
    </rPh>
    <rPh sb="20" eb="22">
      <t>サクソウ</t>
    </rPh>
    <rPh sb="23" eb="25">
      <t>カイヒ</t>
    </rPh>
    <rPh sb="27" eb="28">
      <t>オサ</t>
    </rPh>
    <phoneticPr fontId="3"/>
  </si>
  <si>
    <t>7)修理・部品交換しやすい設備機器の使用</t>
    <rPh sb="2" eb="4">
      <t>シュウリ</t>
    </rPh>
    <rPh sb="5" eb="7">
      <t>ブヒン</t>
    </rPh>
    <rPh sb="7" eb="9">
      <t>コウカン</t>
    </rPh>
    <rPh sb="13" eb="15">
      <t>セツビ</t>
    </rPh>
    <rPh sb="15" eb="17">
      <t>キキ</t>
    </rPh>
    <rPh sb="18" eb="20">
      <t>シヨウ</t>
    </rPh>
    <phoneticPr fontId="3"/>
  </si>
  <si>
    <t>事・会(図)（屋外型）</t>
    <rPh sb="2" eb="3">
      <t>カイ</t>
    </rPh>
    <rPh sb="4" eb="5">
      <t>ズ</t>
    </rPh>
    <rPh sb="7" eb="10">
      <t>オクガイガタ</t>
    </rPh>
    <phoneticPr fontId="22"/>
  </si>
  <si>
    <t>事・会(図)（屋外型）・病・ホ・工</t>
    <rPh sb="2" eb="3">
      <t>カイ</t>
    </rPh>
    <rPh sb="4" eb="5">
      <t>ズ</t>
    </rPh>
    <rPh sb="7" eb="10">
      <t>オクガイガタ</t>
    </rPh>
    <rPh sb="16" eb="17">
      <t>コウ</t>
    </rPh>
    <phoneticPr fontId="22"/>
  </si>
  <si>
    <t>使用期間</t>
    <rPh sb="0" eb="2">
      <t>シヨウ</t>
    </rPh>
    <rPh sb="2" eb="4">
      <t>キカン</t>
    </rPh>
    <phoneticPr fontId="22"/>
  </si>
  <si>
    <t>3</t>
    <phoneticPr fontId="22"/>
  </si>
  <si>
    <t>外壁、窓等を通しての熱の損失の防止に関する事項</t>
    <rPh sb="0" eb="2">
      <t>ガイヘキ</t>
    </rPh>
    <rPh sb="3" eb="4">
      <t>マド</t>
    </rPh>
    <rPh sb="4" eb="5">
      <t>トウ</t>
    </rPh>
    <rPh sb="6" eb="7">
      <t>トオ</t>
    </rPh>
    <rPh sb="10" eb="11">
      <t>ネツ</t>
    </rPh>
    <rPh sb="12" eb="14">
      <t>ソンシツ</t>
    </rPh>
    <rPh sb="15" eb="17">
      <t>ボウシ</t>
    </rPh>
    <rPh sb="18" eb="19">
      <t>カン</t>
    </rPh>
    <rPh sb="21" eb="23">
      <t>ジコウ</t>
    </rPh>
    <phoneticPr fontId="22"/>
  </si>
  <si>
    <t>しない</t>
  </si>
  <si>
    <t>しない</t>
    <phoneticPr fontId="22"/>
  </si>
  <si>
    <t>「DECC非住宅建築物の環境関連データーベース（2016年6月公開データ、一般財団法人日本サステナブル建築協会）」を集計</t>
    <rPh sb="5" eb="6">
      <t>ヒ</t>
    </rPh>
    <rPh sb="6" eb="8">
      <t>ジュウタク</t>
    </rPh>
    <rPh sb="8" eb="11">
      <t>ケンチクブツ</t>
    </rPh>
    <rPh sb="12" eb="14">
      <t>カンキョウ</t>
    </rPh>
    <rPh sb="14" eb="16">
      <t>カンレン</t>
    </rPh>
    <rPh sb="28" eb="29">
      <t>ネン</t>
    </rPh>
    <rPh sb="30" eb="31">
      <t>ガツ</t>
    </rPh>
    <rPh sb="31" eb="33">
      <t>コウカイ</t>
    </rPh>
    <rPh sb="37" eb="39">
      <t>イッパン</t>
    </rPh>
    <rPh sb="39" eb="41">
      <t>ザイダン</t>
    </rPh>
    <rPh sb="41" eb="43">
      <t>ホウジン</t>
    </rPh>
    <rPh sb="43" eb="45">
      <t>ニホン</t>
    </rPh>
    <rPh sb="51" eb="53">
      <t>ケンチク</t>
    </rPh>
    <rPh sb="53" eb="55">
      <t>キョウカイ</t>
    </rPh>
    <rPh sb="58" eb="60">
      <t>シュウケイ</t>
    </rPh>
    <phoneticPr fontId="22"/>
  </si>
  <si>
    <t>ポイント</t>
    <phoneticPr fontId="22"/>
  </si>
  <si>
    <t>する</t>
    <phoneticPr fontId="22"/>
  </si>
  <si>
    <t>する</t>
    <phoneticPr fontId="22"/>
  </si>
  <si>
    <t>備考；評価建物のレベル
（用途①、②、③の床面積按分）</t>
    <rPh sb="0" eb="2">
      <t>ビコウ</t>
    </rPh>
    <rPh sb="3" eb="5">
      <t>ヒョウカ</t>
    </rPh>
    <rPh sb="5" eb="7">
      <t>タテモノ</t>
    </rPh>
    <rPh sb="21" eb="24">
      <t>ユカメンセキ</t>
    </rPh>
    <rPh sb="24" eb="26">
      <t>アンブン</t>
    </rPh>
    <phoneticPr fontId="22"/>
  </si>
  <si>
    <t>1) 敷地とその周辺にある生物環境に関する立地特性を把握し、その特性に基づいて敷地内の生物環境の保全と創出に関わる計画方針を示している。</t>
    <rPh sb="15" eb="17">
      <t>カンキョウ</t>
    </rPh>
    <phoneticPr fontId="22"/>
  </si>
  <si>
    <t>1) 敷地内にある生物資源を構成する動植物、表土、水辺等を保存または復元している。</t>
    <phoneticPr fontId="22"/>
  </si>
  <si>
    <t>1) 建物運用時における緑地等の維持管理に必要な設備を設置し、かつ管理方針を示している。</t>
    <phoneticPr fontId="22"/>
  </si>
  <si>
    <t>2) 建物利用者や地域住民が生物とふれあい自然に親しめる環境や施設等を確保している。</t>
    <phoneticPr fontId="22"/>
  </si>
  <si>
    <t>1) 屋上(人工地盤を含む)のうち、人が出入りできる部分の緑化に努める。</t>
    <phoneticPr fontId="22"/>
  </si>
  <si>
    <t>2) 外壁面の材料に配慮する。</t>
    <phoneticPr fontId="22"/>
  </si>
  <si>
    <t>延床面積500㎡未満の建築物は
レベル3とする。
注）500㎡未満の建物は直接入力により、レベル３を選択してください。</t>
    <rPh sb="0" eb="2">
      <t>ノベユカ</t>
    </rPh>
    <rPh sb="2" eb="4">
      <t>メンセキ</t>
    </rPh>
    <rPh sb="8" eb="10">
      <t>ミマン</t>
    </rPh>
    <rPh sb="26" eb="27">
      <t>チュウ</t>
    </rPh>
    <phoneticPr fontId="22"/>
  </si>
  <si>
    <t>ポイント</t>
    <phoneticPr fontId="22"/>
  </si>
  <si>
    <t>空調CO2制御効果、換気CO2制御効果、ﾀｽｸｱﾝﾋﾞｴﾝﾄ空調効果、ﾀｽｸｱﾝﾋﾞｴﾝﾄ照明効果など</t>
    <phoneticPr fontId="22"/>
  </si>
  <si>
    <t>しない</t>
    <phoneticPr fontId="22"/>
  </si>
  <si>
    <t>しない</t>
    <phoneticPr fontId="22"/>
  </si>
  <si>
    <t>の双方を満たす場合は「レベル３」とする。　上記を満たさない場合は、「レベル１」とする。</t>
    <rPh sb="21" eb="23">
      <t>ジョウキ</t>
    </rPh>
    <rPh sb="24" eb="25">
      <t>ミ</t>
    </rPh>
    <rPh sb="29" eb="31">
      <t>バアイ</t>
    </rPh>
    <phoneticPr fontId="22"/>
  </si>
  <si>
    <t>告示266号）」に定められる「外壁、窓等を通しての熱の損失の防止に関する基準」および「一次エネルギー消費量に関する基準」</t>
    <phoneticPr fontId="22"/>
  </si>
  <si>
    <t>「住宅部分の外壁、窓等を通しての熱の損失の防止に関する基準及び一次エネルギー消費量に関する基準（平成28年国土交通省</t>
    <phoneticPr fontId="22"/>
  </si>
  <si>
    <t>&lt;運用期間が1年未満の場合&gt;</t>
    <phoneticPr fontId="22"/>
  </si>
  <si>
    <r>
      <rPr>
        <sz val="10"/>
        <color rgb="FFFF0000"/>
        <rFont val="ＭＳ Ｐゴシック"/>
        <family val="3"/>
        <charset val="128"/>
      </rPr>
      <t>※　運用期間が</t>
    </r>
    <r>
      <rPr>
        <sz val="10"/>
        <color rgb="FFFF0000"/>
        <rFont val="Arial"/>
        <family val="2"/>
      </rPr>
      <t>1</t>
    </r>
    <r>
      <rPr>
        <sz val="10"/>
        <color rgb="FFFF0000"/>
        <rFont val="ＭＳ Ｐゴシック"/>
        <family val="3"/>
        <charset val="128"/>
      </rPr>
      <t>年未満の場合、直接入力により対象外を選択します。</t>
    </r>
    <rPh sb="15" eb="17">
      <t>チョクセツ</t>
    </rPh>
    <rPh sb="17" eb="19">
      <t>ニュウリョク</t>
    </rPh>
    <rPh sb="22" eb="24">
      <t>タイショウ</t>
    </rPh>
    <rPh sb="24" eb="25">
      <t>ガイ</t>
    </rPh>
    <rPh sb="26" eb="28">
      <t>センタク</t>
    </rPh>
    <phoneticPr fontId="22"/>
  </si>
  <si>
    <r>
      <rPr>
        <sz val="10"/>
        <color rgb="FFFF0000"/>
        <rFont val="ＭＳ Ｐゴシック"/>
        <family val="3"/>
        <charset val="128"/>
      </rPr>
      <t>※　運用期間が</t>
    </r>
    <r>
      <rPr>
        <sz val="10"/>
        <color rgb="FFFF0000"/>
        <rFont val="Arial"/>
        <family val="2"/>
      </rPr>
      <t>1</t>
    </r>
    <r>
      <rPr>
        <sz val="10"/>
        <color rgb="FFFF0000"/>
        <rFont val="ＭＳ Ｐゴシック"/>
        <family val="3"/>
        <charset val="128"/>
      </rPr>
      <t>年未満の場合、</t>
    </r>
    <r>
      <rPr>
        <sz val="10"/>
        <color rgb="FFFF0000"/>
        <rFont val="Arial"/>
        <family val="2"/>
      </rPr>
      <t>[BEI][BEIm]</t>
    </r>
    <r>
      <rPr>
        <sz val="10"/>
        <color rgb="FFFF0000"/>
        <rFont val="ＭＳ Ｐゴシック"/>
        <family val="3"/>
        <charset val="128"/>
      </rPr>
      <t>を</t>
    </r>
    <r>
      <rPr>
        <sz val="10"/>
        <color rgb="FFFF0000"/>
        <rFont val="Arial"/>
        <family val="2"/>
      </rPr>
      <t>[BEI</t>
    </r>
    <r>
      <rPr>
        <vertAlign val="superscript"/>
        <sz val="10"/>
        <color rgb="FFFF0000"/>
        <rFont val="Arial"/>
        <family val="2"/>
      </rPr>
      <t>TC</t>
    </r>
    <r>
      <rPr>
        <sz val="10"/>
        <color rgb="FFFF0000"/>
        <rFont val="Arial"/>
        <family val="2"/>
      </rPr>
      <t>]</t>
    </r>
    <r>
      <rPr>
        <sz val="10"/>
        <color rgb="FFFF0000"/>
        <rFont val="ＭＳ Ｐゴシック"/>
        <family val="3"/>
        <charset val="128"/>
      </rPr>
      <t>と読み替えて評価します。</t>
    </r>
    <rPh sb="35" eb="36">
      <t>ヨ</t>
    </rPh>
    <rPh sb="37" eb="38">
      <t>カ</t>
    </rPh>
    <rPh sb="40" eb="42">
      <t>ヒョウカ</t>
    </rPh>
    <phoneticPr fontId="22"/>
  </si>
  <si>
    <r>
      <t>　期間積算の基準一次エネルギー消費量に対する設計一次エネルギー消費量の比率 [BEI</t>
    </r>
    <r>
      <rPr>
        <vertAlign val="superscript"/>
        <sz val="9"/>
        <color rgb="FFFF0000"/>
        <rFont val="ＭＳ Ｐゴシック"/>
        <family val="3"/>
        <charset val="128"/>
      </rPr>
      <t>TC</t>
    </r>
    <r>
      <rPr>
        <sz val="9"/>
        <color rgb="FFFF0000"/>
        <rFont val="ＭＳ Ｐゴシック"/>
        <family val="3"/>
        <charset val="128"/>
      </rPr>
      <t>] を[BEI]欄に入力</t>
    </r>
    <rPh sb="52" eb="53">
      <t>ラン</t>
    </rPh>
    <phoneticPr fontId="22"/>
  </si>
  <si>
    <t>8)その他（記述）</t>
    <rPh sb="4" eb="5">
      <t>ホカ</t>
    </rPh>
    <rPh sb="6" eb="8">
      <t>キジュツ</t>
    </rPh>
    <phoneticPr fontId="22"/>
  </si>
  <si>
    <t>する</t>
    <phoneticPr fontId="22"/>
  </si>
  <si>
    <t>耐震･免震・制震・制振</t>
    <rPh sb="0" eb="2">
      <t>タイシン</t>
    </rPh>
    <rPh sb="3" eb="5">
      <t>メンシン</t>
    </rPh>
    <rPh sb="6" eb="8">
      <t>セイシン</t>
    </rPh>
    <rPh sb="9" eb="11">
      <t>セイシン</t>
    </rPh>
    <phoneticPr fontId="22"/>
  </si>
  <si>
    <t>免震・制震・制振性能</t>
    <rPh sb="8" eb="10">
      <t>セイノウ</t>
    </rPh>
    <phoneticPr fontId="22"/>
  </si>
  <si>
    <t>免震・制震・制振性能</t>
    <rPh sb="0" eb="2">
      <t>メンシン</t>
    </rPh>
    <rPh sb="3" eb="5">
      <t>セイシン</t>
    </rPh>
    <rPh sb="6" eb="8">
      <t>セイシン</t>
    </rPh>
    <rPh sb="8" eb="10">
      <t>セイノウ</t>
    </rPh>
    <phoneticPr fontId="22"/>
  </si>
  <si>
    <t>耐震性(建物のこわれにくさ)</t>
    <rPh sb="0" eb="3">
      <t>タイシンセイ</t>
    </rPh>
    <rPh sb="4" eb="6">
      <t>タテモノ</t>
    </rPh>
    <phoneticPr fontId="22"/>
  </si>
  <si>
    <t>「家庭部門エネルギー種別最終エネルギー消費（平成25年度におけるエネルギー需給実績、資源エネルギー庁）」</t>
    <phoneticPr fontId="22"/>
  </si>
  <si>
    <t>工場については、統計値がないため、H28国交省告示第265号による事務所の照明エネルギー消費量としている。</t>
    <rPh sb="0" eb="2">
      <t>コウジョウ</t>
    </rPh>
    <rPh sb="8" eb="10">
      <t>トウケイ</t>
    </rPh>
    <rPh sb="10" eb="11">
      <t>チ</t>
    </rPh>
    <rPh sb="20" eb="23">
      <t>コッコウショウ</t>
    </rPh>
    <rPh sb="23" eb="25">
      <t>コクジ</t>
    </rPh>
    <rPh sb="25" eb="26">
      <t>ダイ</t>
    </rPh>
    <rPh sb="29" eb="30">
      <t>ゴウ</t>
    </rPh>
    <rPh sb="33" eb="35">
      <t>ジム</t>
    </rPh>
    <rPh sb="35" eb="36">
      <t>ショ</t>
    </rPh>
    <rPh sb="37" eb="39">
      <t>ショウメイ</t>
    </rPh>
    <rPh sb="44" eb="47">
      <t>ショウヒリョウ</t>
    </rPh>
    <phoneticPr fontId="22"/>
  </si>
  <si>
    <t>ポイント</t>
    <phoneticPr fontId="22"/>
  </si>
  <si>
    <t>窓システム、外壁、屋根や床（特にピロティ）において熱の侵入に対して配慮が無く、断熱性能が低い。
（窓システムSC：0.7程度、U=6.0(W/m2K)程度、外壁その他：U=3.0(W/m2K)程度）</t>
    <phoneticPr fontId="22"/>
  </si>
  <si>
    <t>日本住宅性能表示基準「5-1断熱等性能等級」における等級１相当である。</t>
    <rPh sb="14" eb="16">
      <t>ダンネツ</t>
    </rPh>
    <rPh sb="16" eb="17">
      <t>トウ</t>
    </rPh>
    <rPh sb="17" eb="19">
      <t>セイノウ</t>
    </rPh>
    <rPh sb="29" eb="31">
      <t>ソウトウ</t>
    </rPh>
    <phoneticPr fontId="22"/>
  </si>
  <si>
    <t>日本住宅性能表示基準「5-1断熱等性能等級」における等級２相当である。</t>
    <rPh sb="29" eb="31">
      <t>ソウトウ</t>
    </rPh>
    <phoneticPr fontId="22"/>
  </si>
  <si>
    <t>日本住宅性能表示基準「5-1断熱等性能等級」における等級３相当である。</t>
    <rPh sb="29" eb="31">
      <t>ソウトウ</t>
    </rPh>
    <phoneticPr fontId="22"/>
  </si>
  <si>
    <t>日本住宅性能表示基準「5-1断熱等性能等級」における等級１相当である。</t>
    <rPh sb="14" eb="16">
      <t>ダンネツ</t>
    </rPh>
    <rPh sb="16" eb="17">
      <t>トウ</t>
    </rPh>
    <rPh sb="17" eb="19">
      <t>セイノウ</t>
    </rPh>
    <rPh sb="19" eb="21">
      <t>トウキュウ</t>
    </rPh>
    <rPh sb="29" eb="31">
      <t>ソウトウ</t>
    </rPh>
    <phoneticPr fontId="22"/>
  </si>
  <si>
    <t>日本住宅性能表示基準「5-1断熱等性能等級」における等級４相当である。</t>
    <rPh sb="29" eb="31">
      <t>ソウトウ</t>
    </rPh>
    <phoneticPr fontId="22"/>
  </si>
  <si>
    <t>レベル４を超える水準の断熱性能を満たす。※</t>
    <rPh sb="5" eb="6">
      <t>コ</t>
    </rPh>
    <rPh sb="8" eb="10">
      <t>スイジュン</t>
    </rPh>
    <rPh sb="11" eb="13">
      <t>ダンネツ</t>
    </rPh>
    <rPh sb="13" eb="15">
      <t>セイノウ</t>
    </rPh>
    <rPh sb="16" eb="17">
      <t>ミ</t>
    </rPh>
    <phoneticPr fontId="22"/>
  </si>
  <si>
    <t>※</t>
    <phoneticPr fontId="22"/>
  </si>
  <si>
    <t>タスク・アンビエント照明方式もしくはこれに準ずる照明方式の場合で、タスク照度が500lx以上1000lx未満、かつアンビエント照度がタスク照度の1/3以上2/3未満、かつ壁面の鉛直面照度が100lx以上で反射率が30％以上もしくは天井面の水平面照度が100lx以上で反射率が50％以下。</t>
    <rPh sb="102" eb="104">
      <t>ハンシャ</t>
    </rPh>
    <rPh sb="104" eb="105">
      <t>リツ</t>
    </rPh>
    <rPh sb="109" eb="111">
      <t>イジョウ</t>
    </rPh>
    <rPh sb="130" eb="132">
      <t>イジョウ</t>
    </rPh>
    <rPh sb="133" eb="135">
      <t>ハンシャ</t>
    </rPh>
    <rPh sb="135" eb="136">
      <t>リツ</t>
    </rPh>
    <rPh sb="140" eb="142">
      <t>イカ</t>
    </rPh>
    <phoneticPr fontId="22"/>
  </si>
  <si>
    <t>明るさや学習形態に応じた制御区画であり、在室者自らが点灯・消灯によって制御できる。</t>
    <phoneticPr fontId="22"/>
  </si>
  <si>
    <t>建築基準法（シックハウス対応含む）および学校環境衛生基準を満たす換気量となっている。</t>
    <rPh sb="20" eb="22">
      <t>ガッコウ</t>
    </rPh>
    <rPh sb="22" eb="24">
      <t>カンキョウ</t>
    </rPh>
    <rPh sb="24" eb="26">
      <t>エイセイ</t>
    </rPh>
    <rPh sb="26" eb="28">
      <t>キジュン</t>
    </rPh>
    <phoneticPr fontId="22"/>
  </si>
  <si>
    <t>建築基準法（シックハウス対応含む）および学校環境衛生基準を満たす換気量の1.2倍となっている。</t>
    <rPh sb="20" eb="22">
      <t>ガッコウ</t>
    </rPh>
    <rPh sb="22" eb="24">
      <t>カンキョウ</t>
    </rPh>
    <rPh sb="24" eb="26">
      <t>エイセイ</t>
    </rPh>
    <rPh sb="26" eb="28">
      <t>キジュン</t>
    </rPh>
    <phoneticPr fontId="22"/>
  </si>
  <si>
    <t>建築基準法（シックハウス対応含む）および学校環境衛生基準を満たす換気量の1.4倍となっている。</t>
    <rPh sb="20" eb="22">
      <t>ガッコウ</t>
    </rPh>
    <rPh sb="22" eb="24">
      <t>カンキョウ</t>
    </rPh>
    <rPh sb="24" eb="26">
      <t>エイセイ</t>
    </rPh>
    <rPh sb="26" eb="28">
      <t>キジュン</t>
    </rPh>
    <phoneticPr fontId="22"/>
  </si>
  <si>
    <r>
      <t xml:space="preserve">2.1.2 </t>
    </r>
    <r>
      <rPr>
        <b/>
        <sz val="10"/>
        <rFont val="ＭＳ Ｐゴシック"/>
        <family val="3"/>
        <charset val="128"/>
      </rPr>
      <t>免震・制震・制振性能（内部設備保護）</t>
    </r>
    <rPh sb="17" eb="19">
      <t>ナイブ</t>
    </rPh>
    <rPh sb="19" eb="21">
      <t>セツビ</t>
    </rPh>
    <rPh sb="21" eb="23">
      <t>ホゴ</t>
    </rPh>
    <phoneticPr fontId="22"/>
  </si>
  <si>
    <t>耐震クラスS（Aクラスに加え、大きな補修をすることなく全ての機能が確保できる。）または、動的解析を行った上で設計用水平震度KHを2.0以上としている。</t>
    <rPh sb="44" eb="46">
      <t>ドウテキ</t>
    </rPh>
    <rPh sb="46" eb="48">
      <t>カイセキ</t>
    </rPh>
    <rPh sb="49" eb="50">
      <t>オコナ</t>
    </rPh>
    <rPh sb="52" eb="53">
      <t>ウエ</t>
    </rPh>
    <rPh sb="54" eb="57">
      <t>セッケイヨウ</t>
    </rPh>
    <rPh sb="57" eb="59">
      <t>スイヘイ</t>
    </rPh>
    <rPh sb="59" eb="61">
      <t>シンド</t>
    </rPh>
    <rPh sb="67" eb="69">
      <t>イジョウ</t>
    </rPh>
    <phoneticPr fontId="22"/>
  </si>
  <si>
    <t>1) 我が国や地域の生態系に悪影響を及ぼす外来種に関し、適切な対応を行っている。</t>
    <rPh sb="3" eb="4">
      <t>ワ</t>
    </rPh>
    <rPh sb="5" eb="6">
      <t>クニ</t>
    </rPh>
    <rPh sb="7" eb="9">
      <t>チイキ</t>
    </rPh>
    <rPh sb="10" eb="13">
      <t>セイタイケイ</t>
    </rPh>
    <rPh sb="14" eb="17">
      <t>アクエイキョウ</t>
    </rPh>
    <rPh sb="18" eb="19">
      <t>オヨ</t>
    </rPh>
    <rPh sb="21" eb="23">
      <t>ガイライ</t>
    </rPh>
    <rPh sb="23" eb="24">
      <t>シュ</t>
    </rPh>
    <rPh sb="25" eb="26">
      <t>カン</t>
    </rPh>
    <rPh sb="28" eb="30">
      <t>テキセツ</t>
    </rPh>
    <rPh sb="31" eb="33">
      <t>タイオウ</t>
    </rPh>
    <rPh sb="34" eb="35">
      <t>オコナ</t>
    </rPh>
    <phoneticPr fontId="22"/>
  </si>
  <si>
    <t>2) 自生種の保全に配慮した緑地づくりを行っている。</t>
    <phoneticPr fontId="22"/>
  </si>
  <si>
    <t>3) 敷地や建物の植栽条件に応じた適切な緑地づくりを行っている。</t>
    <phoneticPr fontId="22"/>
  </si>
  <si>
    <t>4) 野生小動物の生息域の確保に配慮した緑地づくりを行っている。</t>
    <phoneticPr fontId="22"/>
  </si>
  <si>
    <t>I 地域固有の風土、
歴史、文化の継承</t>
    <phoneticPr fontId="22"/>
  </si>
  <si>
    <t>II 空間・施設機能の提供
による地域貢献</t>
    <phoneticPr fontId="22"/>
  </si>
  <si>
    <t>III 建物内外を連関させる
豊かな中間領域の形成</t>
    <phoneticPr fontId="22"/>
  </si>
  <si>
    <t>日本住宅性能表示基準「5-1断熱等性能等級」における等級４相当である。</t>
    <rPh sb="29" eb="31">
      <t>ソウトウ</t>
    </rPh>
    <phoneticPr fontId="22"/>
  </si>
  <si>
    <r>
      <t>主要構造躯体のコンクリート基準強度Fc及び主筋鉄筋の基準強度F
（単位:N/mm</t>
    </r>
    <r>
      <rPr>
        <vertAlign val="superscript"/>
        <sz val="9"/>
        <rFont val="ＭＳ Ｐゴシック"/>
        <family val="3"/>
        <charset val="128"/>
      </rPr>
      <t>2</t>
    </r>
    <r>
      <rPr>
        <sz val="9"/>
        <rFont val="ＭＳ Ｐゴシック"/>
        <family val="3"/>
        <charset val="128"/>
      </rPr>
      <t>）</t>
    </r>
    <rPh sb="13" eb="15">
      <t>キジュン</t>
    </rPh>
    <rPh sb="26" eb="28">
      <t>キジュン</t>
    </rPh>
    <rPh sb="33" eb="35">
      <t>タンイ</t>
    </rPh>
    <phoneticPr fontId="22"/>
  </si>
  <si>
    <t>主要構造躯体の鉄骨の基準強度F
（単位:N/mm2）</t>
    <rPh sb="10" eb="12">
      <t>キジュン</t>
    </rPh>
    <phoneticPr fontId="22"/>
  </si>
  <si>
    <t>I 温熱環境の事前調査</t>
    <phoneticPr fontId="22"/>
  </si>
  <si>
    <t>II 敷地外への熱的な影響を低減する対策</t>
    <phoneticPr fontId="22"/>
  </si>
  <si>
    <t>III 効果の確認</t>
    <phoneticPr fontId="22"/>
  </si>
  <si>
    <t>指導された規模の雨水流出抑制対策を実施している。</t>
    <rPh sb="8" eb="10">
      <t>ウスイ</t>
    </rPh>
    <phoneticPr fontId="22"/>
  </si>
  <si>
    <t>レベル３を満たし、かつそれ以上の雨水流出抑制対策等を実施しているが、レベル５を満たさない。</t>
    <rPh sb="5" eb="6">
      <t>ミ</t>
    </rPh>
    <rPh sb="13" eb="15">
      <t>イジョウ</t>
    </rPh>
    <rPh sb="16" eb="18">
      <t>ウスイ</t>
    </rPh>
    <rPh sb="18" eb="20">
      <t>リュウシュツ</t>
    </rPh>
    <rPh sb="20" eb="22">
      <t>ヨクセイ</t>
    </rPh>
    <rPh sb="22" eb="24">
      <t>タイサク</t>
    </rPh>
    <rPh sb="24" eb="25">
      <t>トウ</t>
    </rPh>
    <rPh sb="26" eb="28">
      <t>ジッシ</t>
    </rPh>
    <rPh sb="39" eb="40">
      <t>ミ</t>
    </rPh>
    <phoneticPr fontId="22"/>
  </si>
  <si>
    <t>雨水流出抑制対策等を実施しているが、レベル５を満たさない。</t>
    <rPh sb="0" eb="2">
      <t>ウスイ</t>
    </rPh>
    <rPh sb="2" eb="4">
      <t>リュウシュツ</t>
    </rPh>
    <rPh sb="4" eb="6">
      <t>ヨクセイ</t>
    </rPh>
    <rPh sb="6" eb="8">
      <t>タイサク</t>
    </rPh>
    <rPh sb="8" eb="9">
      <t>トウ</t>
    </rPh>
    <rPh sb="10" eb="12">
      <t>ジッシ</t>
    </rPh>
    <rPh sb="23" eb="24">
      <t>ミ</t>
    </rPh>
    <phoneticPr fontId="22"/>
  </si>
  <si>
    <t>雨水流出抑制対策等を実施していない。</t>
    <rPh sb="0" eb="2">
      <t>ウスイ</t>
    </rPh>
    <rPh sb="8" eb="9">
      <t>トウ</t>
    </rPh>
    <phoneticPr fontId="22"/>
  </si>
  <si>
    <t>レベル３を満たし、かつ「雨水活用技術規準」（日本建築学会）に示された「基本蓄雨高100㎜」に必要な蓄雨高を敷地内で確保している。</t>
    <rPh sb="5" eb="6">
      <t>ミ</t>
    </rPh>
    <rPh sb="12" eb="14">
      <t>ウスイ</t>
    </rPh>
    <rPh sb="14" eb="16">
      <t>カツヨウ</t>
    </rPh>
    <rPh sb="16" eb="18">
      <t>ギジュツ</t>
    </rPh>
    <rPh sb="18" eb="20">
      <t>キジュン</t>
    </rPh>
    <rPh sb="22" eb="24">
      <t>ニホン</t>
    </rPh>
    <rPh sb="24" eb="26">
      <t>ケンチク</t>
    </rPh>
    <rPh sb="26" eb="28">
      <t>ガッカイ</t>
    </rPh>
    <rPh sb="30" eb="31">
      <t>シメ</t>
    </rPh>
    <rPh sb="35" eb="37">
      <t>キホン</t>
    </rPh>
    <rPh sb="37" eb="38">
      <t>チク</t>
    </rPh>
    <rPh sb="38" eb="39">
      <t>アメ</t>
    </rPh>
    <rPh sb="39" eb="40">
      <t>タカ</t>
    </rPh>
    <rPh sb="46" eb="48">
      <t>ヒツヨウ</t>
    </rPh>
    <rPh sb="49" eb="50">
      <t>チク</t>
    </rPh>
    <rPh sb="50" eb="51">
      <t>アメ</t>
    </rPh>
    <rPh sb="51" eb="52">
      <t>タカ</t>
    </rPh>
    <rPh sb="53" eb="55">
      <t>シキチ</t>
    </rPh>
    <rPh sb="55" eb="56">
      <t>ナイ</t>
    </rPh>
    <rPh sb="57" eb="59">
      <t>カクホ</t>
    </rPh>
    <phoneticPr fontId="22"/>
  </si>
  <si>
    <t>事・学・物・飲・会・病・ホ・工・住　&lt;行政指導がない場合&gt;</t>
    <phoneticPr fontId="22"/>
  </si>
  <si>
    <t>事・学・物・飲・会・病・ホ・工・住　&lt;行政指導がある場合&gt;</t>
    <phoneticPr fontId="22"/>
  </si>
  <si>
    <r>
      <t>騒音規制法または大規模小売店舗立地法に定める現行の規制基準</t>
    </r>
    <r>
      <rPr>
        <vertAlign val="superscript"/>
        <sz val="9"/>
        <rFont val="ＭＳ Ｐゴシック"/>
        <family val="3"/>
        <charset val="128"/>
      </rPr>
      <t>注*1</t>
    </r>
    <r>
      <rPr>
        <sz val="9"/>
        <rFont val="ＭＳ Ｐゴシック"/>
        <family val="3"/>
        <charset val="128"/>
      </rPr>
      <t>を上回っている</t>
    </r>
    <phoneticPr fontId="22"/>
  </si>
  <si>
    <r>
      <t>騒音規制法または大規模小売店舗立地法に定める現行の規制基準</t>
    </r>
    <r>
      <rPr>
        <vertAlign val="superscript"/>
        <sz val="9"/>
        <rFont val="ＭＳ Ｐゴシック"/>
        <family val="3"/>
        <charset val="128"/>
      </rPr>
      <t>注*1</t>
    </r>
    <r>
      <rPr>
        <sz val="9"/>
        <rFont val="ＭＳ Ｐゴシック"/>
        <family val="3"/>
        <charset val="128"/>
      </rPr>
      <t>以下に抑えられている</t>
    </r>
    <phoneticPr fontId="22"/>
  </si>
  <si>
    <r>
      <t>騒音規制法または大規模小売店舗立地法に定める現行の規制基準</t>
    </r>
    <r>
      <rPr>
        <vertAlign val="superscript"/>
        <sz val="9"/>
        <rFont val="ＭＳ Ｐゴシック"/>
        <family val="3"/>
        <charset val="128"/>
      </rPr>
      <t>注*1</t>
    </r>
    <r>
      <rPr>
        <sz val="9"/>
        <rFont val="ＭＳ Ｐゴシック"/>
        <family val="3"/>
        <charset val="128"/>
      </rPr>
      <t>より大幅</t>
    </r>
    <r>
      <rPr>
        <vertAlign val="superscript"/>
        <sz val="9"/>
        <rFont val="ＭＳ Ｐゴシック"/>
        <family val="3"/>
        <charset val="128"/>
      </rPr>
      <t>注*2</t>
    </r>
    <r>
      <rPr>
        <sz val="9"/>
        <rFont val="ＭＳ Ｐゴシック"/>
        <family val="3"/>
        <charset val="128"/>
      </rPr>
      <t>に抑えられている</t>
    </r>
    <rPh sb="0" eb="2">
      <t>ソウオン</t>
    </rPh>
    <rPh sb="2" eb="5">
      <t>キセイホウ</t>
    </rPh>
    <rPh sb="8" eb="11">
      <t>ダイキボ</t>
    </rPh>
    <rPh sb="11" eb="13">
      <t>コウリ</t>
    </rPh>
    <rPh sb="13" eb="15">
      <t>テンポ</t>
    </rPh>
    <rPh sb="15" eb="17">
      <t>リッチ</t>
    </rPh>
    <rPh sb="17" eb="18">
      <t>ホウ</t>
    </rPh>
    <rPh sb="19" eb="20">
      <t>サダ</t>
    </rPh>
    <rPh sb="22" eb="24">
      <t>ゲンコウ</t>
    </rPh>
    <rPh sb="25" eb="27">
      <t>キセイ</t>
    </rPh>
    <rPh sb="27" eb="29">
      <t>キジュン</t>
    </rPh>
    <rPh sb="29" eb="30">
      <t>チュウ</t>
    </rPh>
    <rPh sb="34" eb="36">
      <t>オオハバ</t>
    </rPh>
    <rPh sb="36" eb="37">
      <t>チュウ</t>
    </rPh>
    <rPh sb="40" eb="41">
      <t>オサ</t>
    </rPh>
    <phoneticPr fontId="22"/>
  </si>
  <si>
    <t>悪臭防止法ならびに地域の条例等に定める特定悪臭物質の濃度の許容限度及び臭気指数の許容限度を満たしている。</t>
    <rPh sb="9" eb="11">
      <t>チイキ</t>
    </rPh>
    <rPh sb="12" eb="14">
      <t>ジョウレイ</t>
    </rPh>
    <rPh sb="14" eb="15">
      <t>トウ</t>
    </rPh>
    <phoneticPr fontId="22"/>
  </si>
  <si>
    <t>悪臭防止法ならびに地域の条例等に定める現行の特定悪臭物質の濃度の許容限度及び臭気指数の許容限度を下回るレベルである。</t>
    <rPh sb="9" eb="11">
      <t>チイキ</t>
    </rPh>
    <rPh sb="12" eb="14">
      <t>ジョウレイ</t>
    </rPh>
    <rPh sb="14" eb="15">
      <t>トウ</t>
    </rPh>
    <phoneticPr fontId="22"/>
  </si>
  <si>
    <t>室内騒音レベル</t>
    <rPh sb="0" eb="2">
      <t>シツナイ</t>
    </rPh>
    <phoneticPr fontId="22"/>
  </si>
  <si>
    <t>室内騒音レベル</t>
    <rPh sb="0" eb="2">
      <t>シツナイ</t>
    </rPh>
    <phoneticPr fontId="22"/>
  </si>
  <si>
    <t xml:space="preserve">[BEI][BEIm] = </t>
    <phoneticPr fontId="22"/>
  </si>
  <si>
    <t>-</t>
    <phoneticPr fontId="22"/>
  </si>
  <si>
    <t>IS</t>
    <phoneticPr fontId="22"/>
  </si>
  <si>
    <t>インテリア</t>
    <phoneticPr fontId="22"/>
  </si>
  <si>
    <r>
      <t>CASBEE-短期使用</t>
    </r>
    <r>
      <rPr>
        <sz val="9"/>
        <rFont val="Arial"/>
        <family val="2"/>
      </rPr>
      <t>2016</t>
    </r>
    <r>
      <rPr>
        <sz val="9"/>
        <rFont val="ＭＳ Ｐゴシック"/>
        <family val="3"/>
        <charset val="128"/>
      </rPr>
      <t>年版</t>
    </r>
    <rPh sb="7" eb="9">
      <t>タンキ</t>
    </rPh>
    <rPh sb="9" eb="11">
      <t>シヨウ</t>
    </rPh>
    <rPh sb="15" eb="16">
      <t>ネン</t>
    </rPh>
    <rPh sb="16" eb="17">
      <t>バン</t>
    </rPh>
    <phoneticPr fontId="22"/>
  </si>
  <si>
    <r>
      <t>CASBEE-</t>
    </r>
    <r>
      <rPr>
        <sz val="9"/>
        <rFont val="ＭＳ Ｐゴシック"/>
        <family val="3"/>
        <charset val="128"/>
      </rPr>
      <t>建築</t>
    </r>
    <r>
      <rPr>
        <sz val="9"/>
        <rFont val="Arial"/>
        <family val="2"/>
      </rPr>
      <t>(</t>
    </r>
    <r>
      <rPr>
        <sz val="9"/>
        <rFont val="ＭＳ Ｐゴシック"/>
        <family val="3"/>
        <charset val="128"/>
      </rPr>
      <t>既存</t>
    </r>
    <r>
      <rPr>
        <sz val="9"/>
        <rFont val="Arial"/>
        <family val="2"/>
      </rPr>
      <t>)2016</t>
    </r>
    <r>
      <rPr>
        <sz val="9"/>
        <rFont val="ＭＳ Ｐゴシック"/>
        <family val="3"/>
        <charset val="128"/>
      </rPr>
      <t>年版</t>
    </r>
    <rPh sb="7" eb="9">
      <t>ケンチク</t>
    </rPh>
    <rPh sb="10" eb="12">
      <t>キゾン</t>
    </rPh>
    <rPh sb="17" eb="18">
      <t>ネン</t>
    </rPh>
    <rPh sb="18" eb="19">
      <t>バン</t>
    </rPh>
    <phoneticPr fontId="22"/>
  </si>
  <si>
    <r>
      <t>CASBEE-</t>
    </r>
    <r>
      <rPr>
        <sz val="9"/>
        <rFont val="ＭＳ Ｐゴシック"/>
        <family val="3"/>
        <charset val="128"/>
      </rPr>
      <t>ｲﾝﾃﾘｱｽﾍﾟｰｽ</t>
    </r>
    <r>
      <rPr>
        <sz val="9"/>
        <rFont val="Arial"/>
        <family val="2"/>
      </rPr>
      <t>2016</t>
    </r>
    <r>
      <rPr>
        <sz val="9"/>
        <rFont val="ＭＳ Ｐゴシック"/>
        <family val="3"/>
        <charset val="128"/>
      </rPr>
      <t>年版</t>
    </r>
    <rPh sb="21" eb="22">
      <t>ネン</t>
    </rPh>
    <rPh sb="22" eb="23">
      <t>バン</t>
    </rPh>
    <phoneticPr fontId="22"/>
  </si>
  <si>
    <t>XXX</t>
    <phoneticPr fontId="22"/>
  </si>
  <si>
    <r>
      <t>1-2</t>
    </r>
    <r>
      <rPr>
        <b/>
        <sz val="12"/>
        <color indexed="9"/>
        <rFont val="ＭＳ Ｐゴシック"/>
        <family val="3"/>
        <charset val="128"/>
      </rPr>
      <t>　評価対象概要</t>
    </r>
    <rPh sb="4" eb="6">
      <t>ヒョウカ</t>
    </rPh>
    <rPh sb="6" eb="8">
      <t>タイショウ</t>
    </rPh>
    <rPh sb="8" eb="10">
      <t>ガイヨウ</t>
    </rPh>
    <phoneticPr fontId="22"/>
  </si>
  <si>
    <t>評価対象名称</t>
    <rPh sb="0" eb="2">
      <t>ヒョウカ</t>
    </rPh>
    <rPh sb="2" eb="4">
      <t>タイショウ</t>
    </rPh>
    <rPh sb="4" eb="6">
      <t>メイショウ</t>
    </rPh>
    <phoneticPr fontId="22"/>
  </si>
  <si>
    <t>評価対象用途</t>
    <rPh sb="0" eb="2">
      <t>ﾋｮｳｶ</t>
    </rPh>
    <rPh sb="2" eb="4">
      <t>ﾀｲｼｮｳ</t>
    </rPh>
    <rPh sb="4" eb="6">
      <t>ﾖｳﾄ</t>
    </rPh>
    <phoneticPr fontId="34" type="noConversion"/>
  </si>
  <si>
    <t>使用開始</t>
    <rPh sb="0" eb="2">
      <t>シヨウ</t>
    </rPh>
    <rPh sb="2" eb="4">
      <t>カイシ</t>
    </rPh>
    <phoneticPr fontId="22"/>
  </si>
  <si>
    <t>専用面積</t>
    <rPh sb="0" eb="2">
      <t>センヨウ</t>
    </rPh>
    <rPh sb="2" eb="4">
      <t>メンセキ</t>
    </rPh>
    <phoneticPr fontId="22"/>
  </si>
  <si>
    <t>専用部の階</t>
    <rPh sb="0" eb="2">
      <t>センヨウ</t>
    </rPh>
    <rPh sb="2" eb="3">
      <t>ブ</t>
    </rPh>
    <rPh sb="4" eb="5">
      <t>カイ</t>
    </rPh>
    <phoneticPr fontId="22"/>
  </si>
  <si>
    <t>㎡</t>
    <phoneticPr fontId="34" type="noConversion"/>
  </si>
  <si>
    <r>
      <t>1-3</t>
    </r>
    <r>
      <rPr>
        <b/>
        <sz val="12"/>
        <color indexed="9"/>
        <rFont val="ＭＳ Ｐゴシック"/>
        <family val="3"/>
        <charset val="128"/>
      </rPr>
      <t>　外観</t>
    </r>
    <rPh sb="4" eb="6">
      <t>ガイカン</t>
    </rPh>
    <phoneticPr fontId="22"/>
  </si>
  <si>
    <t>豊かな室外環境</t>
    <phoneticPr fontId="22"/>
  </si>
  <si>
    <t>豊かな室外環境</t>
    <rPh sb="0" eb="1">
      <t>ﾕﾀ</t>
    </rPh>
    <rPh sb="3" eb="5">
      <t>ｼﾂｶﾞｲ</t>
    </rPh>
    <rPh sb="5" eb="7">
      <t>ｶﾝｷｮｳ</t>
    </rPh>
    <phoneticPr fontId="34" type="noConversion"/>
  </si>
  <si>
    <t>知的生産性向上の取組み</t>
    <rPh sb="0" eb="7">
      <t>チテキセイサンセイコウジョウ</t>
    </rPh>
    <rPh sb="8" eb="10">
      <t>トリクミ</t>
    </rPh>
    <phoneticPr fontId="22"/>
  </si>
  <si>
    <t>４．ｲﾝﾃﾘｱｽﾍﾟｰｽ</t>
    <phoneticPr fontId="22"/>
  </si>
  <si>
    <t>知的生産性向上の取組み</t>
    <rPh sb="0" eb="2">
      <t>チテキ</t>
    </rPh>
    <rPh sb="2" eb="5">
      <t>セイサンセイ</t>
    </rPh>
    <rPh sb="5" eb="7">
      <t>コウジョウ</t>
    </rPh>
    <rPh sb="8" eb="10">
      <t>トリクミ</t>
    </rPh>
    <phoneticPr fontId="22"/>
  </si>
  <si>
    <t>（天井高）</t>
    <rPh sb="1" eb="3">
      <t>テンジョウ</t>
    </rPh>
    <rPh sb="3" eb="4">
      <t>ダカ</t>
    </rPh>
    <phoneticPr fontId="22"/>
  </si>
  <si>
    <t>（窓の配置）</t>
    <rPh sb="1" eb="2">
      <t>マド</t>
    </rPh>
    <rPh sb="3" eb="5">
      <t>ハイチ</t>
    </rPh>
    <phoneticPr fontId="22"/>
  </si>
  <si>
    <t>広さ感・景観（天井高）</t>
    <rPh sb="7" eb="9">
      <t>テンジョウ</t>
    </rPh>
    <rPh sb="9" eb="10">
      <t>ダカ</t>
    </rPh>
    <phoneticPr fontId="22"/>
  </si>
  <si>
    <t>広さ感・景観（窓）</t>
    <rPh sb="7" eb="8">
      <t>マド</t>
    </rPh>
    <phoneticPr fontId="22"/>
  </si>
  <si>
    <t>1.2.2</t>
  </si>
  <si>
    <t>1.2.3</t>
  </si>
  <si>
    <t>1.2.4</t>
  </si>
  <si>
    <t>1.2.5</t>
  </si>
  <si>
    <t>豊かな室外環境</t>
    <rPh sb="0" eb="1">
      <t>ユタ</t>
    </rPh>
    <rPh sb="3" eb="5">
      <t>シツガイ</t>
    </rPh>
    <rPh sb="5" eb="7">
      <t>カンキョウ</t>
    </rPh>
    <phoneticPr fontId="22"/>
  </si>
  <si>
    <t>2.3.4</t>
    <phoneticPr fontId="22"/>
  </si>
  <si>
    <t>空調方式（新築）</t>
    <rPh sb="0" eb="2">
      <t>クウチョウ</t>
    </rPh>
    <rPh sb="2" eb="4">
      <t>ホウシキ</t>
    </rPh>
    <rPh sb="5" eb="7">
      <t>シンチク</t>
    </rPh>
    <phoneticPr fontId="22"/>
  </si>
  <si>
    <t>空調方式（既存）</t>
    <rPh sb="0" eb="2">
      <t>クウチョウ</t>
    </rPh>
    <rPh sb="2" eb="4">
      <t>ホウシキ</t>
    </rPh>
    <rPh sb="5" eb="7">
      <t>キゾン</t>
    </rPh>
    <phoneticPr fontId="22"/>
  </si>
  <si>
    <r>
      <rPr>
        <sz val="9"/>
        <rFont val="ＭＳ Ｐゴシック"/>
        <family val="3"/>
        <charset val="128"/>
      </rPr>
      <t>採点シートの
採点結果</t>
    </r>
    <rPh sb="0" eb="2">
      <t>サイテン</t>
    </rPh>
    <rPh sb="7" eb="9">
      <t>サイテン</t>
    </rPh>
    <rPh sb="9" eb="11">
      <t>ケッカ</t>
    </rPh>
    <phoneticPr fontId="22"/>
  </si>
  <si>
    <r>
      <rPr>
        <sz val="9"/>
        <rFont val="ＭＳ Ｐゴシック"/>
        <family val="3"/>
        <charset val="128"/>
      </rPr>
      <t>建物全体</t>
    </r>
    <rPh sb="0" eb="2">
      <t>タテモノ</t>
    </rPh>
    <rPh sb="2" eb="4">
      <t>ゼンタイ</t>
    </rPh>
    <phoneticPr fontId="22"/>
  </si>
  <si>
    <r>
      <rPr>
        <sz val="9"/>
        <rFont val="ＭＳ Ｐゴシック"/>
        <family val="3"/>
        <charset val="128"/>
      </rPr>
      <t>住居宿泊</t>
    </r>
    <rPh sb="0" eb="2">
      <t>ジュウキョ</t>
    </rPh>
    <rPh sb="2" eb="4">
      <t>シュクハク</t>
    </rPh>
    <phoneticPr fontId="22"/>
  </si>
  <si>
    <t>LR1/3の</t>
    <phoneticPr fontId="22"/>
  </si>
  <si>
    <t>年間使用時間</t>
    <rPh sb="0" eb="2">
      <t>ネンカン</t>
    </rPh>
    <rPh sb="2" eb="4">
      <t>シヨウ</t>
    </rPh>
    <rPh sb="4" eb="6">
      <t>ジカン</t>
    </rPh>
    <phoneticPr fontId="22"/>
  </si>
  <si>
    <t>日平均使用時間</t>
    <rPh sb="0" eb="1">
      <t>ニチ</t>
    </rPh>
    <rPh sb="1" eb="3">
      <t>ヘイキン</t>
    </rPh>
    <rPh sb="3" eb="5">
      <t>シヨウ</t>
    </rPh>
    <rPh sb="5" eb="7">
      <t>ジカン</t>
    </rPh>
    <phoneticPr fontId="22"/>
  </si>
  <si>
    <r>
      <t>kg-CO</t>
    </r>
    <r>
      <rPr>
        <vertAlign val="subscript"/>
        <sz val="10"/>
        <rFont val="ＭＳ Ｐゴシック"/>
        <family val="3"/>
        <charset val="128"/>
      </rPr>
      <t>2</t>
    </r>
    <r>
      <rPr>
        <sz val="10"/>
        <rFont val="ＭＳ Ｐゴシック"/>
        <family val="3"/>
        <charset val="128"/>
      </rPr>
      <t>/kWh</t>
    </r>
    <phoneticPr fontId="22"/>
  </si>
  <si>
    <r>
      <t>ｔ-CO</t>
    </r>
    <r>
      <rPr>
        <vertAlign val="subscript"/>
        <sz val="11"/>
        <rFont val="ＭＳ Ｐゴシック"/>
        <family val="3"/>
        <charset val="128"/>
      </rPr>
      <t>2</t>
    </r>
    <r>
      <rPr>
        <sz val="11"/>
        <rFont val="ＭＳ Ｐゴシック"/>
        <family val="3"/>
        <charset val="128"/>
      </rPr>
      <t>/kWh</t>
    </r>
    <phoneticPr fontId="22"/>
  </si>
  <si>
    <r>
      <t>(t-CO</t>
    </r>
    <r>
      <rPr>
        <vertAlign val="subscript"/>
        <sz val="11"/>
        <rFont val="ＭＳ Ｐゴシック"/>
        <family val="3"/>
        <charset val="128"/>
      </rPr>
      <t>2</t>
    </r>
    <r>
      <rPr>
        <sz val="11"/>
        <rFont val="ＭＳ Ｐゴシック"/>
        <family val="3"/>
        <charset val="128"/>
      </rPr>
      <t>/kWh)</t>
    </r>
    <phoneticPr fontId="22"/>
  </si>
  <si>
    <t>■建物名称　</t>
    <rPh sb="1" eb="3">
      <t>タテモノ</t>
    </rPh>
    <rPh sb="3" eb="5">
      <t>メイショウ</t>
    </rPh>
    <phoneticPr fontId="22"/>
  </si>
  <si>
    <t>　注）　設計における総合的なコンセプトを簡潔に記載してください。
　</t>
    <rPh sb="4" eb="6">
      <t>セッケイ</t>
    </rPh>
    <phoneticPr fontId="22"/>
  </si>
  <si>
    <t>　注）　「Q1　室内環境」に対する配慮事項を簡潔に記載してください。</t>
    <rPh sb="17" eb="19">
      <t>ハイリョ</t>
    </rPh>
    <rPh sb="19" eb="21">
      <t>ジコウ</t>
    </rPh>
    <phoneticPr fontId="22"/>
  </si>
  <si>
    <t>　注）　「Q2　サービス性能」に対する配慮事項を簡潔に記載してください。</t>
    <phoneticPr fontId="22"/>
  </si>
  <si>
    <t>　注）　「Q3　室外環境（敷地内）」に対する配慮事項を簡潔に記載してください。</t>
    <phoneticPr fontId="22"/>
  </si>
  <si>
    <t>　注）　「LR1　エネルギー」に対する配慮事項を簡潔に記載してください。</t>
    <phoneticPr fontId="22"/>
  </si>
  <si>
    <t>　注）　「LR2　資源・マテリアル」に対する配慮事項を簡潔に記載してください。</t>
    <phoneticPr fontId="22"/>
  </si>
  <si>
    <t>　注）　「LR3　敷地外環境」に対する配慮事項を簡潔に記載してください。</t>
    <phoneticPr fontId="22"/>
  </si>
  <si>
    <t>　注）　上記の６つのカテゴリー以外に、建設工事における廃棄物削減・リサイクル、歴史的建造物の保存など、建物自体の環境性能としてＣＡＳＢＥＥで評価し難い環境配慮の取組みがあれば、ここに記載してください。</t>
    <rPh sb="19" eb="21">
      <t>ケンセツ</t>
    </rPh>
    <phoneticPr fontId="22"/>
  </si>
  <si>
    <t>注記；</t>
    <rPh sb="0" eb="2">
      <t>チュウキ</t>
    </rPh>
    <phoneticPr fontId="22"/>
  </si>
  <si>
    <t>住宅部分は、運用段階のLCCO2の算定に必要となるため、一次エネルギー消費量を入力する。なお非住宅部分については、LR1/3．設備システムの高効率化、および運用段階のLCCO2の算定ともにBEIを用いているため、一次エネルギー消費量の入力は不要（ただしオンサイトの取組分は要入力）。</t>
    <rPh sb="20" eb="22">
      <t>ヒツヨウ</t>
    </rPh>
    <rPh sb="28" eb="30">
      <t>イチジ</t>
    </rPh>
    <rPh sb="35" eb="38">
      <t>ショウヒリョウ</t>
    </rPh>
    <rPh sb="39" eb="41">
      <t>ニュウリョク</t>
    </rPh>
    <rPh sb="46" eb="47">
      <t>ヒ</t>
    </rPh>
    <rPh sb="47" eb="49">
      <t>ジュウタク</t>
    </rPh>
    <rPh sb="49" eb="51">
      <t>ブブン</t>
    </rPh>
    <rPh sb="63" eb="65">
      <t>セツビ</t>
    </rPh>
    <rPh sb="70" eb="74">
      <t>コウコウリツカ</t>
    </rPh>
    <rPh sb="78" eb="80">
      <t>ウンヨウ</t>
    </rPh>
    <rPh sb="80" eb="82">
      <t>ダンカイ</t>
    </rPh>
    <rPh sb="89" eb="91">
      <t>サンテイ</t>
    </rPh>
    <rPh sb="98" eb="99">
      <t>モチ</t>
    </rPh>
    <rPh sb="106" eb="108">
      <t>イチジ</t>
    </rPh>
    <rPh sb="113" eb="116">
      <t>ショウヒリョウ</t>
    </rPh>
    <rPh sb="117" eb="119">
      <t>ニュウリョク</t>
    </rPh>
    <rPh sb="120" eb="122">
      <t>フヨウ</t>
    </rPh>
    <rPh sb="132" eb="134">
      <t>トリクミ</t>
    </rPh>
    <rPh sb="134" eb="135">
      <t>ブン</t>
    </rPh>
    <rPh sb="136" eb="137">
      <t>ヨウ</t>
    </rPh>
    <rPh sb="137" eb="139">
      <t>ニュウリョク</t>
    </rPh>
    <phoneticPr fontId="22"/>
  </si>
  <si>
    <r>
      <t>kg-CO</t>
    </r>
    <r>
      <rPr>
        <vertAlign val="subscript"/>
        <sz val="10"/>
        <rFont val="ＭＳ Ｐゴシック"/>
        <family val="3"/>
        <charset val="128"/>
      </rPr>
      <t>2</t>
    </r>
    <r>
      <rPr>
        <sz val="10"/>
        <rFont val="ＭＳ Ｐゴシック"/>
        <family val="3"/>
        <charset val="128"/>
      </rPr>
      <t>/kWh）</t>
    </r>
    <phoneticPr fontId="22"/>
  </si>
  <si>
    <r>
      <t>b.　修繕・更新・解体に係るCO</t>
    </r>
    <r>
      <rPr>
        <b/>
        <vertAlign val="subscript"/>
        <sz val="11"/>
        <rFont val="ＭＳ Ｐゴシック"/>
        <family val="3"/>
        <charset val="128"/>
      </rPr>
      <t>2</t>
    </r>
    <r>
      <rPr>
        <b/>
        <sz val="11"/>
        <rFont val="ＭＳ Ｐゴシック"/>
        <family val="3"/>
        <charset val="128"/>
      </rPr>
      <t>排出量</t>
    </r>
    <rPh sb="3" eb="5">
      <t>シュウゼン</t>
    </rPh>
    <rPh sb="6" eb="8">
      <t>コウシン</t>
    </rPh>
    <rPh sb="9" eb="11">
      <t>カイタイ</t>
    </rPh>
    <rPh sb="12" eb="13">
      <t>カカ</t>
    </rPh>
    <rPh sb="17" eb="19">
      <t>ハイシュツ</t>
    </rPh>
    <rPh sb="19" eb="20">
      <t>リョウ</t>
    </rPh>
    <phoneticPr fontId="22"/>
  </si>
  <si>
    <r>
      <t>a.　建設に係るCO</t>
    </r>
    <r>
      <rPr>
        <b/>
        <vertAlign val="subscript"/>
        <sz val="11"/>
        <rFont val="ＭＳ Ｐゴシック"/>
        <family val="3"/>
        <charset val="128"/>
      </rPr>
      <t>2</t>
    </r>
    <r>
      <rPr>
        <b/>
        <sz val="11"/>
        <rFont val="ＭＳ Ｐゴシック"/>
        <family val="3"/>
        <charset val="128"/>
      </rPr>
      <t>排出量</t>
    </r>
    <rPh sb="3" eb="5">
      <t>ケンセツ</t>
    </rPh>
    <rPh sb="6" eb="7">
      <t>カカ</t>
    </rPh>
    <rPh sb="11" eb="13">
      <t>ハイシュツ</t>
    </rPh>
    <rPh sb="13" eb="14">
      <t>リョウ</t>
    </rPh>
    <phoneticPr fontId="22"/>
  </si>
  <si>
    <r>
      <t>■CO</t>
    </r>
    <r>
      <rPr>
        <b/>
        <vertAlign val="subscript"/>
        <sz val="12"/>
        <rFont val="ＭＳ Ｐゴシック"/>
        <family val="3"/>
        <charset val="128"/>
      </rPr>
      <t>2</t>
    </r>
    <r>
      <rPr>
        <b/>
        <sz val="12"/>
        <rFont val="ＭＳ Ｐゴシック"/>
        <family val="3"/>
        <charset val="128"/>
      </rPr>
      <t>データベース</t>
    </r>
    <phoneticPr fontId="22"/>
  </si>
  <si>
    <r>
      <t>c.　運用に係るCO</t>
    </r>
    <r>
      <rPr>
        <b/>
        <vertAlign val="subscript"/>
        <sz val="11"/>
        <rFont val="ＭＳ Ｐゴシック"/>
        <family val="3"/>
        <charset val="128"/>
      </rPr>
      <t>2</t>
    </r>
    <r>
      <rPr>
        <b/>
        <sz val="11"/>
        <rFont val="ＭＳ Ｐゴシック"/>
        <family val="3"/>
        <charset val="128"/>
      </rPr>
      <t>排出量</t>
    </r>
    <rPh sb="3" eb="5">
      <t>ウンヨウ</t>
    </rPh>
    <rPh sb="6" eb="7">
      <t>カカ</t>
    </rPh>
    <rPh sb="11" eb="13">
      <t>ハイシュツ</t>
    </rPh>
    <rPh sb="13" eb="14">
      <t>リョウ</t>
    </rPh>
    <phoneticPr fontId="22"/>
  </si>
  <si>
    <r>
      <t>CO</t>
    </r>
    <r>
      <rPr>
        <vertAlign val="subscript"/>
        <sz val="9"/>
        <rFont val="ＭＳ Ｐゴシック"/>
        <family val="3"/>
        <charset val="128"/>
      </rPr>
      <t>2</t>
    </r>
    <r>
      <rPr>
        <sz val="9"/>
        <rFont val="ＭＳ Ｐゴシック"/>
        <family val="3"/>
        <charset val="128"/>
      </rPr>
      <t>換算係数</t>
    </r>
    <rPh sb="3" eb="5">
      <t>カンサン</t>
    </rPh>
    <rPh sb="5" eb="7">
      <t>ケイスウ</t>
    </rPh>
    <phoneticPr fontId="22"/>
  </si>
  <si>
    <r>
      <t>kg-CO</t>
    </r>
    <r>
      <rPr>
        <vertAlign val="subscript"/>
        <sz val="10"/>
        <rFont val="ＭＳ Ｐゴシック"/>
        <family val="3"/>
        <charset val="128"/>
      </rPr>
      <t>2</t>
    </r>
    <r>
      <rPr>
        <sz val="10"/>
        <rFont val="ＭＳ Ｐゴシック"/>
        <family val="3"/>
        <charset val="128"/>
      </rPr>
      <t>/MJ</t>
    </r>
    <phoneticPr fontId="22"/>
  </si>
  <si>
    <r>
      <t>(t-CO</t>
    </r>
    <r>
      <rPr>
        <vertAlign val="subscript"/>
        <sz val="10"/>
        <rFont val="ＭＳ Ｐゴシック"/>
        <family val="3"/>
        <charset val="128"/>
      </rPr>
      <t>2</t>
    </r>
    <r>
      <rPr>
        <sz val="10"/>
        <rFont val="ＭＳ Ｐゴシック"/>
        <family val="3"/>
        <charset val="128"/>
      </rPr>
      <t>/kWh)</t>
    </r>
    <phoneticPr fontId="22"/>
  </si>
  <si>
    <r>
      <t>LR1/3 仕様基準評価の場合のCO</t>
    </r>
    <r>
      <rPr>
        <b/>
        <vertAlign val="subscript"/>
        <sz val="10"/>
        <rFont val="ＭＳ Ｐゴシック"/>
        <family val="3"/>
        <charset val="128"/>
      </rPr>
      <t>2</t>
    </r>
    <r>
      <rPr>
        <b/>
        <sz val="10"/>
        <rFont val="ＭＳ Ｐゴシック"/>
        <family val="3"/>
        <charset val="128"/>
      </rPr>
      <t>排出量算出に用いる一次エネルギー消費量</t>
    </r>
    <rPh sb="6" eb="8">
      <t>シヨウ</t>
    </rPh>
    <rPh sb="8" eb="10">
      <t>キジュン</t>
    </rPh>
    <rPh sb="10" eb="12">
      <t>ヒョウカ</t>
    </rPh>
    <rPh sb="13" eb="15">
      <t>バアイ</t>
    </rPh>
    <phoneticPr fontId="22"/>
  </si>
  <si>
    <r>
      <t>MJ/年m</t>
    </r>
    <r>
      <rPr>
        <vertAlign val="superscript"/>
        <sz val="10"/>
        <rFont val="ＭＳ Ｐゴシック"/>
        <family val="3"/>
        <charset val="128"/>
      </rPr>
      <t>2</t>
    </r>
    <rPh sb="3" eb="4">
      <t>ネン</t>
    </rPh>
    <phoneticPr fontId="22"/>
  </si>
  <si>
    <t>既存躯体100%</t>
    <rPh sb="0" eb="2">
      <t>キソン</t>
    </rPh>
    <rPh sb="2" eb="4">
      <t>クタイ</t>
    </rPh>
    <phoneticPr fontId="22"/>
  </si>
  <si>
    <t>一次エネルギー消費性能（BEI等の転記）</t>
    <rPh sb="0" eb="2">
      <t>イチジ</t>
    </rPh>
    <rPh sb="7" eb="9">
      <t>ショウヒ</t>
    </rPh>
    <rPh sb="9" eb="11">
      <t>セイノウ</t>
    </rPh>
    <rPh sb="15" eb="16">
      <t>トウ</t>
    </rPh>
    <rPh sb="17" eb="19">
      <t>テンキ</t>
    </rPh>
    <phoneticPr fontId="22"/>
  </si>
  <si>
    <t xml:space="preserve">[BEI] = </t>
    <phoneticPr fontId="22"/>
  </si>
  <si>
    <t>住</t>
    <rPh sb="0" eb="1">
      <t>ジュウ</t>
    </rPh>
    <phoneticPr fontId="22"/>
  </si>
  <si>
    <t>■住宅部分（専有部）において算定プログラムを使わない場合、以下の３カ所を必ず選択して下さい。</t>
    <rPh sb="1" eb="3">
      <t>ジュウタク</t>
    </rPh>
    <rPh sb="3" eb="5">
      <t>ブブン</t>
    </rPh>
    <rPh sb="6" eb="9">
      <t>センユウブ</t>
    </rPh>
    <rPh sb="14" eb="16">
      <t>サンテイ</t>
    </rPh>
    <rPh sb="22" eb="23">
      <t>ツカ</t>
    </rPh>
    <rPh sb="26" eb="28">
      <t>バアイ</t>
    </rPh>
    <rPh sb="29" eb="31">
      <t>イカ</t>
    </rPh>
    <rPh sb="34" eb="35">
      <t>ショ</t>
    </rPh>
    <rPh sb="36" eb="37">
      <t>カナラ</t>
    </rPh>
    <rPh sb="38" eb="40">
      <t>センタク</t>
    </rPh>
    <rPh sb="42" eb="43">
      <t>クダ</t>
    </rPh>
    <phoneticPr fontId="22"/>
  </si>
  <si>
    <t>一次エネルギー消費量の転記</t>
    <rPh sb="0" eb="2">
      <t>イチジ</t>
    </rPh>
    <rPh sb="7" eb="10">
      <t>ショウヒリョウ</t>
    </rPh>
    <rPh sb="11" eb="13">
      <t>テンキ</t>
    </rPh>
    <phoneticPr fontId="22"/>
  </si>
  <si>
    <t>ﾚﾍﾞﾙ４</t>
    <phoneticPr fontId="22"/>
  </si>
  <si>
    <t>（１）BEIによる評価</t>
    <rPh sb="9" eb="11">
      <t>ﾋｮｳｶ</t>
    </rPh>
    <phoneticPr fontId="34" type="noConversion"/>
  </si>
  <si>
    <t>（２）BEImによる評価</t>
    <rPh sb="10" eb="12">
      <t>ﾋｮｳｶ</t>
    </rPh>
    <phoneticPr fontId="34" type="noConversion"/>
  </si>
  <si>
    <t xml:space="preserve">[BEIm] = </t>
    <phoneticPr fontId="22"/>
  </si>
  <si>
    <t>対象面積(㎡)</t>
    <rPh sb="0" eb="2">
      <t>タイショウ</t>
    </rPh>
    <rPh sb="2" eb="4">
      <t>メンセキ</t>
    </rPh>
    <rPh sb="4" eb="6">
      <t>ユカメンセキ</t>
    </rPh>
    <phoneticPr fontId="22"/>
  </si>
  <si>
    <t>■用途別評価対象面積の入力</t>
    <rPh sb="1" eb="3">
      <t>ヨウト</t>
    </rPh>
    <rPh sb="3" eb="4">
      <t>ベツ</t>
    </rPh>
    <rPh sb="4" eb="6">
      <t>ヒョウカ</t>
    </rPh>
    <rPh sb="6" eb="8">
      <t>タイショウ</t>
    </rPh>
    <rPh sb="8" eb="10">
      <t>メンセキ</t>
    </rPh>
    <rPh sb="11" eb="13">
      <t>ニュウリョク</t>
    </rPh>
    <phoneticPr fontId="22"/>
  </si>
  <si>
    <t>（３）仕様基準による評価</t>
    <rPh sb="3" eb="5">
      <t>シヨウ</t>
    </rPh>
    <rPh sb="5" eb="7">
      <t>キジュン</t>
    </rPh>
    <rPh sb="10" eb="12">
      <t>ヒョウカ</t>
    </rPh>
    <phoneticPr fontId="22"/>
  </si>
  <si>
    <t>建物全体のBEI</t>
    <rPh sb="0" eb="2">
      <t>タテモノ</t>
    </rPh>
    <rPh sb="2" eb="4">
      <t>ゼンタイ</t>
    </rPh>
    <phoneticPr fontId="22"/>
  </si>
  <si>
    <t>下記（１）（２）（３）で評価する場合は空欄</t>
    <rPh sb="0" eb="2">
      <t>カキ</t>
    </rPh>
    <rPh sb="12" eb="14">
      <t>ヒョウカ</t>
    </rPh>
    <rPh sb="16" eb="18">
      <t>バアイ</t>
    </rPh>
    <rPh sb="19" eb="21">
      <t>クウラン</t>
    </rPh>
    <phoneticPr fontId="22"/>
  </si>
  <si>
    <t>評価対象面積</t>
    <rPh sb="0" eb="2">
      <t>ヒョウカ</t>
    </rPh>
    <rPh sb="2" eb="4">
      <t>タイショウ</t>
    </rPh>
    <rPh sb="4" eb="6">
      <t>メンセキ</t>
    </rPh>
    <phoneticPr fontId="22"/>
  </si>
  <si>
    <t>■建物全体のレベル（上記（１）（２）（３）による評価）</t>
    <rPh sb="1" eb="3">
      <t>タテモノ</t>
    </rPh>
    <rPh sb="3" eb="5">
      <t>ゼンタイ</t>
    </rPh>
    <rPh sb="10" eb="12">
      <t>ジョウキ</t>
    </rPh>
    <rPh sb="24" eb="26">
      <t>ヒョウカ</t>
    </rPh>
    <phoneticPr fontId="22"/>
  </si>
  <si>
    <t>（１）BEI</t>
    <phoneticPr fontId="22"/>
  </si>
  <si>
    <t>（２）BEIｍ</t>
    <phoneticPr fontId="22"/>
  </si>
  <si>
    <t>（３）仕様基準</t>
    <rPh sb="3" eb="5">
      <t>シヨウ</t>
    </rPh>
    <rPh sb="5" eb="7">
      <t>キジュン</t>
    </rPh>
    <phoneticPr fontId="22"/>
  </si>
  <si>
    <t>■評価対象面積の入力</t>
    <rPh sb="1" eb="3">
      <t>ヒョウカ</t>
    </rPh>
    <rPh sb="3" eb="5">
      <t>タイショウ</t>
    </rPh>
    <rPh sb="5" eb="7">
      <t>メンセキ</t>
    </rPh>
    <rPh sb="8" eb="10">
      <t>ニュウリョク</t>
    </rPh>
    <phoneticPr fontId="22"/>
  </si>
  <si>
    <t>㎡</t>
    <phoneticPr fontId="22"/>
  </si>
  <si>
    <t>仕様基準を適用した住戸の合計面積を入力</t>
    <rPh sb="0" eb="2">
      <t>シヨウ</t>
    </rPh>
    <rPh sb="2" eb="4">
      <t>キジュン</t>
    </rPh>
    <rPh sb="5" eb="7">
      <t>テキヨウ</t>
    </rPh>
    <rPh sb="9" eb="11">
      <t>ジュウコ</t>
    </rPh>
    <rPh sb="12" eb="14">
      <t>ゴウケイ</t>
    </rPh>
    <rPh sb="14" eb="16">
      <t>メンセキ</t>
    </rPh>
    <rPh sb="17" eb="19">
      <t>ニュウリョク</t>
    </rPh>
    <phoneticPr fontId="22"/>
  </si>
  <si>
    <t>住宅の共用部、住戸部分も含めたBEIを入力</t>
    <rPh sb="0" eb="2">
      <t>ジュウタク</t>
    </rPh>
    <rPh sb="3" eb="5">
      <t>キョウヨウ</t>
    </rPh>
    <rPh sb="5" eb="6">
      <t>ブ</t>
    </rPh>
    <rPh sb="7" eb="9">
      <t>ジュウコ</t>
    </rPh>
    <rPh sb="9" eb="11">
      <t>ブブン</t>
    </rPh>
    <rPh sb="12" eb="13">
      <t>フク</t>
    </rPh>
    <rPh sb="19" eb="21">
      <t>ニュウリョク</t>
    </rPh>
    <phoneticPr fontId="22"/>
  </si>
  <si>
    <t>評価対象面積合計</t>
    <rPh sb="0" eb="2">
      <t>ヒョウカ</t>
    </rPh>
    <rPh sb="2" eb="4">
      <t>タイショウ</t>
    </rPh>
    <rPh sb="4" eb="6">
      <t>メンセキ</t>
    </rPh>
    <rPh sb="6" eb="8">
      <t>ゴウケイ</t>
    </rPh>
    <phoneticPr fontId="22"/>
  </si>
  <si>
    <t>算定プログラムを用いる評価</t>
    <rPh sb="0" eb="2">
      <t>サンテイ</t>
    </rPh>
    <rPh sb="8" eb="9">
      <t>モチ</t>
    </rPh>
    <rPh sb="11" eb="13">
      <t>ヒョウカ</t>
    </rPh>
    <phoneticPr fontId="22"/>
  </si>
  <si>
    <t>算定プログラムを用いない評価</t>
    <rPh sb="0" eb="2">
      <t>サンテイ</t>
    </rPh>
    <rPh sb="8" eb="9">
      <t>モチ</t>
    </rPh>
    <rPh sb="12" eb="14">
      <t>ヒョウカ</t>
    </rPh>
    <phoneticPr fontId="22"/>
  </si>
  <si>
    <t>非住宅部分のBEI</t>
    <rPh sb="0" eb="1">
      <t>ヒ</t>
    </rPh>
    <rPh sb="1" eb="3">
      <t>ジュウタク</t>
    </rPh>
    <rPh sb="3" eb="5">
      <t>ブブン</t>
    </rPh>
    <phoneticPr fontId="22"/>
  </si>
  <si>
    <t>各住戸の相当する等級が異なる場合には、住戸毎に評価を行い、算定されたレベルを住戸数で加重平均し、四捨五入で最も近いレベルを選択する。ただし、レベル5の「等級4を超える水準」については、各住戸の平均外皮性能値に基づき評価するため、加重平均を行う必要はない。</t>
    <phoneticPr fontId="22"/>
  </si>
  <si>
    <t>各住戸のUA値について①又は②の基準を満たし、且つ、ηAC値について等級4相当を満たすこと。
①住戸の設計UA値が基準UA値に0.85を乗じた値以下であること。
②外気に接する床の部位熱貫流率が下の値に0.85を乗じた値以下であり、かつ、住戸の設計UA値が基準UA値に0.9を乗じた値以下であること。
　　1～2地域；0.27、3地域；0.32、4～7地域；0.37</t>
    <phoneticPr fontId="22"/>
  </si>
  <si>
    <t>各住戸の開口部の平均日射熱取得率が12以下となること。</t>
    <phoneticPr fontId="22"/>
  </si>
  <si>
    <t>共用部</t>
    <rPh sb="0" eb="2">
      <t>キョウヨウ</t>
    </rPh>
    <phoneticPr fontId="22"/>
  </si>
  <si>
    <r>
      <rPr>
        <b/>
        <sz val="10"/>
        <rFont val="ＭＳ Ｐゴシック"/>
        <family val="3"/>
        <charset val="128"/>
      </rPr>
      <t>次の場合は、以下の（１）（２）（３）で評価してください。</t>
    </r>
    <r>
      <rPr>
        <sz val="10"/>
        <rFont val="ＭＳ Ｐゴシック"/>
        <family val="3"/>
        <charset val="128"/>
      </rPr>
      <t xml:space="preserve">
・住宅を含む複合用途で、共用部を標準入力法（BEI）、非住宅部分をモデル建物法（BEIm）で評価した場合
・住宅用途ないしは住宅を含む複合用途で、専有部を住宅仕様基準で評価した場合</t>
    </r>
    <rPh sb="6" eb="8">
      <t>イカ</t>
    </rPh>
    <phoneticPr fontId="22"/>
  </si>
  <si>
    <t>非住宅建築物は、建物全体のBEIと同じ数値を入力</t>
    <rPh sb="0" eb="1">
      <t>ヒ</t>
    </rPh>
    <rPh sb="1" eb="3">
      <t>ジュウタク</t>
    </rPh>
    <rPh sb="3" eb="6">
      <t>ケンチクブツ</t>
    </rPh>
    <rPh sb="8" eb="10">
      <t>タテモノ</t>
    </rPh>
    <rPh sb="10" eb="12">
      <t>ゼンタイ</t>
    </rPh>
    <rPh sb="17" eb="18">
      <t>オナ</t>
    </rPh>
    <rPh sb="19" eb="21">
      <t>スウチ</t>
    </rPh>
    <rPh sb="22" eb="24">
      <t>ニュウリョク</t>
    </rPh>
    <phoneticPr fontId="22"/>
  </si>
  <si>
    <t>[BEI] [BEIm]の値を入力（LCCO2評価用）</t>
    <phoneticPr fontId="22"/>
  </si>
  <si>
    <t>下記（１）（２）（３）で評価する場合は複合用途の内の非住宅部分の（１）（２）の</t>
    <rPh sb="0" eb="2">
      <t>カキ</t>
    </rPh>
    <rPh sb="12" eb="14">
      <t>ヒョウカ</t>
    </rPh>
    <rPh sb="16" eb="18">
      <t>バアイ</t>
    </rPh>
    <phoneticPr fontId="22"/>
  </si>
  <si>
    <t>小中高校・集合住宅</t>
    <rPh sb="0" eb="3">
      <t>ショウチュウコウ</t>
    </rPh>
    <rPh sb="3" eb="4">
      <t>コウ</t>
    </rPh>
    <rPh sb="5" eb="7">
      <t>シュウゴウ</t>
    </rPh>
    <rPh sb="7" eb="9">
      <t>ジュウタク</t>
    </rPh>
    <phoneticPr fontId="22"/>
  </si>
  <si>
    <t>計</t>
    <rPh sb="0" eb="1">
      <t>ケイ</t>
    </rPh>
    <phoneticPr fontId="22"/>
  </si>
  <si>
    <t>評価内容</t>
    <rPh sb="0" eb="2">
      <t>ヒョウカ</t>
    </rPh>
    <rPh sb="2" eb="4">
      <t>ナイヨウ</t>
    </rPh>
    <phoneticPr fontId="22"/>
  </si>
  <si>
    <t>採否</t>
    <rPh sb="0" eb="2">
      <t>サイヒ</t>
    </rPh>
    <phoneticPr fontId="22"/>
  </si>
  <si>
    <t>光ケーブル、メタルケーブル、携帯電話網、PHS網など、通信手段の多様化を図っている。</t>
    <phoneticPr fontId="22"/>
  </si>
  <si>
    <t>異なる電話局からの引き込みなどの、引き込みの2ルート化を図っている。</t>
    <phoneticPr fontId="22"/>
  </si>
  <si>
    <t>精密機器（データ伝送装置、中継装置、変換装置を指す。MDFや光ファイバーEthernetなど）の浸水による情報網の損傷を回避するために、ア)あるいはイ)の対策を講じている、あるいはウ)に該当している。
　ア) 精密機械の地下空間への設置を避けている。
　イ) 地下への浸水の防止措置(防水扉、防水板、マウンドアップ、からぼり)、排水設備(ポンプ等)を設置している。
　ウ) 浸水の危険性がない。</t>
    <phoneticPr fontId="22"/>
  </si>
  <si>
    <t>災害時の有線電話、FAX、地域防災無線が設置されている。</t>
    <phoneticPr fontId="22"/>
  </si>
  <si>
    <t>災害時にケーブルTV などにより災害情報が入手できる。</t>
    <phoneticPr fontId="22"/>
  </si>
  <si>
    <t>ネットワーク機器用に無停電装置が設備されている。</t>
    <phoneticPr fontId="22"/>
  </si>
  <si>
    <t>採用手法</t>
    <rPh sb="0" eb="2">
      <t>サイヨウ</t>
    </rPh>
    <rPh sb="2" eb="4">
      <t>シュホウ</t>
    </rPh>
    <phoneticPr fontId="22"/>
  </si>
  <si>
    <t>1.採光利用</t>
    <phoneticPr fontId="22"/>
  </si>
  <si>
    <t>照明設備に代わり、太陽光を利用した、自然採光システムが計画されている事。</t>
    <rPh sb="0" eb="2">
      <t>ショウメイ</t>
    </rPh>
    <rPh sb="2" eb="4">
      <t>セツビ</t>
    </rPh>
    <rPh sb="5" eb="6">
      <t>カ</t>
    </rPh>
    <rPh sb="9" eb="12">
      <t>タイヨウコウ</t>
    </rPh>
    <rPh sb="13" eb="15">
      <t>リヨウ</t>
    </rPh>
    <rPh sb="18" eb="20">
      <t>シゼン</t>
    </rPh>
    <rPh sb="20" eb="22">
      <t>サイコウ</t>
    </rPh>
    <rPh sb="27" eb="29">
      <t>ケイカク</t>
    </rPh>
    <rPh sb="34" eb="35">
      <t>コト</t>
    </rPh>
    <phoneticPr fontId="22"/>
  </si>
  <si>
    <t>ライトシェルフ</t>
    <phoneticPr fontId="22"/>
  </si>
  <si>
    <t>トップライト</t>
    <phoneticPr fontId="22"/>
  </si>
  <si>
    <t>ハイサイドライト</t>
    <phoneticPr fontId="22"/>
  </si>
  <si>
    <t>2.通風利用</t>
    <phoneticPr fontId="22"/>
  </si>
  <si>
    <t>空調設備に代わり、冷房負荷低減に有効な自然通風・自然換気システムが計画されている事。</t>
    <phoneticPr fontId="22"/>
  </si>
  <si>
    <t>自動ダンパや手動の開閉口または開閉窓（運用管理⽅法を計画したもの）</t>
    <rPh sb="0" eb="1">
      <t>ジ</t>
    </rPh>
    <rPh sb="6" eb="7">
      <t>シュ</t>
    </rPh>
    <rPh sb="11" eb="12">
      <t>クチ</t>
    </rPh>
    <rPh sb="20" eb="21">
      <t>ヨウ</t>
    </rPh>
    <phoneticPr fontId="22"/>
  </si>
  <si>
    <t>ナイトパージ</t>
    <phoneticPr fontId="22"/>
  </si>
  <si>
    <t>アトリウムと連携した換気システム</t>
    <phoneticPr fontId="22"/>
  </si>
  <si>
    <t>換気塔ソーラーチムニー</t>
    <phoneticPr fontId="22"/>
  </si>
  <si>
    <t>２方向以上への開口</t>
    <phoneticPr fontId="22"/>
  </si>
  <si>
    <t>3.地熱利用</t>
    <phoneticPr fontId="22"/>
  </si>
  <si>
    <t>熱源や空調設備に代わり、冷暖房負荷低減に有効な地熱利用システムが計画されている事。</t>
    <rPh sb="0" eb="2">
      <t>ネツゲン</t>
    </rPh>
    <rPh sb="3" eb="5">
      <t>クウチョウ</t>
    </rPh>
    <rPh sb="5" eb="7">
      <t>セツビ</t>
    </rPh>
    <rPh sb="8" eb="9">
      <t>カ</t>
    </rPh>
    <rPh sb="12" eb="15">
      <t>レイダンボウ</t>
    </rPh>
    <rPh sb="15" eb="17">
      <t>フカ</t>
    </rPh>
    <rPh sb="17" eb="19">
      <t>テイゲン</t>
    </rPh>
    <rPh sb="20" eb="22">
      <t>ユウコウ</t>
    </rPh>
    <rPh sb="23" eb="25">
      <t>チネツ</t>
    </rPh>
    <rPh sb="25" eb="27">
      <t>リヨウ</t>
    </rPh>
    <rPh sb="32" eb="34">
      <t>ケイカク</t>
    </rPh>
    <rPh sb="39" eb="40">
      <t>コト</t>
    </rPh>
    <phoneticPr fontId="22"/>
  </si>
  <si>
    <t>クール＆ヒートチューブ・ピット</t>
    <phoneticPr fontId="22"/>
  </si>
  <si>
    <t>4.その他</t>
    <rPh sb="4" eb="5">
      <t>ホカ</t>
    </rPh>
    <phoneticPr fontId="22"/>
  </si>
  <si>
    <t>その他、自然を活用した有効なシステムが計画されていること。</t>
    <phoneticPr fontId="22"/>
  </si>
  <si>
    <r>
      <t>1～</t>
    </r>
    <r>
      <rPr>
        <sz val="11"/>
        <rFont val="ＭＳ Ｐゴシック"/>
        <family val="3"/>
        <charset val="128"/>
      </rPr>
      <t>4</t>
    </r>
    <phoneticPr fontId="22"/>
  </si>
  <si>
    <t>・Fc=36以上60未満　かつF=390以上　(1ポイント)
・Fc=60以上100未満　かつF=490以上　(3ポイント)
・Fc=100以上　かつF=590以上　(4ポイント)</t>
    <rPh sb="20" eb="22">
      <t>イジョウ</t>
    </rPh>
    <phoneticPr fontId="22"/>
  </si>
  <si>
    <t>・F=325以上　355未満　(1ポイント)
・F=355以上　440未満　(3ポイント)
・F=440以上　(4ポイント)</t>
    <rPh sb="12" eb="14">
      <t>ミマン</t>
    </rPh>
    <phoneticPr fontId="22"/>
  </si>
  <si>
    <r>
      <t>1～</t>
    </r>
    <r>
      <rPr>
        <sz val="11"/>
        <rFont val="ＭＳ Ｐゴシック"/>
        <family val="3"/>
        <charset val="128"/>
      </rPr>
      <t>4</t>
    </r>
    <phoneticPr fontId="22"/>
  </si>
  <si>
    <t>・プレストレスコンクリートの使用　（部材断面を小さくする事で、使用材料の削減に寄与）　(1ポイント)
・その他これに準ずるもの　(取組み毎に1ポイント)</t>
    <phoneticPr fontId="22"/>
  </si>
  <si>
    <t>1～</t>
    <phoneticPr fontId="22"/>
  </si>
  <si>
    <t>リサイクル鋼材</t>
    <rPh sb="5" eb="7">
      <t>コウザイ</t>
    </rPh>
    <phoneticPr fontId="22"/>
  </si>
  <si>
    <t>・風向きに対する配置や形状の工夫を机上で検討(机上予測)している場合(1ポイント)</t>
    <phoneticPr fontId="22"/>
  </si>
  <si>
    <t>・敷地周辺の地形建物緑地等の現況と計画建物に対して流体数値シミュレーション等を行って影響を予測している場合(2ポイント)</t>
    <phoneticPr fontId="22"/>
  </si>
  <si>
    <t>I 敷地内の歩行者空間等へ風を導き、暑熱環境を緩和する</t>
    <phoneticPr fontId="22"/>
  </si>
  <si>
    <t>1) 敷地周辺の風の状況を把握し、敷地内の歩行者空間等へ風を導く建築物の配置・形状計画とする</t>
    <phoneticPr fontId="22"/>
  </si>
  <si>
    <t>2) 芝生・草地・低木等の緑地や通路等の空地を設けることにより、風の通り道を確保する。</t>
    <phoneticPr fontId="22"/>
  </si>
  <si>
    <t>1) 中・高木の植栽やピロティ、庇、パーゴラ等を設けることにより、日陰の形成に努める。</t>
    <phoneticPr fontId="22"/>
  </si>
  <si>
    <t>1) 緑地や水面を確保することにより、地表面温度や地表面近傍の気温等の上昇を抑制する。</t>
    <phoneticPr fontId="22"/>
  </si>
  <si>
    <t>2) 敷地内の舗装面積を小さくするよう努める。</t>
    <phoneticPr fontId="22"/>
  </si>
  <si>
    <t>2) 契約形態</t>
    <phoneticPr fontId="22"/>
  </si>
  <si>
    <t>3) 業務手順</t>
    <phoneticPr fontId="22"/>
  </si>
  <si>
    <t>5) 計画</t>
    <phoneticPr fontId="22"/>
  </si>
  <si>
    <t>6) 業務員への教育</t>
    <phoneticPr fontId="22"/>
  </si>
  <si>
    <t>1) 頻度</t>
    <phoneticPr fontId="22"/>
  </si>
  <si>
    <t>2) 役割</t>
    <phoneticPr fontId="22"/>
  </si>
  <si>
    <t>3) 手順</t>
    <phoneticPr fontId="22"/>
  </si>
  <si>
    <t>4) 点検</t>
    <phoneticPr fontId="22"/>
  </si>
  <si>
    <t>6) 共有</t>
    <phoneticPr fontId="22"/>
  </si>
  <si>
    <t>5) 実施</t>
    <phoneticPr fontId="22"/>
  </si>
  <si>
    <t>I 建築物衛生法における特定建築物</t>
    <phoneticPr fontId="22"/>
  </si>
  <si>
    <t>II　建築物衛生法における特定建築物に該当しない建築物</t>
    <phoneticPr fontId="22"/>
  </si>
  <si>
    <t>No.1</t>
    <phoneticPr fontId="22"/>
  </si>
  <si>
    <t>No.2</t>
  </si>
  <si>
    <t>No.3</t>
  </si>
  <si>
    <t>No.4</t>
  </si>
  <si>
    <t>No.5</t>
  </si>
  <si>
    <t>No.6</t>
  </si>
  <si>
    <t>No.7</t>
  </si>
  <si>
    <t>No.8</t>
  </si>
  <si>
    <t>No.9</t>
  </si>
  <si>
    <t>節水型器具を採用している。設置されている器具総数の過半以上で採用した場合に限る。節水型器具としては、エコマーク商品やグリーン購入法「特定調達品目」として認定されたもの、あるいは同等の性能を有する機器とする。（例：大便器6L/回程度、小便器4L/回程度）</t>
    <phoneticPr fontId="22"/>
  </si>
  <si>
    <t>可能な限り配管の系統を区分し，災害時の使用不能部分の低減を図っている。</t>
    <phoneticPr fontId="22"/>
  </si>
  <si>
    <t>災害時、下水道が機能しないことを想定し、汚水（雑排水）の一時的貯留機能が確保できるピットを設けている。</t>
    <phoneticPr fontId="22"/>
  </si>
  <si>
    <t>受水槽，高架水槽は，二基の水槽をそれぞれに分離して設置している。</t>
    <phoneticPr fontId="22"/>
  </si>
  <si>
    <t>井水，中水などの利用が可能なように計画している。</t>
    <phoneticPr fontId="22"/>
  </si>
  <si>
    <t>災害時の飲料水確保に備えて，雨水などの転用に対する簡易ろ過装置を備品として備えている。（物・飲は適用外）</t>
    <rPh sb="44" eb="45">
      <t>ブツ</t>
    </rPh>
    <rPh sb="46" eb="47">
      <t>イン</t>
    </rPh>
    <rPh sb="48" eb="50">
      <t>テキヨウ</t>
    </rPh>
    <rPh sb="50" eb="51">
      <t>ガイ</t>
    </rPh>
    <phoneticPr fontId="22"/>
  </si>
  <si>
    <t>災害などの停電時に飲料用等に使えるよう受水槽に水道の蛇口を設置している。</t>
    <phoneticPr fontId="22"/>
  </si>
  <si>
    <t>換気設備の重要度に応じて系統を区分し，災害時においては重要度の高い系統を優先的に運転するほか，負荷容量を下げた運転も可能となるよう検討している。</t>
    <phoneticPr fontId="22"/>
  </si>
  <si>
    <t>熱源種（電気，ガスなど）の分散化，二重化，バックアップを行っている。</t>
    <phoneticPr fontId="22"/>
  </si>
  <si>
    <t>地震時の部分的被害が全体機能の停止を引き起こさないような対策（吊配管など）を行っている。</t>
    <phoneticPr fontId="22"/>
  </si>
  <si>
    <t>空調設備の重要度に応じて系統を区分し，災害時においては重要度の高い系統を優先的に運転するほか，負荷容量を下げた運転も可能となるよう計画している。</t>
    <phoneticPr fontId="22"/>
  </si>
  <si>
    <t>内装仕上げ</t>
    <phoneticPr fontId="22"/>
  </si>
  <si>
    <t>内装設計</t>
    <phoneticPr fontId="22"/>
  </si>
  <si>
    <t>外装仕上げ</t>
    <phoneticPr fontId="22"/>
  </si>
  <si>
    <t>外装設計</t>
    <phoneticPr fontId="22"/>
  </si>
  <si>
    <t>内装・外構設計</t>
    <phoneticPr fontId="22"/>
  </si>
  <si>
    <t>その他</t>
    <phoneticPr fontId="22"/>
  </si>
  <si>
    <t>内壁面は防汚性の高い仕上げ方法や建材、塗装、コーティングを採用している。</t>
    <phoneticPr fontId="22"/>
  </si>
  <si>
    <t>床面は防汚性の高い建材、塗装、コーティングを採用している。</t>
    <phoneticPr fontId="22"/>
  </si>
  <si>
    <t>床面は適度な水を使用して洗浄可能な設計・構造を採用している。</t>
    <phoneticPr fontId="22"/>
  </si>
  <si>
    <t>内壁や床面おいて設計上ホコリの溜まりにくい設計や物を置かない設計を採用している。</t>
    <phoneticPr fontId="22"/>
  </si>
  <si>
    <t>風除室の１次扉と２次扉が同時に開かないように距離を確保し、または土砂などの進入を防ぐ為の設計をしている。</t>
    <phoneticPr fontId="22"/>
  </si>
  <si>
    <t>維持管理方法が大きく異なる床材を接近させていない。</t>
    <rPh sb="7" eb="8">
      <t>オオ</t>
    </rPh>
    <phoneticPr fontId="22"/>
  </si>
  <si>
    <t>外壁面やガラスは防汚性の高い建材や耐候性塗料や親水性塗料などを施した仕上げを採用している。</t>
    <phoneticPr fontId="22"/>
  </si>
  <si>
    <t>効果的に水切りなどを外壁面へ設置し、乾湿の作用を防止する、水の溜まらない、壁面が汚れないような配慮・設計を行っている。</t>
    <rPh sb="18" eb="20">
      <t>カンシツ</t>
    </rPh>
    <rPh sb="21" eb="23">
      <t>サヨウ</t>
    </rPh>
    <rPh sb="24" eb="26">
      <t>ボウシ</t>
    </rPh>
    <rPh sb="29" eb="30">
      <t>ミズ</t>
    </rPh>
    <rPh sb="31" eb="32">
      <t>タマ</t>
    </rPh>
    <rPh sb="50" eb="52">
      <t>セッケイ</t>
    </rPh>
    <phoneticPr fontId="22"/>
  </si>
  <si>
    <t>害鳥（鳩・烏・椋鳥など）への糞害予防、対策を実施している。</t>
    <phoneticPr fontId="22"/>
  </si>
  <si>
    <t>外部に露出する金属部材にメッキ処理等の特別な防錆対策が取られている。</t>
    <phoneticPr fontId="22"/>
  </si>
  <si>
    <t>外構、管理用区域を含む動線は極力段差の無い（５mm程度）設計をしている。</t>
    <phoneticPr fontId="22"/>
  </si>
  <si>
    <t>上記以外の部分にて維持管理に配慮した設計の取り組みをしている。</t>
    <phoneticPr fontId="22"/>
  </si>
  <si>
    <t>No.10</t>
  </si>
  <si>
    <t>No.11</t>
  </si>
  <si>
    <t>No.12</t>
  </si>
  <si>
    <t>No.13</t>
  </si>
  <si>
    <t>No.14</t>
  </si>
  <si>
    <r>
      <t xml:space="preserve">1.3.1 </t>
    </r>
    <r>
      <rPr>
        <b/>
        <sz val="10"/>
        <color theme="8" tint="-0.249977111117893"/>
        <rFont val="ＭＳ Ｐゴシック"/>
        <family val="3"/>
        <charset val="128"/>
      </rPr>
      <t>総合的な取組み</t>
    </r>
    <rPh sb="6" eb="9">
      <t>ソウゴウテキ</t>
    </rPh>
    <rPh sb="10" eb="11">
      <t>ト</t>
    </rPh>
    <rPh sb="11" eb="12">
      <t>ク</t>
    </rPh>
    <phoneticPr fontId="22"/>
  </si>
  <si>
    <t>3.3.2</t>
    <phoneticPr fontId="22"/>
  </si>
  <si>
    <t>3.3</t>
    <phoneticPr fontId="22"/>
  </si>
  <si>
    <t>-</t>
    <phoneticPr fontId="22"/>
  </si>
  <si>
    <t>-</t>
    <phoneticPr fontId="22"/>
  </si>
  <si>
    <t>-</t>
    <phoneticPr fontId="22"/>
  </si>
  <si>
    <t>3.2.3</t>
    <phoneticPr fontId="22"/>
  </si>
  <si>
    <t>3.2.1</t>
    <phoneticPr fontId="22"/>
  </si>
  <si>
    <t>風害の抑制</t>
    <phoneticPr fontId="34" type="noConversion"/>
  </si>
  <si>
    <t>風害・砂塵、日照阻害の抑制</t>
    <phoneticPr fontId="34" type="noConversion"/>
  </si>
  <si>
    <t>風害、日照阻害の抑制</t>
    <phoneticPr fontId="34" type="noConversion"/>
  </si>
  <si>
    <t>-</t>
    <phoneticPr fontId="22"/>
  </si>
  <si>
    <t>-</t>
    <phoneticPr fontId="22"/>
  </si>
  <si>
    <t>3.1.3</t>
    <phoneticPr fontId="22"/>
  </si>
  <si>
    <t>-</t>
    <phoneticPr fontId="22"/>
  </si>
  <si>
    <t>-</t>
    <phoneticPr fontId="22"/>
  </si>
  <si>
    <t>温熱環境悪化の改善</t>
    <phoneticPr fontId="22"/>
  </si>
  <si>
    <t>2.2</t>
    <phoneticPr fontId="22"/>
  </si>
  <si>
    <t>2.1</t>
    <phoneticPr fontId="22"/>
  </si>
  <si>
    <t>-</t>
    <phoneticPr fontId="22"/>
  </si>
  <si>
    <t>-</t>
    <phoneticPr fontId="22"/>
  </si>
  <si>
    <t>3.2.1</t>
    <phoneticPr fontId="22"/>
  </si>
  <si>
    <t>消火剤</t>
    <phoneticPr fontId="22"/>
  </si>
  <si>
    <t>3.2</t>
    <phoneticPr fontId="22"/>
  </si>
  <si>
    <t>-</t>
    <phoneticPr fontId="22"/>
  </si>
  <si>
    <t>3.1</t>
    <phoneticPr fontId="22"/>
  </si>
  <si>
    <t>3.1</t>
    <phoneticPr fontId="22"/>
  </si>
  <si>
    <t>LR2 2.2</t>
    <phoneticPr fontId="22"/>
  </si>
  <si>
    <t>2.6.1</t>
    <phoneticPr fontId="22"/>
  </si>
  <si>
    <t>2.6</t>
    <phoneticPr fontId="22"/>
  </si>
  <si>
    <t>-</t>
    <phoneticPr fontId="22"/>
  </si>
  <si>
    <t>雨水利用システム導入の有無</t>
    <phoneticPr fontId="22"/>
  </si>
  <si>
    <t>LR</t>
    <phoneticPr fontId="22"/>
  </si>
  <si>
    <t>LR2</t>
    <phoneticPr fontId="34" type="noConversion"/>
  </si>
  <si>
    <t>4.2.2</t>
    <phoneticPr fontId="22"/>
  </si>
  <si>
    <t>住宅の評価</t>
    <rPh sb="0" eb="2">
      <t>ｼﾞｭｳﾀｸ</t>
    </rPh>
    <rPh sb="3" eb="5">
      <t>ﾋｮｳｶ</t>
    </rPh>
    <phoneticPr fontId="34" type="noConversion"/>
  </si>
  <si>
    <t>集合住宅の評価</t>
    <rPh sb="0" eb="2">
      <t>ｼｭｳｺﾞｳ</t>
    </rPh>
    <rPh sb="2" eb="4">
      <t>ｼﾞｭｳﾀｸ</t>
    </rPh>
    <rPh sb="5" eb="7">
      <t>ﾋｮｳｶ</t>
    </rPh>
    <phoneticPr fontId="34" type="noConversion"/>
  </si>
  <si>
    <t>LR1 4.1</t>
    <phoneticPr fontId="22"/>
  </si>
  <si>
    <t>4.1.1</t>
    <phoneticPr fontId="22"/>
  </si>
  <si>
    <t>住宅以外の評価</t>
    <rPh sb="0" eb="2">
      <t>ｼﾞｭｳﾀｸ</t>
    </rPh>
    <rPh sb="2" eb="4">
      <t>ｲｶﾞｲ</t>
    </rPh>
    <rPh sb="5" eb="7">
      <t>ﾋｮｳｶ</t>
    </rPh>
    <phoneticPr fontId="34" type="noConversion"/>
  </si>
  <si>
    <t>集合住宅以外の評価</t>
    <rPh sb="0" eb="2">
      <t>ｼｭｳｺﾞｳ</t>
    </rPh>
    <rPh sb="2" eb="4">
      <t>ｼﾞｭｳﾀｸ</t>
    </rPh>
    <rPh sb="4" eb="6">
      <t>ｲｶﾞｲ</t>
    </rPh>
    <rPh sb="7" eb="9">
      <t>ﾋｮｳｶ</t>
    </rPh>
    <phoneticPr fontId="34" type="noConversion"/>
  </si>
  <si>
    <t>LR1 3b</t>
    <phoneticPr fontId="22"/>
  </si>
  <si>
    <t>LR1 3b</t>
    <phoneticPr fontId="22"/>
  </si>
  <si>
    <t>非住宅部分</t>
    <rPh sb="0" eb="1">
      <t>ﾋ</t>
    </rPh>
    <rPh sb="1" eb="3">
      <t>ｼﾞｭｳﾀｸ</t>
    </rPh>
    <rPh sb="3" eb="5">
      <t>ﾌﾞﾌﾞﾝ</t>
    </rPh>
    <phoneticPr fontId="34" type="noConversion"/>
  </si>
  <si>
    <t>-</t>
    <phoneticPr fontId="22"/>
  </si>
  <si>
    <t>-</t>
    <phoneticPr fontId="22"/>
  </si>
  <si>
    <t>2.2</t>
    <phoneticPr fontId="22"/>
  </si>
  <si>
    <t>2.2</t>
    <phoneticPr fontId="22"/>
  </si>
  <si>
    <t>2.1</t>
    <phoneticPr fontId="22"/>
  </si>
  <si>
    <t>2.1</t>
    <phoneticPr fontId="22"/>
  </si>
  <si>
    <t>-</t>
    <phoneticPr fontId="22"/>
  </si>
  <si>
    <t>-</t>
    <phoneticPr fontId="22"/>
  </si>
  <si>
    <t>-</t>
    <phoneticPr fontId="22"/>
  </si>
  <si>
    <t>-</t>
    <phoneticPr fontId="22"/>
  </si>
  <si>
    <t>-</t>
    <phoneticPr fontId="22"/>
  </si>
  <si>
    <t>-</t>
    <phoneticPr fontId="22"/>
  </si>
  <si>
    <t>エネルギー</t>
    <phoneticPr fontId="22"/>
  </si>
  <si>
    <t>LR</t>
    <phoneticPr fontId="22"/>
  </si>
  <si>
    <t>LR1</t>
    <phoneticPr fontId="34" type="noConversion"/>
  </si>
  <si>
    <t>LR1</t>
    <phoneticPr fontId="34" type="noConversion"/>
  </si>
  <si>
    <t>エネルギー</t>
    <phoneticPr fontId="22"/>
  </si>
  <si>
    <t>エネルギー</t>
    <phoneticPr fontId="22"/>
  </si>
  <si>
    <t>LR1</t>
    <phoneticPr fontId="34" type="noConversion"/>
  </si>
  <si>
    <t>LR</t>
    <phoneticPr fontId="22"/>
  </si>
  <si>
    <t>エネルギー</t>
    <phoneticPr fontId="22"/>
  </si>
  <si>
    <t>LR1</t>
    <phoneticPr fontId="34" type="noConversion"/>
  </si>
  <si>
    <t>LR</t>
    <phoneticPr fontId="34" type="noConversion"/>
  </si>
  <si>
    <t>LR</t>
    <phoneticPr fontId="34" type="noConversion"/>
  </si>
  <si>
    <t>LR　建築物の環境負荷低減性</t>
    <phoneticPr fontId="22"/>
  </si>
  <si>
    <t>敷地内温熱環境の向上</t>
    <phoneticPr fontId="22"/>
  </si>
  <si>
    <t>3.2</t>
    <phoneticPr fontId="22"/>
  </si>
  <si>
    <t>3.2</t>
    <phoneticPr fontId="22"/>
  </si>
  <si>
    <t>3.2</t>
    <phoneticPr fontId="22"/>
  </si>
  <si>
    <t>地域性への配慮、快適性の向上</t>
    <phoneticPr fontId="22"/>
  </si>
  <si>
    <t>3.1</t>
    <phoneticPr fontId="22"/>
  </si>
  <si>
    <t>地域性への配慮、快適性の向上</t>
    <phoneticPr fontId="22"/>
  </si>
  <si>
    <t>3.1</t>
    <phoneticPr fontId="22"/>
  </si>
  <si>
    <t>地域性への配慮、快適性の向上</t>
    <phoneticPr fontId="22"/>
  </si>
  <si>
    <t>地域性・アメニティへの配慮</t>
    <phoneticPr fontId="22"/>
  </si>
  <si>
    <t>地域性・アメニティへの配慮</t>
    <phoneticPr fontId="22"/>
  </si>
  <si>
    <t>地域性・アメニティへの配慮</t>
    <phoneticPr fontId="22"/>
  </si>
  <si>
    <t>-</t>
    <phoneticPr fontId="22"/>
  </si>
  <si>
    <t>まちなみ・景観への配慮</t>
    <phoneticPr fontId="22"/>
  </si>
  <si>
    <t>まちなみ・景観への配慮</t>
    <phoneticPr fontId="22"/>
  </si>
  <si>
    <t>まちなみ・景観への配慮</t>
    <phoneticPr fontId="22"/>
  </si>
  <si>
    <t>3.1</t>
    <phoneticPr fontId="22"/>
  </si>
  <si>
    <t>室外環境（敷地内）</t>
    <phoneticPr fontId="22"/>
  </si>
  <si>
    <t>Q3</t>
    <phoneticPr fontId="22"/>
  </si>
  <si>
    <t>Q3</t>
    <phoneticPr fontId="22"/>
  </si>
  <si>
    <t>室外環境（敷地内）</t>
    <phoneticPr fontId="22"/>
  </si>
  <si>
    <t>室外環境（敷地内）</t>
    <phoneticPr fontId="22"/>
  </si>
  <si>
    <t>Q3</t>
    <phoneticPr fontId="22"/>
  </si>
  <si>
    <t>Q3</t>
    <phoneticPr fontId="34" type="noConversion"/>
  </si>
  <si>
    <t>3.3.6</t>
    <phoneticPr fontId="22"/>
  </si>
  <si>
    <t>3.3.6</t>
    <phoneticPr fontId="22"/>
  </si>
  <si>
    <t>3.3.5</t>
    <phoneticPr fontId="22"/>
  </si>
  <si>
    <t>3.3.5</t>
    <phoneticPr fontId="22"/>
  </si>
  <si>
    <t>3.3.4</t>
    <phoneticPr fontId="22"/>
  </si>
  <si>
    <t>3.3.4</t>
    <phoneticPr fontId="22"/>
  </si>
  <si>
    <t>3.3.4</t>
    <phoneticPr fontId="22"/>
  </si>
  <si>
    <t>3.3.4</t>
    <phoneticPr fontId="22"/>
  </si>
  <si>
    <t>3.3.3</t>
    <phoneticPr fontId="22"/>
  </si>
  <si>
    <t>3.3.3</t>
    <phoneticPr fontId="22"/>
  </si>
  <si>
    <t>3.3.3</t>
    <phoneticPr fontId="22"/>
  </si>
  <si>
    <t>3.3.3</t>
    <phoneticPr fontId="22"/>
  </si>
  <si>
    <t>3.3.2</t>
    <phoneticPr fontId="22"/>
  </si>
  <si>
    <t>3.3.2</t>
    <phoneticPr fontId="22"/>
  </si>
  <si>
    <t>3.3.2</t>
    <phoneticPr fontId="22"/>
  </si>
  <si>
    <t>3.3.2</t>
    <phoneticPr fontId="22"/>
  </si>
  <si>
    <t>3.3.1</t>
    <phoneticPr fontId="22"/>
  </si>
  <si>
    <t>3.3.1</t>
    <phoneticPr fontId="22"/>
  </si>
  <si>
    <t>空調配管の更新性</t>
    <phoneticPr fontId="22"/>
  </si>
  <si>
    <t>-</t>
    <phoneticPr fontId="22"/>
  </si>
  <si>
    <t>-</t>
    <phoneticPr fontId="22"/>
  </si>
  <si>
    <t>3.1.2</t>
    <phoneticPr fontId="22"/>
  </si>
  <si>
    <t>3.1.2</t>
    <phoneticPr fontId="22"/>
  </si>
  <si>
    <t>3.1.2</t>
    <phoneticPr fontId="22"/>
  </si>
  <si>
    <t>3.1.2</t>
    <phoneticPr fontId="22"/>
  </si>
  <si>
    <t>3.1.2</t>
    <phoneticPr fontId="22"/>
  </si>
  <si>
    <t>3.1.1</t>
    <phoneticPr fontId="22"/>
  </si>
  <si>
    <t>3.1.1</t>
    <phoneticPr fontId="22"/>
  </si>
  <si>
    <t>3.1.1</t>
    <phoneticPr fontId="22"/>
  </si>
  <si>
    <t>2.4.1</t>
    <phoneticPr fontId="22"/>
  </si>
  <si>
    <t>2.4.1</t>
    <phoneticPr fontId="22"/>
  </si>
  <si>
    <t>2.4.1</t>
    <phoneticPr fontId="22"/>
  </si>
  <si>
    <t>-</t>
    <phoneticPr fontId="22"/>
  </si>
  <si>
    <t>2.3.3</t>
    <phoneticPr fontId="22"/>
  </si>
  <si>
    <t>2.3.3</t>
    <phoneticPr fontId="22"/>
  </si>
  <si>
    <t>2.3.3</t>
    <phoneticPr fontId="22"/>
  </si>
  <si>
    <t>2.3.2</t>
    <phoneticPr fontId="22"/>
  </si>
  <si>
    <t xml:space="preserve"> Q2 2.3</t>
    <phoneticPr fontId="22"/>
  </si>
  <si>
    <t>2.3.1</t>
    <phoneticPr fontId="22"/>
  </si>
  <si>
    <t>2.3.1</t>
    <phoneticPr fontId="22"/>
  </si>
  <si>
    <t xml:space="preserve"> Q2 2.3</t>
    <phoneticPr fontId="22"/>
  </si>
  <si>
    <t xml:space="preserve"> Q2 2</t>
    <phoneticPr fontId="22"/>
  </si>
  <si>
    <t>-</t>
    <phoneticPr fontId="22"/>
  </si>
  <si>
    <t>-</t>
    <phoneticPr fontId="22"/>
  </si>
  <si>
    <t>-</t>
    <phoneticPr fontId="22"/>
  </si>
  <si>
    <t>2.2.6</t>
    <phoneticPr fontId="22"/>
  </si>
  <si>
    <t>2.2.6</t>
    <phoneticPr fontId="22"/>
  </si>
  <si>
    <t>2.2.6</t>
    <phoneticPr fontId="22"/>
  </si>
  <si>
    <t>2.2.5</t>
    <phoneticPr fontId="22"/>
  </si>
  <si>
    <t>2.2.5</t>
    <phoneticPr fontId="22"/>
  </si>
  <si>
    <t>2.2.4</t>
    <phoneticPr fontId="22"/>
  </si>
  <si>
    <t>2.2.4</t>
    <phoneticPr fontId="22"/>
  </si>
  <si>
    <t>2.2.4</t>
    <phoneticPr fontId="22"/>
  </si>
  <si>
    <t>2.2.3</t>
    <phoneticPr fontId="22"/>
  </si>
  <si>
    <t>2.2.3</t>
    <phoneticPr fontId="22"/>
  </si>
  <si>
    <t>2.2.2</t>
    <phoneticPr fontId="22"/>
  </si>
  <si>
    <t>2.2.2</t>
    <phoneticPr fontId="22"/>
  </si>
  <si>
    <t>2.2.2</t>
    <phoneticPr fontId="22"/>
  </si>
  <si>
    <t>2.2.1</t>
    <phoneticPr fontId="22"/>
  </si>
  <si>
    <t>2.2.1</t>
    <phoneticPr fontId="22"/>
  </si>
  <si>
    <t>-</t>
    <phoneticPr fontId="22"/>
  </si>
  <si>
    <t>-</t>
    <phoneticPr fontId="22"/>
  </si>
  <si>
    <t>-</t>
    <phoneticPr fontId="22"/>
  </si>
  <si>
    <t>-</t>
    <phoneticPr fontId="22"/>
  </si>
  <si>
    <t>2.1.2</t>
    <phoneticPr fontId="22"/>
  </si>
  <si>
    <t>2.1.2</t>
    <phoneticPr fontId="22"/>
  </si>
  <si>
    <t>2.1.1</t>
    <phoneticPr fontId="22"/>
  </si>
  <si>
    <t>2.1.1</t>
    <phoneticPr fontId="22"/>
  </si>
  <si>
    <t>2.1.1</t>
    <phoneticPr fontId="22"/>
  </si>
  <si>
    <t>-</t>
    <phoneticPr fontId="22"/>
  </si>
  <si>
    <t>0</t>
    <phoneticPr fontId="22"/>
  </si>
  <si>
    <t>0</t>
    <phoneticPr fontId="22"/>
  </si>
  <si>
    <t xml:space="preserve"> Q2 1.3</t>
    <phoneticPr fontId="22"/>
  </si>
  <si>
    <t>-</t>
    <phoneticPr fontId="22"/>
  </si>
  <si>
    <t>-</t>
    <phoneticPr fontId="22"/>
  </si>
  <si>
    <t>1.2.3</t>
    <phoneticPr fontId="22"/>
  </si>
  <si>
    <t>1.2.3</t>
    <phoneticPr fontId="22"/>
  </si>
  <si>
    <t>リフレッシュスペース</t>
    <phoneticPr fontId="22"/>
  </si>
  <si>
    <t>-</t>
    <phoneticPr fontId="22"/>
  </si>
  <si>
    <t>-</t>
    <phoneticPr fontId="22"/>
  </si>
  <si>
    <t>1.1.3</t>
    <phoneticPr fontId="22"/>
  </si>
  <si>
    <t>高度情報通信設備対応</t>
    <phoneticPr fontId="22"/>
  </si>
  <si>
    <t>1.1.2</t>
    <phoneticPr fontId="22"/>
  </si>
  <si>
    <t>1.1.1</t>
    <phoneticPr fontId="22"/>
  </si>
  <si>
    <t>1.1.1</t>
    <phoneticPr fontId="22"/>
  </si>
  <si>
    <t>-</t>
    <phoneticPr fontId="22"/>
  </si>
  <si>
    <t>-</t>
    <phoneticPr fontId="22"/>
  </si>
  <si>
    <t>-</t>
    <phoneticPr fontId="22"/>
  </si>
  <si>
    <t>Q2</t>
    <phoneticPr fontId="22"/>
  </si>
  <si>
    <t>サービス性能</t>
    <phoneticPr fontId="22"/>
  </si>
  <si>
    <t>サービス性能</t>
    <phoneticPr fontId="22"/>
  </si>
  <si>
    <t>Q2</t>
    <phoneticPr fontId="22"/>
  </si>
  <si>
    <t>喫煙の制御</t>
    <phoneticPr fontId="22"/>
  </si>
  <si>
    <t>4.3.2</t>
    <phoneticPr fontId="22"/>
  </si>
  <si>
    <t>4.3.2</t>
    <phoneticPr fontId="22"/>
  </si>
  <si>
    <t>CO2の監視</t>
    <phoneticPr fontId="22"/>
  </si>
  <si>
    <t>CO2の監視</t>
    <phoneticPr fontId="22"/>
  </si>
  <si>
    <t>4.3.1</t>
    <phoneticPr fontId="22"/>
  </si>
  <si>
    <t>4.3.1</t>
    <phoneticPr fontId="22"/>
  </si>
  <si>
    <t>4.2.4</t>
    <phoneticPr fontId="22"/>
  </si>
  <si>
    <t>4.2.4</t>
    <phoneticPr fontId="22"/>
  </si>
  <si>
    <t>給気計画</t>
    <phoneticPr fontId="22"/>
  </si>
  <si>
    <t>4.2.3</t>
    <phoneticPr fontId="22"/>
  </si>
  <si>
    <t>4.2.2</t>
    <phoneticPr fontId="22"/>
  </si>
  <si>
    <t>-</t>
    <phoneticPr fontId="22"/>
  </si>
  <si>
    <t>4.1.4</t>
    <phoneticPr fontId="22"/>
  </si>
  <si>
    <t>4.1.4</t>
    <phoneticPr fontId="22"/>
  </si>
  <si>
    <t>4.1.3</t>
    <phoneticPr fontId="22"/>
  </si>
  <si>
    <t>4.1.2</t>
    <phoneticPr fontId="22"/>
  </si>
  <si>
    <t xml:space="preserve"> アスベスト対策</t>
    <phoneticPr fontId="22"/>
  </si>
  <si>
    <t>-</t>
    <phoneticPr fontId="22"/>
  </si>
  <si>
    <t>化学汚染物質</t>
    <phoneticPr fontId="22"/>
  </si>
  <si>
    <t>4.1.1</t>
    <phoneticPr fontId="22"/>
  </si>
  <si>
    <t>照度均斉度</t>
    <phoneticPr fontId="22"/>
  </si>
  <si>
    <t>3.3.2</t>
    <phoneticPr fontId="22"/>
  </si>
  <si>
    <t>照度</t>
    <phoneticPr fontId="22"/>
  </si>
  <si>
    <t>3.3.1</t>
    <phoneticPr fontId="22"/>
  </si>
  <si>
    <t>3.2.3</t>
    <phoneticPr fontId="22"/>
  </si>
  <si>
    <t>3.2.2</t>
    <phoneticPr fontId="22"/>
  </si>
  <si>
    <t>3.2.1</t>
    <phoneticPr fontId="22"/>
  </si>
  <si>
    <t>3.1.3</t>
    <phoneticPr fontId="22"/>
  </si>
  <si>
    <t>3.1.2</t>
    <phoneticPr fontId="22"/>
  </si>
  <si>
    <t>3.1.1</t>
    <phoneticPr fontId="22"/>
  </si>
  <si>
    <t>2.3.2</t>
    <phoneticPr fontId="22"/>
  </si>
  <si>
    <t>2.3.1</t>
    <phoneticPr fontId="22"/>
  </si>
  <si>
    <t>温度・湿度制御</t>
    <phoneticPr fontId="22"/>
  </si>
  <si>
    <t>負荷変動・追従制御性</t>
    <phoneticPr fontId="22"/>
  </si>
  <si>
    <t>室温</t>
    <phoneticPr fontId="22"/>
  </si>
  <si>
    <t>2.1.1</t>
    <phoneticPr fontId="22"/>
  </si>
  <si>
    <t>1.2.4</t>
    <phoneticPr fontId="22"/>
  </si>
  <si>
    <t>1.2.3</t>
    <phoneticPr fontId="22"/>
  </si>
  <si>
    <t>1.2.2</t>
    <phoneticPr fontId="22"/>
  </si>
  <si>
    <t>開口部遮音性能</t>
    <phoneticPr fontId="22"/>
  </si>
  <si>
    <t>1.2.1</t>
    <phoneticPr fontId="22"/>
  </si>
  <si>
    <t>設備騒音対策</t>
    <phoneticPr fontId="22"/>
  </si>
  <si>
    <t>室内騒音レベル</t>
    <phoneticPr fontId="22"/>
  </si>
  <si>
    <t>騒音</t>
    <phoneticPr fontId="22"/>
  </si>
  <si>
    <t>室内環境</t>
    <phoneticPr fontId="22"/>
  </si>
  <si>
    <t>Q1</t>
    <phoneticPr fontId="34" type="noConversion"/>
  </si>
  <si>
    <t>建築物の環境品質</t>
    <phoneticPr fontId="22"/>
  </si>
  <si>
    <t>Q</t>
    <phoneticPr fontId="22"/>
  </si>
  <si>
    <t xml:space="preserve"> Q</t>
    <phoneticPr fontId="22"/>
  </si>
  <si>
    <t>Ｑ　建築物の環境品質</t>
    <phoneticPr fontId="22"/>
  </si>
  <si>
    <t>配慮項目</t>
    <phoneticPr fontId="22"/>
  </si>
  <si>
    <t>延面積比率</t>
    <phoneticPr fontId="22"/>
  </si>
  <si>
    <t>集合住宅o</t>
    <phoneticPr fontId="22"/>
  </si>
  <si>
    <t>ホテルo</t>
    <phoneticPr fontId="22"/>
  </si>
  <si>
    <t>病院o</t>
    <phoneticPr fontId="22"/>
  </si>
  <si>
    <t>ホテル</t>
    <phoneticPr fontId="22"/>
  </si>
  <si>
    <t>スコアシート</t>
    <phoneticPr fontId="34" type="noConversion"/>
  </si>
  <si>
    <t>４．ｲﾝﾃﾘｱｽﾍﾟｰｽ</t>
    <phoneticPr fontId="22"/>
  </si>
  <si>
    <t>用途別スコア</t>
    <rPh sb="0" eb="2">
      <t>ヨウト</t>
    </rPh>
    <rPh sb="2" eb="3">
      <t>ベツ</t>
    </rPh>
    <phoneticPr fontId="22"/>
  </si>
  <si>
    <t>重み係数（複数用途建物）</t>
    <rPh sb="0" eb="1">
      <t>オモ</t>
    </rPh>
    <rPh sb="2" eb="4">
      <t>ケイスウ</t>
    </rPh>
    <rPh sb="5" eb="7">
      <t>フクスウ</t>
    </rPh>
    <rPh sb="7" eb="9">
      <t>ヨウト</t>
    </rPh>
    <rPh sb="9" eb="11">
      <t>タテモノ</t>
    </rPh>
    <phoneticPr fontId="22"/>
  </si>
  <si>
    <t>※「対象外」を選択の場合は、「0（ゼロ）」を入力</t>
    <rPh sb="2" eb="5">
      <t>タイショウガイ</t>
    </rPh>
    <rPh sb="7" eb="9">
      <t>センタク</t>
    </rPh>
    <rPh sb="10" eb="12">
      <t>バアイ</t>
    </rPh>
    <rPh sb="22" eb="24">
      <t>ニュウリョク</t>
    </rPh>
    <phoneticPr fontId="22"/>
  </si>
  <si>
    <t>No.15</t>
  </si>
  <si>
    <t>・近くの気象台データや地域気象観測データ(アメダスデータ)等の既存データを用いて風向風速卓越風などの風環境を把握している場合(1ポイント)</t>
    <phoneticPr fontId="22"/>
  </si>
  <si>
    <t>・上記に加えさらに現地測定を行った場合や広域気象データや地形データに基づいた広域大気環境予測システムで補完してより詳細に調査した場合(2ポイント)</t>
    <rPh sb="1" eb="3">
      <t>ジョウキ</t>
    </rPh>
    <phoneticPr fontId="22"/>
  </si>
  <si>
    <t>地表面対策面積率</t>
    <rPh sb="0" eb="2">
      <t>チヒョウ</t>
    </rPh>
    <rPh sb="2" eb="3">
      <t>メン</t>
    </rPh>
    <rPh sb="3" eb="5">
      <t>タイサク</t>
    </rPh>
    <rPh sb="5" eb="7">
      <t>メンセキ</t>
    </rPh>
    <rPh sb="7" eb="8">
      <t>リツ</t>
    </rPh>
    <phoneticPr fontId="22"/>
  </si>
  <si>
    <t>屋根面対策面積率</t>
    <rPh sb="0" eb="2">
      <t>ヤネ</t>
    </rPh>
    <rPh sb="2" eb="3">
      <t>メン</t>
    </rPh>
    <rPh sb="3" eb="5">
      <t>タイサク</t>
    </rPh>
    <rPh sb="5" eb="7">
      <t>メンセキ</t>
    </rPh>
    <rPh sb="7" eb="8">
      <t>リツ</t>
    </rPh>
    <phoneticPr fontId="22"/>
  </si>
  <si>
    <t>外壁面対策面積率</t>
    <rPh sb="0" eb="2">
      <t>ガイヘキ</t>
    </rPh>
    <rPh sb="2" eb="3">
      <t>メン</t>
    </rPh>
    <rPh sb="3" eb="5">
      <t>タイサク</t>
    </rPh>
    <rPh sb="5" eb="7">
      <t>メンセキ</t>
    </rPh>
    <rPh sb="7" eb="8">
      <t>リツ</t>
    </rPh>
    <phoneticPr fontId="22"/>
  </si>
  <si>
    <t>見付面積比</t>
    <rPh sb="0" eb="2">
      <t>ミツ</t>
    </rPh>
    <rPh sb="2" eb="4">
      <t>メンセキ</t>
    </rPh>
    <rPh sb="4" eb="5">
      <t>ヒ</t>
    </rPh>
    <phoneticPr fontId="22"/>
  </si>
  <si>
    <t>隣棟間隔指標Rw</t>
    <rPh sb="0" eb="1">
      <t>リン</t>
    </rPh>
    <rPh sb="1" eb="2">
      <t>トウ</t>
    </rPh>
    <rPh sb="2" eb="4">
      <t>カンカク</t>
    </rPh>
    <rPh sb="4" eb="6">
      <t>シヒョウ</t>
    </rPh>
    <phoneticPr fontId="22"/>
  </si>
  <si>
    <t>窓システムSC</t>
    <rPh sb="0" eb="1">
      <t>マド</t>
    </rPh>
    <phoneticPr fontId="22"/>
  </si>
  <si>
    <t>昼光率</t>
    <rPh sb="0" eb="1">
      <t>ヒル</t>
    </rPh>
    <rPh sb="1" eb="2">
      <t>ヒカリ</t>
    </rPh>
    <rPh sb="2" eb="3">
      <t>リツ</t>
    </rPh>
    <phoneticPr fontId="22"/>
  </si>
  <si>
    <t>自然換気有効開口面積率</t>
    <rPh sb="0" eb="2">
      <t>シゼン</t>
    </rPh>
    <rPh sb="2" eb="4">
      <t>カンキ</t>
    </rPh>
    <rPh sb="4" eb="6">
      <t>ユウコウ</t>
    </rPh>
    <rPh sb="6" eb="8">
      <t>カイコウ</t>
    </rPh>
    <rPh sb="8" eb="10">
      <t>メンセキ</t>
    </rPh>
    <rPh sb="10" eb="11">
      <t>リツ</t>
    </rPh>
    <phoneticPr fontId="22"/>
  </si>
  <si>
    <t>執務スペース</t>
    <rPh sb="0" eb="2">
      <t>シツム</t>
    </rPh>
    <phoneticPr fontId="22"/>
  </si>
  <si>
    <t>病床</t>
    <rPh sb="0" eb="2">
      <t>ビョウショウ</t>
    </rPh>
    <phoneticPr fontId="22"/>
  </si>
  <si>
    <t>シングル</t>
    <phoneticPr fontId="22"/>
  </si>
  <si>
    <t>ツイン</t>
    <phoneticPr fontId="22"/>
  </si>
  <si>
    <t>/人</t>
    <rPh sb="1" eb="2">
      <t>ニン</t>
    </rPh>
    <phoneticPr fontId="22"/>
  </si>
  <si>
    <t>/床</t>
    <rPh sb="1" eb="2">
      <t>ユカ</t>
    </rPh>
    <phoneticPr fontId="22"/>
  </si>
  <si>
    <t>コンセント容量</t>
    <rPh sb="5" eb="7">
      <t>ヨウリョウ</t>
    </rPh>
    <phoneticPr fontId="22"/>
  </si>
  <si>
    <t>天井高</t>
    <rPh sb="0" eb="2">
      <t>テンジョウ</t>
    </rPh>
    <rPh sb="2" eb="3">
      <t>タカ</t>
    </rPh>
    <phoneticPr fontId="22"/>
  </si>
  <si>
    <t>リフレッシュスペース</t>
    <phoneticPr fontId="22"/>
  </si>
  <si>
    <t>レストスペース</t>
    <phoneticPr fontId="22"/>
  </si>
  <si>
    <t>想定耐用年数</t>
    <rPh sb="0" eb="2">
      <t>ソウテイ</t>
    </rPh>
    <rPh sb="2" eb="4">
      <t>タイヨウ</t>
    </rPh>
    <rPh sb="4" eb="6">
      <t>ネンスウ</t>
    </rPh>
    <phoneticPr fontId="22"/>
  </si>
  <si>
    <t>想定必要間隔</t>
    <rPh sb="0" eb="2">
      <t>ソウテイ</t>
    </rPh>
    <rPh sb="2" eb="4">
      <t>ヒツヨウ</t>
    </rPh>
    <rPh sb="4" eb="6">
      <t>カンカク</t>
    </rPh>
    <phoneticPr fontId="22"/>
  </si>
  <si>
    <t>階高</t>
    <rPh sb="0" eb="2">
      <t>カイダカ</t>
    </rPh>
    <phoneticPr fontId="22"/>
  </si>
  <si>
    <t>壁長さ比率</t>
    <rPh sb="0" eb="1">
      <t>カベ</t>
    </rPh>
    <rPh sb="1" eb="2">
      <t>ナガ</t>
    </rPh>
    <rPh sb="3" eb="5">
      <t>ヒリツ</t>
    </rPh>
    <phoneticPr fontId="22"/>
  </si>
  <si>
    <t>床荷重</t>
    <rPh sb="0" eb="1">
      <t>ユカ</t>
    </rPh>
    <rPh sb="1" eb="3">
      <t>カジュウ</t>
    </rPh>
    <phoneticPr fontId="22"/>
  </si>
  <si>
    <t>外構緑化指数</t>
    <rPh sb="0" eb="2">
      <t>ガイコウ</t>
    </rPh>
    <rPh sb="2" eb="4">
      <t>リョッカ</t>
    </rPh>
    <rPh sb="4" eb="6">
      <t>シスウ</t>
    </rPh>
    <phoneticPr fontId="22"/>
  </si>
  <si>
    <t>建物緑化指数</t>
    <rPh sb="0" eb="2">
      <t>タテモノ</t>
    </rPh>
    <rPh sb="2" eb="4">
      <t>リョッカ</t>
    </rPh>
    <rPh sb="4" eb="6">
      <t>シスウ</t>
    </rPh>
    <phoneticPr fontId="22"/>
  </si>
  <si>
    <t>空地率</t>
    <rPh sb="0" eb="2">
      <t>クウチ</t>
    </rPh>
    <rPh sb="2" eb="3">
      <t>リツ</t>
    </rPh>
    <phoneticPr fontId="22"/>
  </si>
  <si>
    <t>水平投影面積率</t>
    <rPh sb="0" eb="2">
      <t>スイヘイ</t>
    </rPh>
    <rPh sb="2" eb="4">
      <t>トウエイ</t>
    </rPh>
    <rPh sb="4" eb="6">
      <t>メンセキ</t>
    </rPh>
    <rPh sb="6" eb="7">
      <t>リツ</t>
    </rPh>
    <phoneticPr fontId="22"/>
  </si>
  <si>
    <t>緑被率</t>
    <rPh sb="0" eb="2">
      <t>リョクヒ</t>
    </rPh>
    <rPh sb="2" eb="3">
      <t>リツ</t>
    </rPh>
    <phoneticPr fontId="22"/>
  </si>
  <si>
    <t>水被率</t>
    <rPh sb="0" eb="1">
      <t>スイ</t>
    </rPh>
    <rPh sb="1" eb="2">
      <t>ヒ</t>
    </rPh>
    <rPh sb="2" eb="3">
      <t>リツ</t>
    </rPh>
    <phoneticPr fontId="22"/>
  </si>
  <si>
    <t>舗装面積率</t>
    <rPh sb="0" eb="2">
      <t>ホソウ</t>
    </rPh>
    <rPh sb="2" eb="4">
      <t>メンセキ</t>
    </rPh>
    <rPh sb="4" eb="5">
      <t>リツ</t>
    </rPh>
    <phoneticPr fontId="22"/>
  </si>
  <si>
    <t>BPI/BPIm</t>
    <phoneticPr fontId="22"/>
  </si>
  <si>
    <t>採光を満たす住戸数</t>
    <rPh sb="0" eb="2">
      <t>サイコウ</t>
    </rPh>
    <rPh sb="3" eb="4">
      <t>ミ</t>
    </rPh>
    <rPh sb="6" eb="8">
      <t>ジュウコ</t>
    </rPh>
    <rPh sb="8" eb="9">
      <t>スウ</t>
    </rPh>
    <phoneticPr fontId="22"/>
  </si>
  <si>
    <t>蓄電池</t>
    <rPh sb="0" eb="3">
      <t>チクデンチ</t>
    </rPh>
    <phoneticPr fontId="22"/>
  </si>
  <si>
    <t>雨水利用率</t>
    <rPh sb="0" eb="2">
      <t>ウスイ</t>
    </rPh>
    <rPh sb="2" eb="4">
      <t>リヨウ</t>
    </rPh>
    <rPh sb="4" eb="5">
      <t>リツ</t>
    </rPh>
    <phoneticPr fontId="22"/>
  </si>
  <si>
    <t>使用比率</t>
    <rPh sb="0" eb="2">
      <t>シヨウ</t>
    </rPh>
    <rPh sb="2" eb="4">
      <t>ヒリツ</t>
    </rPh>
    <phoneticPr fontId="22"/>
  </si>
  <si>
    <t>オゾン層破壊係数（ODP）</t>
    <rPh sb="3" eb="4">
      <t>ソウ</t>
    </rPh>
    <rPh sb="4" eb="6">
      <t>ハカイ</t>
    </rPh>
    <rPh sb="6" eb="8">
      <t>ケイスウ</t>
    </rPh>
    <phoneticPr fontId="22"/>
  </si>
  <si>
    <t>地球温暖化係数（GWP）</t>
  </si>
  <si>
    <t>No.2</t>
    <phoneticPr fontId="22"/>
  </si>
  <si>
    <t>種別</t>
    <rPh sb="0" eb="2">
      <t>シュベツ</t>
    </rPh>
    <phoneticPr fontId="22"/>
  </si>
  <si>
    <t>環境配慮概要</t>
    <rPh sb="0" eb="2">
      <t>カンキョウ</t>
    </rPh>
    <rPh sb="2" eb="4">
      <t>ハイリョ</t>
    </rPh>
    <rPh sb="4" eb="6">
      <t>ガイヨウ</t>
    </rPh>
    <phoneticPr fontId="22"/>
  </si>
  <si>
    <t>30字以内で記入</t>
    <rPh sb="2" eb="3">
      <t>ジ</t>
    </rPh>
    <rPh sb="3" eb="5">
      <t>イナイ</t>
    </rPh>
    <rPh sb="6" eb="8">
      <t>キニュウ</t>
    </rPh>
    <phoneticPr fontId="22"/>
  </si>
  <si>
    <t>雑排水種類</t>
    <rPh sb="0" eb="1">
      <t>ザツ</t>
    </rPh>
    <rPh sb="1" eb="3">
      <t>ハイスイ</t>
    </rPh>
    <rPh sb="3" eb="5">
      <t>シュルイ</t>
    </rPh>
    <phoneticPr fontId="22"/>
  </si>
  <si>
    <t>認定種別</t>
    <rPh sb="0" eb="2">
      <t>ニンテイ</t>
    </rPh>
    <rPh sb="2" eb="4">
      <t>シュベツ</t>
    </rPh>
    <phoneticPr fontId="22"/>
  </si>
  <si>
    <t>採用資材</t>
    <rPh sb="0" eb="2">
      <t>サイヨウ</t>
    </rPh>
    <rPh sb="2" eb="4">
      <t>シザイ</t>
    </rPh>
    <phoneticPr fontId="22"/>
  </si>
  <si>
    <t>種類</t>
    <rPh sb="0" eb="2">
      <t>シュルイ</t>
    </rPh>
    <phoneticPr fontId="22"/>
  </si>
  <si>
    <t>特定調達品目</t>
    <rPh sb="0" eb="2">
      <t>トクテイ</t>
    </rPh>
    <rPh sb="2" eb="4">
      <t>チョウタツ</t>
    </rPh>
    <rPh sb="4" eb="6">
      <t>ヒンモク</t>
    </rPh>
    <phoneticPr fontId="22"/>
  </si>
  <si>
    <t>エコマーク商品</t>
    <rPh sb="5" eb="7">
      <t>ショウヒン</t>
    </rPh>
    <phoneticPr fontId="22"/>
  </si>
  <si>
    <t>自治体が指定する特定品目等</t>
    <rPh sb="0" eb="3">
      <t>ジチタイ</t>
    </rPh>
    <rPh sb="4" eb="6">
      <t>シテイ</t>
    </rPh>
    <rPh sb="8" eb="10">
      <t>トクテイ</t>
    </rPh>
    <rPh sb="10" eb="12">
      <t>ヒンモク</t>
    </rPh>
    <rPh sb="12" eb="13">
      <t>トウ</t>
    </rPh>
    <phoneticPr fontId="22"/>
  </si>
  <si>
    <t>採用なし</t>
    <rPh sb="0" eb="2">
      <t>サイヨウ</t>
    </rPh>
    <phoneticPr fontId="22"/>
  </si>
  <si>
    <t>＜認定種別＞</t>
    <rPh sb="1" eb="3">
      <t>ニンテイ</t>
    </rPh>
    <rPh sb="3" eb="5">
      <t>シュベツ</t>
    </rPh>
    <phoneticPr fontId="22"/>
  </si>
  <si>
    <t>ODP</t>
    <phoneticPr fontId="22"/>
  </si>
  <si>
    <t>GWP</t>
    <phoneticPr fontId="22"/>
  </si>
  <si>
    <t>消火設備が全く無い場合やスプリンクラーのみの場合、ガス消火設備がない場合は対象外とする。
消火器は対象外とする。</t>
    <phoneticPr fontId="22"/>
  </si>
  <si>
    <t>合計</t>
    <rPh sb="0" eb="2">
      <t>ゴウケイ</t>
    </rPh>
    <phoneticPr fontId="22"/>
  </si>
  <si>
    <t>項目</t>
    <rPh sb="0" eb="2">
      <t>コウモク</t>
    </rPh>
    <phoneticPr fontId="22"/>
  </si>
  <si>
    <t>事・会・病・ホ･工</t>
    <phoneticPr fontId="22"/>
  </si>
  <si>
    <t>事・学・会・病・ホ・工・住：</t>
    <rPh sb="0" eb="1">
      <t>コト</t>
    </rPh>
    <rPh sb="2" eb="3">
      <t>ガク</t>
    </rPh>
    <rPh sb="4" eb="5">
      <t>カイ</t>
    </rPh>
    <rPh sb="6" eb="7">
      <t>ヤマイ</t>
    </rPh>
    <phoneticPr fontId="22"/>
  </si>
  <si>
    <t>物・飲：</t>
    <rPh sb="0" eb="1">
      <t>モノ</t>
    </rPh>
    <rPh sb="2" eb="3">
      <t>イン</t>
    </rPh>
    <phoneticPr fontId="22"/>
  </si>
  <si>
    <t>対象物質を含有しないことを確認した建材種別</t>
    <rPh sb="0" eb="2">
      <t>タイショウ</t>
    </rPh>
    <rPh sb="2" eb="4">
      <t>ブッシツ</t>
    </rPh>
    <rPh sb="5" eb="7">
      <t>ガンユウ</t>
    </rPh>
    <rPh sb="13" eb="15">
      <t>カクニン</t>
    </rPh>
    <rPh sb="17" eb="19">
      <t>ケンザイ</t>
    </rPh>
    <rPh sb="19" eb="21">
      <t>シュベツ</t>
    </rPh>
    <phoneticPr fontId="22"/>
  </si>
  <si>
    <t>対象物質の含有</t>
    <rPh sb="0" eb="2">
      <t>タイショウ</t>
    </rPh>
    <rPh sb="2" eb="4">
      <t>ブッシツ</t>
    </rPh>
    <rPh sb="5" eb="7">
      <t>ガンユウ</t>
    </rPh>
    <phoneticPr fontId="22"/>
  </si>
  <si>
    <t>無（確認）</t>
    <rPh sb="0" eb="1">
      <t>ナ</t>
    </rPh>
    <rPh sb="2" eb="4">
      <t>カクニン</t>
    </rPh>
    <phoneticPr fontId="22"/>
  </si>
  <si>
    <t>冷媒ガスを使用していない場合は、評価対象外。</t>
    <phoneticPr fontId="22"/>
  </si>
  <si>
    <t>木材を使用していない時は評価対象外。</t>
    <phoneticPr fontId="22"/>
  </si>
  <si>
    <t>持続可能な森林から産出された木材の使用総量[㎥]</t>
    <rPh sb="0" eb="2">
      <t>ジゾク</t>
    </rPh>
    <rPh sb="2" eb="4">
      <t>カノウ</t>
    </rPh>
    <rPh sb="5" eb="7">
      <t>シンリン</t>
    </rPh>
    <rPh sb="9" eb="11">
      <t>サンシュツ</t>
    </rPh>
    <rPh sb="14" eb="16">
      <t>モクザイ</t>
    </rPh>
    <rPh sb="17" eb="19">
      <t>シヨウ</t>
    </rPh>
    <rPh sb="19" eb="21">
      <t>ソウリョウ</t>
    </rPh>
    <phoneticPr fontId="22"/>
  </si>
  <si>
    <t>建築物の木材使用総量[㎥]</t>
    <rPh sb="0" eb="3">
      <t>ケンチクブツ</t>
    </rPh>
    <rPh sb="4" eb="6">
      <t>モクザイ</t>
    </rPh>
    <rPh sb="6" eb="8">
      <t>シヨウ</t>
    </rPh>
    <rPh sb="8" eb="10">
      <t>ソウリョウ</t>
    </rPh>
    <phoneticPr fontId="22"/>
  </si>
  <si>
    <t>ポイント</t>
    <phoneticPr fontId="22"/>
  </si>
  <si>
    <t>No.12</t>
    <phoneticPr fontId="22"/>
  </si>
  <si>
    <r>
      <t>ライフサイクルCO</t>
    </r>
    <r>
      <rPr>
        <b/>
        <vertAlign val="subscript"/>
        <sz val="9"/>
        <rFont val="ＭＳ Ｐゴシック"/>
        <family val="3"/>
        <charset val="128"/>
      </rPr>
      <t>2</t>
    </r>
    <r>
      <rPr>
        <b/>
        <sz val="9"/>
        <rFont val="ＭＳ Ｐゴシック"/>
        <family val="3"/>
        <charset val="128"/>
      </rPr>
      <t>概算値</t>
    </r>
    <rPh sb="10" eb="12">
      <t>ガイサン</t>
    </rPh>
    <rPh sb="12" eb="13">
      <t>チ</t>
    </rPh>
    <phoneticPr fontId="22"/>
  </si>
  <si>
    <t>合計</t>
    <rPh sb="0" eb="2">
      <t>ゴウケイ</t>
    </rPh>
    <phoneticPr fontId="22"/>
  </si>
  <si>
    <t>Min</t>
    <phoneticPr fontId="22"/>
  </si>
  <si>
    <t>Max</t>
    <phoneticPr fontId="22"/>
  </si>
  <si>
    <t>事・学・物・飲・会・病・ホ・工</t>
    <rPh sb="0" eb="1">
      <t>コト</t>
    </rPh>
    <rPh sb="2" eb="3">
      <t>ガク</t>
    </rPh>
    <rPh sb="4" eb="5">
      <t>モノ</t>
    </rPh>
    <rPh sb="6" eb="7">
      <t>イン</t>
    </rPh>
    <rPh sb="8" eb="9">
      <t>カイ</t>
    </rPh>
    <rPh sb="10" eb="11">
      <t>ヤマイ</t>
    </rPh>
    <phoneticPr fontId="22"/>
  </si>
  <si>
    <t>←</t>
    <phoneticPr fontId="22"/>
  </si>
  <si>
    <t>←</t>
    <phoneticPr fontId="22"/>
  </si>
  <si>
    <t>←</t>
    <phoneticPr fontId="22"/>
  </si>
  <si>
    <t>←</t>
    <phoneticPr fontId="22"/>
  </si>
  <si>
    <t>事・学・物・飲・会・病・ホ・工：</t>
    <rPh sb="0" eb="1">
      <t>コト</t>
    </rPh>
    <rPh sb="2" eb="3">
      <t>ガク</t>
    </rPh>
    <rPh sb="4" eb="5">
      <t>モノ</t>
    </rPh>
    <rPh sb="6" eb="7">
      <t>イン</t>
    </rPh>
    <rPh sb="8" eb="9">
      <t>カイ</t>
    </rPh>
    <rPh sb="10" eb="11">
      <t>ヤマイ</t>
    </rPh>
    <phoneticPr fontId="22"/>
  </si>
  <si>
    <t>住：</t>
    <rPh sb="0" eb="1">
      <t>ジュウ</t>
    </rPh>
    <phoneticPr fontId="22"/>
  </si>
  <si>
    <t>No.4</t>
    <phoneticPr fontId="22"/>
  </si>
  <si>
    <t>No.3</t>
    <phoneticPr fontId="22"/>
  </si>
  <si>
    <t>No.6</t>
    <phoneticPr fontId="22"/>
  </si>
  <si>
    <t>No.7</t>
    <phoneticPr fontId="22"/>
  </si>
  <si>
    <t>No.8</t>
    <phoneticPr fontId="22"/>
  </si>
  <si>
    <t>No.9</t>
    <phoneticPr fontId="22"/>
  </si>
  <si>
    <t>No.10</t>
    <phoneticPr fontId="22"/>
  </si>
  <si>
    <t>・「光害対策ガイドライン」のチェックリストを満たしている項目が一部である。（1ポイント）</t>
    <phoneticPr fontId="22"/>
  </si>
  <si>
    <t>・「光害対策ガイドライン」のチェックリストの項目の過半を満たしている。（2ポイント）</t>
    <phoneticPr fontId="22"/>
  </si>
  <si>
    <t>・広告物照明について「広告物照明の扱い」の配慮事項の一部を満たしている。（1ポイント）</t>
    <phoneticPr fontId="22"/>
  </si>
  <si>
    <t>・「広告物照明の扱い」の配慮事項の過半を満たしている場合、または広告物照明を行っていない（2ポイント）</t>
    <phoneticPr fontId="22"/>
  </si>
  <si>
    <t>　</t>
    <phoneticPr fontId="22"/>
  </si>
  <si>
    <t>規制対象建物以外の場合は
レベル３</t>
    <phoneticPr fontId="22"/>
  </si>
  <si>
    <t>規制対象建物以外の場合は
評価対象外とする</t>
    <rPh sb="13" eb="15">
      <t>ヒョウカ</t>
    </rPh>
    <rPh sb="15" eb="18">
      <t>タイショウガイ</t>
    </rPh>
    <phoneticPr fontId="22"/>
  </si>
  <si>
    <t>*1）規制基準は現行の値とし、現行基準以前に設置された施設についても現行の基準で評価する（昼間、朝・夕、夜間とも）。</t>
    <phoneticPr fontId="22"/>
  </si>
  <si>
    <t>*2)レベル５については、（現行の基準値－5dB）以下に抑えられている場合とする（昼間、夜間とも）。</t>
    <phoneticPr fontId="22"/>
  </si>
  <si>
    <t>*1）規制基準は現行の値とし、現行基準以前に設置された施設についても現行の基準で評価する（昼間、夜間とも）。</t>
    <phoneticPr fontId="22"/>
  </si>
  <si>
    <r>
      <t>*2)レベル５については、</t>
    </r>
    <r>
      <rPr>
        <sz val="8"/>
        <rFont val="Arial"/>
        <family val="2"/>
      </rPr>
      <t>[</t>
    </r>
    <r>
      <rPr>
        <sz val="8"/>
        <rFont val="ＭＳ Ｐゴシック"/>
        <family val="3"/>
        <charset val="128"/>
      </rPr>
      <t>現行の基準値－</t>
    </r>
    <r>
      <rPr>
        <sz val="8"/>
        <rFont val="Arial"/>
        <family val="2"/>
      </rPr>
      <t>10dB]</t>
    </r>
    <r>
      <rPr>
        <sz val="8"/>
        <rFont val="ＭＳ Ｐゴシック"/>
        <family val="3"/>
        <charset val="128"/>
      </rPr>
      <t>以下に抑えられている場合とする（昼間、朝・夕、夜間とも）。</t>
    </r>
    <phoneticPr fontId="22"/>
  </si>
  <si>
    <t>基準高さHb</t>
    <rPh sb="0" eb="2">
      <t>キジュン</t>
    </rPh>
    <rPh sb="2" eb="3">
      <t>タカ</t>
    </rPh>
    <phoneticPr fontId="22"/>
  </si>
  <si>
    <t>卓越風向と直交する最大敷地幅Ws</t>
    <rPh sb="0" eb="2">
      <t>タクエツ</t>
    </rPh>
    <rPh sb="2" eb="3">
      <t>フウ</t>
    </rPh>
    <rPh sb="3" eb="4">
      <t>コウ</t>
    </rPh>
    <rPh sb="5" eb="7">
      <t>チョッコウ</t>
    </rPh>
    <rPh sb="9" eb="11">
      <t>サイダイ</t>
    </rPh>
    <rPh sb="11" eb="13">
      <t>シキチ</t>
    </rPh>
    <rPh sb="13" eb="14">
      <t>ハバ</t>
    </rPh>
    <phoneticPr fontId="22"/>
  </si>
  <si>
    <t>緑被率</t>
    <rPh sb="0" eb="2">
      <t>リョクヒ</t>
    </rPh>
    <rPh sb="2" eb="3">
      <t>リツ</t>
    </rPh>
    <phoneticPr fontId="22"/>
  </si>
  <si>
    <t>水被率</t>
    <rPh sb="0" eb="1">
      <t>スイ</t>
    </rPh>
    <rPh sb="1" eb="2">
      <t>ヒ</t>
    </rPh>
    <rPh sb="2" eb="3">
      <t>リツ</t>
    </rPh>
    <phoneticPr fontId="22"/>
  </si>
  <si>
    <t>保水性対策面積率</t>
    <rPh sb="0" eb="3">
      <t>ホスイセイ</t>
    </rPh>
    <rPh sb="3" eb="5">
      <t>タイサク</t>
    </rPh>
    <rPh sb="5" eb="7">
      <t>メンセキ</t>
    </rPh>
    <rPh sb="7" eb="8">
      <t>リツ</t>
    </rPh>
    <phoneticPr fontId="22"/>
  </si>
  <si>
    <t>地表</t>
    <rPh sb="0" eb="2">
      <t>チヒョウ</t>
    </rPh>
    <phoneticPr fontId="22"/>
  </si>
  <si>
    <t>屋根</t>
    <rPh sb="0" eb="2">
      <t>ヤネ</t>
    </rPh>
    <phoneticPr fontId="22"/>
  </si>
  <si>
    <t>外壁</t>
    <rPh sb="0" eb="1">
      <t>ガイ</t>
    </rPh>
    <phoneticPr fontId="22"/>
  </si>
  <si>
    <t>面積</t>
    <rPh sb="0" eb="2">
      <t>メンセキ</t>
    </rPh>
    <phoneticPr fontId="22"/>
  </si>
  <si>
    <t>緑地</t>
    <rPh sb="0" eb="2">
      <t>リョクチ</t>
    </rPh>
    <phoneticPr fontId="22"/>
  </si>
  <si>
    <t>中高木の水平投影面</t>
    <rPh sb="0" eb="1">
      <t>チュウ</t>
    </rPh>
    <rPh sb="1" eb="3">
      <t>コウボク</t>
    </rPh>
    <rPh sb="4" eb="6">
      <t>スイヘイ</t>
    </rPh>
    <rPh sb="6" eb="8">
      <t>トウエイ</t>
    </rPh>
    <rPh sb="8" eb="9">
      <t>メン</t>
    </rPh>
    <phoneticPr fontId="22"/>
  </si>
  <si>
    <t>保水性対策面</t>
    <rPh sb="0" eb="3">
      <t>ホスイセイ</t>
    </rPh>
    <rPh sb="3" eb="5">
      <t>タイサクメンセキ</t>
    </rPh>
    <phoneticPr fontId="22"/>
  </si>
  <si>
    <t>高反射対策面</t>
    <rPh sb="0" eb="3">
      <t>コウハンシャ</t>
    </rPh>
    <rPh sb="3" eb="5">
      <t>タイサク</t>
    </rPh>
    <phoneticPr fontId="22"/>
  </si>
  <si>
    <t>水面</t>
    <rPh sb="0" eb="2">
      <t>スイメン</t>
    </rPh>
    <phoneticPr fontId="22"/>
  </si>
  <si>
    <t>高反射対策面積率</t>
    <rPh sb="0" eb="3">
      <t>コウハンシャ</t>
    </rPh>
    <rPh sb="3" eb="5">
      <t>タイサク</t>
    </rPh>
    <rPh sb="5" eb="7">
      <t>メンセキ</t>
    </rPh>
    <rPh sb="7" eb="8">
      <t>リツ</t>
    </rPh>
    <phoneticPr fontId="22"/>
  </si>
  <si>
    <t>　見付面積比</t>
    <rPh sb="1" eb="3">
      <t>ミツ</t>
    </rPh>
    <rPh sb="3" eb="5">
      <t>メンセキ</t>
    </rPh>
    <rPh sb="5" eb="6">
      <t>ヒ</t>
    </rPh>
    <phoneticPr fontId="22"/>
  </si>
  <si>
    <t>　隣棟間隔指標Rw</t>
    <rPh sb="1" eb="2">
      <t>リン</t>
    </rPh>
    <rPh sb="2" eb="3">
      <t>トウ</t>
    </rPh>
    <rPh sb="3" eb="5">
      <t>カンカク</t>
    </rPh>
    <rPh sb="5" eb="7">
      <t>シヒョウ</t>
    </rPh>
    <phoneticPr fontId="22"/>
  </si>
  <si>
    <t>　地表面対策面積率</t>
    <rPh sb="1" eb="3">
      <t>チヒョウ</t>
    </rPh>
    <rPh sb="3" eb="4">
      <t>メン</t>
    </rPh>
    <rPh sb="4" eb="6">
      <t>タイサク</t>
    </rPh>
    <rPh sb="6" eb="8">
      <t>メンセキ</t>
    </rPh>
    <rPh sb="8" eb="9">
      <t>リツ</t>
    </rPh>
    <phoneticPr fontId="22"/>
  </si>
  <si>
    <t>　屋根面対策面積率</t>
    <rPh sb="1" eb="3">
      <t>ヤネ</t>
    </rPh>
    <rPh sb="3" eb="4">
      <t>メン</t>
    </rPh>
    <rPh sb="4" eb="6">
      <t>タイサク</t>
    </rPh>
    <rPh sb="6" eb="8">
      <t>メンセキ</t>
    </rPh>
    <rPh sb="8" eb="9">
      <t>リツ</t>
    </rPh>
    <phoneticPr fontId="22"/>
  </si>
  <si>
    <t>　外壁面対策面積率</t>
    <rPh sb="1" eb="2">
      <t>ガイ</t>
    </rPh>
    <rPh sb="3" eb="4">
      <t>メン</t>
    </rPh>
    <rPh sb="4" eb="6">
      <t>タイサク</t>
    </rPh>
    <rPh sb="6" eb="8">
      <t>メンセキ</t>
    </rPh>
    <rPh sb="8" eb="9">
      <t>リツ</t>
    </rPh>
    <phoneticPr fontId="22"/>
  </si>
  <si>
    <t>対策面積率</t>
    <rPh sb="0" eb="2">
      <t>タイサク</t>
    </rPh>
    <rPh sb="2" eb="4">
      <t>メンセキ</t>
    </rPh>
    <rPh sb="4" eb="5">
      <t>リツ</t>
    </rPh>
    <phoneticPr fontId="22"/>
  </si>
  <si>
    <t>各面積（㎡）</t>
    <rPh sb="0" eb="1">
      <t>カク</t>
    </rPh>
    <rPh sb="1" eb="3">
      <t>メンセキ</t>
    </rPh>
    <phoneticPr fontId="22"/>
  </si>
  <si>
    <t>合計</t>
    <rPh sb="0" eb="2">
      <t>ゴウケイ</t>
    </rPh>
    <phoneticPr fontId="22"/>
  </si>
  <si>
    <t>項目</t>
    <rPh sb="0" eb="2">
      <t>コウモク</t>
    </rPh>
    <phoneticPr fontId="22"/>
  </si>
  <si>
    <t>中高木の樹冠の水平投影面積</t>
    <rPh sb="0" eb="1">
      <t>チュウ</t>
    </rPh>
    <rPh sb="1" eb="3">
      <t>コウボク</t>
    </rPh>
    <rPh sb="4" eb="5">
      <t>ジュ</t>
    </rPh>
    <rPh sb="5" eb="6">
      <t>カンムリ</t>
    </rPh>
    <rPh sb="7" eb="9">
      <t>スイヘイ</t>
    </rPh>
    <rPh sb="9" eb="11">
      <t>トウエイ</t>
    </rPh>
    <rPh sb="11" eb="13">
      <t>メンセキ</t>
    </rPh>
    <phoneticPr fontId="22"/>
  </si>
  <si>
    <t>低木・地被等の植栽面積</t>
    <rPh sb="0" eb="2">
      <t>テイボク</t>
    </rPh>
    <rPh sb="3" eb="4">
      <t>チ</t>
    </rPh>
    <rPh sb="4" eb="5">
      <t>ヒ</t>
    </rPh>
    <rPh sb="5" eb="6">
      <t>トウ</t>
    </rPh>
    <rPh sb="7" eb="9">
      <t>ショクサイ</t>
    </rPh>
    <rPh sb="9" eb="11">
      <t>メンセキ</t>
    </rPh>
    <phoneticPr fontId="22"/>
  </si>
  <si>
    <t>外構面積</t>
    <rPh sb="0" eb="2">
      <t>ガイコウ</t>
    </rPh>
    <rPh sb="2" eb="4">
      <t>メンセキ</t>
    </rPh>
    <phoneticPr fontId="22"/>
  </si>
  <si>
    <t>屋上緑化面積</t>
    <rPh sb="0" eb="2">
      <t>オクジョウ</t>
    </rPh>
    <rPh sb="2" eb="4">
      <t>リョッカ</t>
    </rPh>
    <rPh sb="4" eb="6">
      <t>メンセキ</t>
    </rPh>
    <phoneticPr fontId="22"/>
  </si>
  <si>
    <t>壁面緑化面積</t>
    <rPh sb="0" eb="2">
      <t>ヘキメン</t>
    </rPh>
    <rPh sb="2" eb="4">
      <t>リョッカ</t>
    </rPh>
    <rPh sb="4" eb="6">
      <t>メンセキ</t>
    </rPh>
    <phoneticPr fontId="22"/>
  </si>
  <si>
    <t>建築面積</t>
    <rPh sb="0" eb="2">
      <t>ケンチク</t>
    </rPh>
    <rPh sb="2" eb="4">
      <t>メンセキ</t>
    </rPh>
    <phoneticPr fontId="22"/>
  </si>
  <si>
    <t>1) 外構緑化指数が、</t>
    <phoneticPr fontId="22"/>
  </si>
  <si>
    <t>2)　建物緑化指数が、</t>
    <phoneticPr fontId="22"/>
  </si>
  <si>
    <t>・10％以上20％未満を示す規模の外構緑化を行い、なおかつ中高木を植栽している。 (1ポイント)
・20％以上50％未満を示す規模の外構緑化を行っている。(2ポイント)
・50%以上を示す規模の外構緑化を行っている。 (3ポイント)</t>
    <phoneticPr fontId="22"/>
  </si>
  <si>
    <t>・5％以上20％未満を示す規模の建築物の緑化を行っている。 (1ポイント)
・20％以上を示す規模の建築物の緑化を行っている。 (2ポイント)</t>
    <phoneticPr fontId="22"/>
  </si>
  <si>
    <t>Maｘ</t>
    <phoneticPr fontId="22"/>
  </si>
  <si>
    <t>Max</t>
    <phoneticPr fontId="22"/>
  </si>
  <si>
    <t>No.4</t>
    <phoneticPr fontId="22"/>
  </si>
  <si>
    <t>No.5</t>
    <phoneticPr fontId="22"/>
  </si>
  <si>
    <t>Min</t>
    <phoneticPr fontId="22"/>
  </si>
  <si>
    <r>
      <t>①公共空間からほとんど見えないなど、まちなみ・景観に配慮しようがない場合はレベル</t>
    </r>
    <r>
      <rPr>
        <sz val="8"/>
        <rFont val="Arial"/>
        <family val="2"/>
      </rPr>
      <t>3</t>
    </r>
    <r>
      <rPr>
        <sz val="8"/>
        <rFont val="ＭＳ Ｐゴシック"/>
        <family val="3"/>
        <charset val="128"/>
      </rPr>
      <t>とする。
②地域に独自のルール（まちなみガイドライン等）があり、それに基づいた取組みを行っている場合には、その内容を評価する。
③地域の景観賞、受賞理由に景観が明記されている賞を受賞しているなど一定の評価を得ていると認められる場合、レベル５とする。</t>
    </r>
    <phoneticPr fontId="22"/>
  </si>
  <si>
    <t>既存は式修正</t>
    <rPh sb="0" eb="2">
      <t>キゾン</t>
    </rPh>
    <rPh sb="3" eb="4">
      <t>シキ</t>
    </rPh>
    <rPh sb="4" eb="6">
      <t>シュウセイ</t>
    </rPh>
    <phoneticPr fontId="22"/>
  </si>
  <si>
    <t>No.8</t>
    <phoneticPr fontId="22"/>
  </si>
  <si>
    <t>No.7</t>
    <phoneticPr fontId="22"/>
  </si>
  <si>
    <t>・風下地域への風の通り道と特に関係しない場合(1ポイント)
・風下地域への風の通り道を遮らないよう配慮している場合(2ポイント)</t>
    <phoneticPr fontId="22"/>
  </si>
  <si>
    <t>卓越風向に対する建築物の見付面積比が
・60％以上80％未満の場合(1ポイント)
・40％以上60％未満の場合(2ポイント)
・40％未満の場合(3ポイント)</t>
    <phoneticPr fontId="22"/>
  </si>
  <si>
    <t>隣棟間隔指標Rwが
・0.3以上0.4未満の場合(1ポイント)
・0.4以上0.5未満の場合(2ポイント)
・0.5以上の場合(3ポイント)</t>
    <phoneticPr fontId="22"/>
  </si>
  <si>
    <t>地表面対策面積率が
・15％以上30％未満の場合(1ポイント)
・30％以上45％未満の場合(2ポイント)
・45％以上の場合(3ポイント)</t>
    <phoneticPr fontId="22"/>
  </si>
  <si>
    <t>屋根面対策面積率が
・20％未満の場合(1ポイント)
・20％以上40％未満の場合(2ポイント)
・40％以上の場合(3ポイント)</t>
    <phoneticPr fontId="22"/>
  </si>
  <si>
    <t>外壁面対策面積率が
・10％未満の場合(1ポイント)
・10％以上20％未満の場合(2ポイント)
・20％以上の場合(3ポイント)</t>
    <phoneticPr fontId="22"/>
  </si>
  <si>
    <t>「LR1エネルギー」のスコア(評価結果)が
・3.0以上4.0未満(1ポイント)
・4.0以上4.5未満(2ポイント)
・4.5以上(3ポイント)</t>
    <phoneticPr fontId="22"/>
  </si>
  <si>
    <t>気温上昇の抑制に努めるため
・標準的な工夫をしている場合(1ポイント)
・中間的な工夫をしている場合(2ポイント)
・全面的な工夫をしている場合(3ポイント)</t>
    <phoneticPr fontId="22"/>
  </si>
  <si>
    <t>舗装面積率が、
・20％以上30％未満の場合 (1ポイント)
・10％以上20％未満の場合 (2ポイント)
・10％未満の場合　 (3ポイント)</t>
    <phoneticPr fontId="22"/>
  </si>
  <si>
    <t>空地率が、
・40％以上60％未満の場合　 (1ポイント)
・60％以上80％未満の場合　 (2ポイント)
・80％以上 (3ポイント)</t>
    <phoneticPr fontId="22"/>
  </si>
  <si>
    <t>中・高木、ピロティ等の水平投影面積率が、
・10％以上20％未満の場合　 (1ポイント)
・20％以上30％未満の場合　 (2ポイント)
・30％以上の場合 (3ポイント)</t>
    <phoneticPr fontId="22"/>
  </si>
  <si>
    <t>緑被率、水被率、中・高木の水平投影面積率の合計が、
・10％以上20％未満の場合  (1ポイント)
・20％以上30％未満の場合 (2ポイント)
・30％以上の場合 (3ポイント)</t>
    <phoneticPr fontId="22"/>
  </si>
  <si>
    <t>・人が出入りできる屋上があり、一部緑化している場合(2ポイント)
・人が出入りできる屋上を広範囲で緑化している場合(3ポイント)</t>
    <phoneticPr fontId="22"/>
  </si>
  <si>
    <t>外壁面対策面積率が、
・10％未満の場合  (1ポイント)
・10％以上20％未満の場合 (2ポイント)
・20％以上の場合 (3ポイント)</t>
    <phoneticPr fontId="22"/>
  </si>
  <si>
    <t>1) 主たる建築設備(空調設備)に伴う排熱は、建築物の高い位置からの放出に努める。</t>
    <phoneticPr fontId="22"/>
  </si>
  <si>
    <t>2) 主たる建築設備(燃焼設備)に伴う高温排熱は、建築物の高い位置からの放出に努める。</t>
    <phoneticPr fontId="22"/>
  </si>
  <si>
    <t xml:space="preserve"> ・高温排熱の放出部について、設備容量の50％程度以上をGL＋10m以上の位置に設置 (1ポイント)
 ・高温排熱の放出部を設置しない、またはほとんどをGL＋10m以上の位置に設置 (2ポイント)</t>
    <rPh sb="15" eb="17">
      <t>セツビ</t>
    </rPh>
    <rPh sb="17" eb="19">
      <t>ヨウリョウ</t>
    </rPh>
    <rPh sb="23" eb="25">
      <t>テイド</t>
    </rPh>
    <rPh sb="25" eb="27">
      <t>イジョウ</t>
    </rPh>
    <rPh sb="34" eb="36">
      <t>イジョウ</t>
    </rPh>
    <rPh sb="37" eb="39">
      <t>イチ</t>
    </rPh>
    <rPh sb="40" eb="42">
      <t>セッチ</t>
    </rPh>
    <rPh sb="53" eb="55">
      <t>コウオン</t>
    </rPh>
    <rPh sb="55" eb="57">
      <t>ハイネツ</t>
    </rPh>
    <rPh sb="58" eb="60">
      <t>ホウシュツ</t>
    </rPh>
    <rPh sb="60" eb="61">
      <t>ブ</t>
    </rPh>
    <rPh sb="62" eb="64">
      <t>セッチ</t>
    </rPh>
    <rPh sb="82" eb="84">
      <t>イジョウ</t>
    </rPh>
    <rPh sb="85" eb="87">
      <t>イチ</t>
    </rPh>
    <rPh sb="88" eb="90">
      <t>セッチ</t>
    </rPh>
    <phoneticPr fontId="22"/>
  </si>
  <si>
    <t xml:space="preserve"> ・排熱を伴う冷却塔や室外機等について、設備容量の50％程度以上をGL＋10m以上の位置に設置 (1ポイント)
 ・冷却塔や室外機を設置しない、またはほとんどをGL＋10m以上の位置に設置 
    (2ポイント)</t>
    <phoneticPr fontId="22"/>
  </si>
  <si>
    <t>7）建物利用者等の参加性</t>
    <phoneticPr fontId="22"/>
  </si>
  <si>
    <t>施設利用者満足度評価（POE）の実施、コーポラティブ住宅等、設計プロセスに建物利用者が参加している。
または
居住者や入居者が植栽管理・清掃活動、運用計画の立案を直接行うなど、建物の維持管理に対して居住者が参加している。</t>
    <phoneticPr fontId="22"/>
  </si>
  <si>
    <t>歴史的な建築内外部空間や遺構を保存、復元、再生し、地域文化に貢献している。（まちなみ・景観で評価している部分はここで重複して評価しない）</t>
    <phoneticPr fontId="22"/>
  </si>
  <si>
    <t>2）地域性のある材料の使用</t>
    <phoneticPr fontId="22"/>
  </si>
  <si>
    <t>建物の構造材や内装材又は外構に地域性のある材料を一部使用している。（まちなみ・景観で評価している部分はここで重複して評価しない）</t>
    <rPh sb="39" eb="41">
      <t>ケイカン</t>
    </rPh>
    <rPh sb="42" eb="44">
      <t>ヒョウカ</t>
    </rPh>
    <rPh sb="48" eb="50">
      <t>ブブン</t>
    </rPh>
    <rPh sb="54" eb="56">
      <t>ジュウフク</t>
    </rPh>
    <rPh sb="58" eb="60">
      <t>ヒョウカ</t>
    </rPh>
    <phoneticPr fontId="22"/>
  </si>
  <si>
    <t>1）歴史的な建築空間等の保全</t>
    <phoneticPr fontId="22"/>
  </si>
  <si>
    <t>ピロティ等の水平投影面</t>
    <rPh sb="4" eb="5">
      <t>トウ</t>
    </rPh>
    <rPh sb="6" eb="8">
      <t>スイヘイ</t>
    </rPh>
    <rPh sb="8" eb="10">
      <t>トウエイ</t>
    </rPh>
    <rPh sb="10" eb="11">
      <t>メン</t>
    </rPh>
    <phoneticPr fontId="22"/>
  </si>
  <si>
    <t>中高木の水平投影面積率</t>
    <rPh sb="0" eb="1">
      <t>チュウ</t>
    </rPh>
    <rPh sb="1" eb="3">
      <t>コウボク</t>
    </rPh>
    <rPh sb="4" eb="6">
      <t>スイヘイ</t>
    </rPh>
    <rPh sb="6" eb="8">
      <t>トウエイ</t>
    </rPh>
    <rPh sb="8" eb="10">
      <t>メンセキ</t>
    </rPh>
    <rPh sb="10" eb="11">
      <t>リツ</t>
    </rPh>
    <phoneticPr fontId="22"/>
  </si>
  <si>
    <t>ピロティ等の水平投影面積率</t>
    <rPh sb="4" eb="5">
      <t>トウ</t>
    </rPh>
    <rPh sb="6" eb="8">
      <t>スイヘイ</t>
    </rPh>
    <rPh sb="8" eb="10">
      <t>トウエイ</t>
    </rPh>
    <rPh sb="10" eb="12">
      <t>メンセキ</t>
    </rPh>
    <rPh sb="12" eb="13">
      <t>リツ</t>
    </rPh>
    <phoneticPr fontId="22"/>
  </si>
  <si>
    <t>舗装面積</t>
    <rPh sb="0" eb="2">
      <t>ホソウ</t>
    </rPh>
    <rPh sb="2" eb="4">
      <t>メンセキ</t>
    </rPh>
    <phoneticPr fontId="22"/>
  </si>
  <si>
    <t>　水平投影面積率</t>
    <rPh sb="1" eb="3">
      <t>スイヘイ</t>
    </rPh>
    <rPh sb="3" eb="5">
      <t>トウエイ</t>
    </rPh>
    <rPh sb="5" eb="7">
      <t>メンセキ</t>
    </rPh>
    <rPh sb="7" eb="8">
      <t>リツ</t>
    </rPh>
    <phoneticPr fontId="22"/>
  </si>
  <si>
    <t>　舗装面積率</t>
    <rPh sb="1" eb="3">
      <t>ホソウ</t>
    </rPh>
    <rPh sb="3" eb="5">
      <t>メンセキ</t>
    </rPh>
    <rPh sb="5" eb="6">
      <t>リツ</t>
    </rPh>
    <phoneticPr fontId="22"/>
  </si>
  <si>
    <t>　空地率</t>
    <rPh sb="1" eb="3">
      <t>クウチ</t>
    </rPh>
    <rPh sb="3" eb="4">
      <t>リツ</t>
    </rPh>
    <phoneticPr fontId="22"/>
  </si>
  <si>
    <t xml:space="preserve">建物の一部に集会所、地域に開放された展示室やホール、コミュニティセンター、学校のコミュニティ利用などの公共的施設・機能を設けることで、地域の活動やにぎわいに貢献している。 </t>
    <phoneticPr fontId="22"/>
  </si>
  <si>
    <t>4）施設機能提供による地域貢献</t>
    <phoneticPr fontId="22"/>
  </si>
  <si>
    <t>6）その他</t>
    <rPh sb="4" eb="5">
      <t>タ</t>
    </rPh>
    <phoneticPr fontId="22"/>
  </si>
  <si>
    <t>4) その他（環境配慮概要に要記述）</t>
    <phoneticPr fontId="22"/>
  </si>
  <si>
    <t>2) その他（環境配慮概要に要記述）</t>
    <phoneticPr fontId="22"/>
  </si>
  <si>
    <t>既存</t>
    <rPh sb="0" eb="2">
      <t>キゾン</t>
    </rPh>
    <phoneticPr fontId="22"/>
  </si>
  <si>
    <t>新築</t>
    <rPh sb="0" eb="2">
      <t>シンチク</t>
    </rPh>
    <phoneticPr fontId="22"/>
  </si>
  <si>
    <t>3つの設備管理業務の取り組みポイントで-１(ﾚﾍﾞﾙ2)の取り組みがひとつでもある場合</t>
    <phoneticPr fontId="22"/>
  </si>
  <si>
    <t>-１(ﾚﾍﾞﾙ2)の取組み＝</t>
    <phoneticPr fontId="22"/>
  </si>
  <si>
    <t>事・学・物・飲・会・病・ホ・工・住</t>
    <phoneticPr fontId="22"/>
  </si>
  <si>
    <t>&lt;2k</t>
    <phoneticPr fontId="22"/>
  </si>
  <si>
    <t>&gt;=2k</t>
    <phoneticPr fontId="22"/>
  </si>
  <si>
    <t>学・物・飲・住</t>
    <phoneticPr fontId="22"/>
  </si>
  <si>
    <t>【&lt;2000㎡】</t>
    <phoneticPr fontId="22"/>
  </si>
  <si>
    <t>【&gt;=2000㎡】</t>
    <phoneticPr fontId="22"/>
  </si>
  <si>
    <t>ポイント</t>
    <phoneticPr fontId="22"/>
  </si>
  <si>
    <t>中央式空調換気設備がない</t>
    <rPh sb="0" eb="2">
      <t>チュウオウ</t>
    </rPh>
    <rPh sb="2" eb="3">
      <t>シキ</t>
    </rPh>
    <rPh sb="3" eb="5">
      <t>クウチョウ</t>
    </rPh>
    <rPh sb="5" eb="7">
      <t>カンキ</t>
    </rPh>
    <rPh sb="7" eb="9">
      <t>セツビ</t>
    </rPh>
    <phoneticPr fontId="22"/>
  </si>
  <si>
    <t>④電源設備・精密機械（住宅の場合は、ブレーカー、分電盤等）の浸水による停電や情報網の損傷を回避するために、ア)あるいはイ)の対策を講じている、あるいはウ)に該当している。
ア) 電源設備・精密機械の地下空間への設置を避けている
イ) 地下への浸水の防止措置(防水扉、防水板、マウンドアップ、からぼり)、排水設備(ポンプ等)を設置している。
ウ) 浸水の危険性がない。
【2000㎡未満は適用外】</t>
    <phoneticPr fontId="22"/>
  </si>
  <si>
    <t>項目</t>
    <rPh sb="0" eb="2">
      <t>コウモク</t>
    </rPh>
    <phoneticPr fontId="22"/>
  </si>
  <si>
    <t>事・学・物・飲・会・病・ホ・工・住</t>
    <phoneticPr fontId="22"/>
  </si>
  <si>
    <t>事・学・物・飲・会・病・ホ・工・住</t>
    <phoneticPr fontId="22"/>
  </si>
  <si>
    <t>※風害対策に対する要請がない。または、自主的な対策を評価しない場合はここに記述</t>
    <rPh sb="37" eb="39">
      <t>キジュツ</t>
    </rPh>
    <phoneticPr fontId="22"/>
  </si>
  <si>
    <t>窓システムのSC</t>
    <rPh sb="0" eb="1">
      <t>マド</t>
    </rPh>
    <phoneticPr fontId="22"/>
  </si>
  <si>
    <t>窓システム、外壁、屋根や床（特にピロティ）において熱の侵入に対して配慮が無く、断熱性能が低い。
（窓システムSC：0.7程度、U=6.0(W/m2K) 程度、外壁・その他：U=3.0(W/m2K) 程度）</t>
    <phoneticPr fontId="22"/>
  </si>
  <si>
    <t>窓システム</t>
    <rPh sb="0" eb="1">
      <t>マド</t>
    </rPh>
    <phoneticPr fontId="22"/>
  </si>
  <si>
    <t>U値（W/m2K）</t>
    <rPh sb="1" eb="2">
      <t>チ</t>
    </rPh>
    <phoneticPr fontId="22"/>
  </si>
  <si>
    <t>外壁</t>
    <rPh sb="0" eb="2">
      <t>ガイヘキ</t>
    </rPh>
    <phoneticPr fontId="22"/>
  </si>
  <si>
    <t>屋根</t>
    <rPh sb="0" eb="2">
      <t>ヤネ</t>
    </rPh>
    <phoneticPr fontId="22"/>
  </si>
  <si>
    <t>床</t>
    <rPh sb="0" eb="1">
      <t>ユカ</t>
    </rPh>
    <phoneticPr fontId="22"/>
  </si>
  <si>
    <t>No.5</t>
    <phoneticPr fontId="22"/>
  </si>
  <si>
    <t>VA/㎡</t>
    <phoneticPr fontId="22"/>
  </si>
  <si>
    <t>m</t>
    <phoneticPr fontId="22"/>
  </si>
  <si>
    <t>年</t>
    <rPh sb="0" eb="1">
      <t>ネン</t>
    </rPh>
    <phoneticPr fontId="22"/>
  </si>
  <si>
    <t>＝</t>
    <phoneticPr fontId="22"/>
  </si>
  <si>
    <t>N/m2</t>
    <phoneticPr fontId="22"/>
  </si>
  <si>
    <t>地表面対策面積率</t>
    <rPh sb="0" eb="3">
      <t>チヒョウメン</t>
    </rPh>
    <rPh sb="3" eb="5">
      <t>タイサク</t>
    </rPh>
    <rPh sb="5" eb="7">
      <t>メンセキ</t>
    </rPh>
    <rPh sb="7" eb="8">
      <t>リツ</t>
    </rPh>
    <phoneticPr fontId="22"/>
  </si>
  <si>
    <t>MJ/年㎡</t>
    <phoneticPr fontId="22"/>
  </si>
  <si>
    <t>kW</t>
    <phoneticPr fontId="22"/>
  </si>
  <si>
    <t>＝</t>
    <phoneticPr fontId="22"/>
  </si>
  <si>
    <t>雨水利用予測量[m³]</t>
    <rPh sb="4" eb="6">
      <t>ヨソク</t>
    </rPh>
    <phoneticPr fontId="22"/>
  </si>
  <si>
    <t>全体の用水予測量（上水+雨水利用量+雑排水利用量）[m³]</t>
    <rPh sb="0" eb="2">
      <t>ゼンタイ</t>
    </rPh>
    <rPh sb="3" eb="5">
      <t>ヨウスイ</t>
    </rPh>
    <rPh sb="5" eb="7">
      <t>ヨソク</t>
    </rPh>
    <rPh sb="7" eb="8">
      <t>リョウ</t>
    </rPh>
    <rPh sb="18" eb="21">
      <t>ザツハイスイ</t>
    </rPh>
    <rPh sb="21" eb="23">
      <t>リヨウ</t>
    </rPh>
    <rPh sb="23" eb="24">
      <t>リョウ</t>
    </rPh>
    <phoneticPr fontId="22"/>
  </si>
  <si>
    <t>持続可能な森林から産出された木材の使用比率が10％以上50％未満。</t>
    <phoneticPr fontId="22"/>
  </si>
  <si>
    <t>見付面積Sb</t>
    <rPh sb="0" eb="2">
      <t>ミツ</t>
    </rPh>
    <rPh sb="2" eb="4">
      <t>メンセキ</t>
    </rPh>
    <phoneticPr fontId="22"/>
  </si>
  <si>
    <t>水面</t>
    <rPh sb="0" eb="2">
      <t>スイメン</t>
    </rPh>
    <phoneticPr fontId="22"/>
  </si>
  <si>
    <t>保水性対策面</t>
    <rPh sb="0" eb="3">
      <t>ホスイセイ</t>
    </rPh>
    <rPh sb="3" eb="5">
      <t>タイサク</t>
    </rPh>
    <rPh sb="5" eb="6">
      <t>メン</t>
    </rPh>
    <phoneticPr fontId="22"/>
  </si>
  <si>
    <t>高反射対策面</t>
    <rPh sb="0" eb="1">
      <t>コウ</t>
    </rPh>
    <rPh sb="1" eb="3">
      <t>ハンシャ</t>
    </rPh>
    <rPh sb="3" eb="5">
      <t>タイサク</t>
    </rPh>
    <rPh sb="5" eb="6">
      <t>メン</t>
    </rPh>
    <phoneticPr fontId="22"/>
  </si>
  <si>
    <t>緑地</t>
    <rPh sb="0" eb="2">
      <t>リョクチ</t>
    </rPh>
    <phoneticPr fontId="22"/>
  </si>
  <si>
    <t>採光を満たす教室数</t>
    <rPh sb="0" eb="2">
      <t>サイコウ</t>
    </rPh>
    <rPh sb="3" eb="4">
      <t>ミ</t>
    </rPh>
    <rPh sb="6" eb="8">
      <t>キョウシツ</t>
    </rPh>
    <rPh sb="8" eb="9">
      <t>スウ</t>
    </rPh>
    <phoneticPr fontId="22"/>
  </si>
  <si>
    <t>MＪ/年㎡</t>
    <phoneticPr fontId="22"/>
  </si>
  <si>
    <t>再帰性反射対策面</t>
    <rPh sb="0" eb="3">
      <t>サイキセイ</t>
    </rPh>
    <rPh sb="3" eb="5">
      <t>ハンシャ</t>
    </rPh>
    <rPh sb="5" eb="7">
      <t>タイサク</t>
    </rPh>
    <rPh sb="7" eb="8">
      <t>メン</t>
    </rPh>
    <phoneticPr fontId="22"/>
  </si>
  <si>
    <t>合計2</t>
    <rPh sb="0" eb="2">
      <t>ゴウケイ</t>
    </rPh>
    <phoneticPr fontId="22"/>
  </si>
  <si>
    <t>合計</t>
    <rPh sb="0" eb="2">
      <t>ゴウケイ</t>
    </rPh>
    <phoneticPr fontId="22"/>
  </si>
  <si>
    <t>m</t>
    <phoneticPr fontId="22"/>
  </si>
  <si>
    <t>評価する取組み</t>
    <rPh sb="0" eb="2">
      <t>ヒョウカ</t>
    </rPh>
    <rPh sb="4" eb="6">
      <t>トリクミ</t>
    </rPh>
    <phoneticPr fontId="22"/>
  </si>
  <si>
    <t>主な指標</t>
    <rPh sb="0" eb="1">
      <t>オモ</t>
    </rPh>
    <rPh sb="2" eb="4">
      <t>シヒョウ</t>
    </rPh>
    <phoneticPr fontId="22"/>
  </si>
  <si>
    <t>通風を満たす教室数</t>
    <rPh sb="0" eb="2">
      <t>ツウフウ</t>
    </rPh>
    <rPh sb="3" eb="4">
      <t>ミ</t>
    </rPh>
    <rPh sb="6" eb="8">
      <t>キョウシツ</t>
    </rPh>
    <rPh sb="8" eb="9">
      <t>スウ</t>
    </rPh>
    <phoneticPr fontId="22"/>
  </si>
  <si>
    <t>通風を満たす住戸数</t>
    <rPh sb="0" eb="2">
      <t>ツウフウ</t>
    </rPh>
    <rPh sb="3" eb="4">
      <t>ミ</t>
    </rPh>
    <rPh sb="6" eb="8">
      <t>ジュウコ</t>
    </rPh>
    <rPh sb="8" eb="9">
      <t>スウ</t>
    </rPh>
    <phoneticPr fontId="22"/>
  </si>
  <si>
    <t>自然ｴﾈﾙｷﾞｰ直接利用量</t>
    <rPh sb="0" eb="2">
      <t>シゼン</t>
    </rPh>
    <rPh sb="8" eb="10">
      <t>チョクセツ</t>
    </rPh>
    <rPh sb="10" eb="12">
      <t>リヨウ</t>
    </rPh>
    <rPh sb="12" eb="13">
      <t>リョウ</t>
    </rPh>
    <phoneticPr fontId="22"/>
  </si>
  <si>
    <t>住宅の品質確保の促進に関する法律（日本住宅性能表示基準、3.劣化の軽減に関する事）における木造、鉄骨又はコンクリートの評価方法基準（平成26年国土交通省告示第151号）で等級1相当</t>
    <rPh sb="17" eb="19">
      <t>ニホン</t>
    </rPh>
    <rPh sb="25" eb="27">
      <t>キジュン</t>
    </rPh>
    <rPh sb="45" eb="47">
      <t>モクゾウ</t>
    </rPh>
    <rPh sb="61" eb="63">
      <t>ホウホウ</t>
    </rPh>
    <rPh sb="63" eb="65">
      <t>キジュン</t>
    </rPh>
    <rPh sb="88" eb="90">
      <t>ソウトウ</t>
    </rPh>
    <phoneticPr fontId="22"/>
  </si>
  <si>
    <t>住宅の品質確保の促進に関する法律（日本住宅性能表示基準、3.劣化の軽減に関する事）における木造、鉄骨又はコンクリートの評価方法基準（平成26年国土交通省告示第151号）で等級2相当</t>
    <rPh sb="88" eb="90">
      <t>ソウトウ</t>
    </rPh>
    <phoneticPr fontId="22"/>
  </si>
  <si>
    <t>住宅の品質確保の促進に関する法律（日本住宅性能表示基準、3.劣化の軽減に関する事）における木造、鉄骨又はコンクリートの評価方法基準（平成26年国土交通省告示第151号）で等級3相当</t>
    <rPh sb="88" eb="90">
      <t>ソウトウ</t>
    </rPh>
    <phoneticPr fontId="22"/>
  </si>
  <si>
    <t>自然エネルギー直接利用量</t>
    <rPh sb="0" eb="2">
      <t>シゼン</t>
    </rPh>
    <rPh sb="7" eb="9">
      <t>チョクセツ</t>
    </rPh>
    <rPh sb="9" eb="11">
      <t>リヨウ</t>
    </rPh>
    <rPh sb="11" eb="12">
      <t>リョウ</t>
    </rPh>
    <phoneticPr fontId="22"/>
  </si>
  <si>
    <t>（変換利用量含まず）</t>
    <phoneticPr fontId="22"/>
  </si>
  <si>
    <t>・LR2/3.2.3　発泡材</t>
    <phoneticPr fontId="22"/>
  </si>
  <si>
    <t>記入例；エアフロ―ウインドウの採用</t>
    <rPh sb="0" eb="2">
      <t>キニュウ</t>
    </rPh>
    <rPh sb="2" eb="3">
      <t>レイ</t>
    </rPh>
    <rPh sb="15" eb="17">
      <t>サイヨウ</t>
    </rPh>
    <phoneticPr fontId="22"/>
  </si>
  <si>
    <t>事・会（屋外）・病(待)・ホ・工・住</t>
    <rPh sb="2" eb="3">
      <t>カイ</t>
    </rPh>
    <rPh sb="4" eb="6">
      <t>オクガイ</t>
    </rPh>
    <rPh sb="10" eb="11">
      <t>マツ</t>
    </rPh>
    <rPh sb="17" eb="18">
      <t>ジュウ</t>
    </rPh>
    <phoneticPr fontId="22"/>
  </si>
  <si>
    <t>会(他)</t>
    <rPh sb="2" eb="3">
      <t>ホカ</t>
    </rPh>
    <phoneticPr fontId="22"/>
  </si>
  <si>
    <t>【&lt;2000㎡】</t>
    <phoneticPr fontId="22"/>
  </si>
  <si>
    <t>【&gt;=2000㎡】</t>
    <phoneticPr fontId="22"/>
  </si>
  <si>
    <t>【&gt;=2000㎡】事・会・病・ホ･工</t>
    <phoneticPr fontId="22"/>
  </si>
  <si>
    <t>【&gt;=2000㎡】学・物・飲・住</t>
    <phoneticPr fontId="22"/>
  </si>
  <si>
    <r>
      <rPr>
        <sz val="9"/>
        <rFont val="ＭＳ Ｐゴシック"/>
        <family val="3"/>
        <charset val="128"/>
      </rPr>
      <t>人（想定値）</t>
    </r>
    <rPh sb="0" eb="1">
      <t>ニン</t>
    </rPh>
    <rPh sb="2" eb="4">
      <t>ソウテイ</t>
    </rPh>
    <rPh sb="4" eb="5">
      <t>アタイ</t>
    </rPh>
    <phoneticPr fontId="22"/>
  </si>
  <si>
    <r>
      <rPr>
        <sz val="10"/>
        <color indexed="53"/>
        <rFont val="ＭＳ Ｐゴシック"/>
        <family val="3"/>
        <charset val="128"/>
      </rPr>
      <t>標準計算</t>
    </r>
    <rPh sb="0" eb="2">
      <t>ヒョウジュン</t>
    </rPh>
    <rPh sb="2" eb="4">
      <t>ケイサン</t>
    </rPh>
    <phoneticPr fontId="22"/>
  </si>
  <si>
    <r>
      <rPr>
        <sz val="9"/>
        <rFont val="ＭＳ Ｐゴシック"/>
        <family val="3"/>
        <charset val="128"/>
      </rPr>
      <t>㎡</t>
    </r>
  </si>
  <si>
    <r>
      <rPr>
        <sz val="9"/>
        <rFont val="ＭＳ Ｐゴシック"/>
        <family val="3"/>
        <charset val="128"/>
      </rPr>
      <t>㎡</t>
    </r>
    <phoneticPr fontId="22"/>
  </si>
  <si>
    <r>
      <t xml:space="preserve">                   </t>
    </r>
    <r>
      <rPr>
        <sz val="9"/>
        <rFont val="ＭＳ Ｐゴシック"/>
        <family val="3"/>
        <charset val="128"/>
      </rPr>
      <t>共用部</t>
    </r>
    <rPh sb="19" eb="21">
      <t>キョウヨウ</t>
    </rPh>
    <rPh sb="21" eb="22">
      <t>ブ</t>
    </rPh>
    <phoneticPr fontId="22"/>
  </si>
  <si>
    <r>
      <rPr>
        <sz val="9"/>
        <rFont val="ＭＳ Ｐゴシック"/>
        <family val="3"/>
        <charset val="128"/>
      </rPr>
      <t>㎡</t>
    </r>
    <phoneticPr fontId="22"/>
  </si>
  <si>
    <r>
      <rPr>
        <sz val="10"/>
        <rFont val="ＭＳ Ｐゴシック"/>
        <family val="3"/>
        <charset val="128"/>
      </rPr>
      <t>○○</t>
    </r>
    <phoneticPr fontId="22"/>
  </si>
  <si>
    <r>
      <rPr>
        <sz val="10"/>
        <rFont val="ＭＳ Ｐゴシック"/>
        <family val="3"/>
        <charset val="128"/>
      </rPr>
      <t>地上○○</t>
    </r>
    <r>
      <rPr>
        <sz val="10"/>
        <rFont val="Arial"/>
        <family val="2"/>
      </rPr>
      <t>F</t>
    </r>
    <rPh sb="0" eb="2">
      <t>チジョウ</t>
    </rPh>
    <phoneticPr fontId="22"/>
  </si>
  <si>
    <r>
      <rPr>
        <sz val="10"/>
        <rFont val="ＭＳ Ｐゴシック"/>
        <family val="3"/>
        <charset val="128"/>
      </rPr>
      <t>地上○○</t>
    </r>
    <r>
      <rPr>
        <sz val="10"/>
        <rFont val="Arial"/>
        <family val="2"/>
      </rPr>
      <t>F</t>
    </r>
    <r>
      <rPr>
        <sz val="10"/>
        <rFont val="ＭＳ Ｐゴシック"/>
        <family val="3"/>
        <charset val="128"/>
      </rPr>
      <t>～○○</t>
    </r>
    <r>
      <rPr>
        <sz val="10"/>
        <rFont val="Arial"/>
        <family val="2"/>
      </rPr>
      <t>F</t>
    </r>
    <rPh sb="0" eb="2">
      <t>チジョウ</t>
    </rPh>
    <phoneticPr fontId="22"/>
  </si>
  <si>
    <r>
      <rPr>
        <sz val="9"/>
        <rFont val="ＭＳ Ｐゴシック"/>
        <family val="3"/>
        <charset val="128"/>
      </rPr>
      <t>時間</t>
    </r>
    <r>
      <rPr>
        <sz val="9"/>
        <rFont val="Arial"/>
        <family val="2"/>
      </rPr>
      <t>/</t>
    </r>
    <r>
      <rPr>
        <sz val="9"/>
        <rFont val="ＭＳ Ｐゴシック"/>
        <family val="3"/>
        <charset val="128"/>
      </rPr>
      <t>年（想定値）</t>
    </r>
    <rPh sb="0" eb="2">
      <t>ジカン</t>
    </rPh>
    <rPh sb="3" eb="4">
      <t>ネン</t>
    </rPh>
    <phoneticPr fontId="22"/>
  </si>
  <si>
    <r>
      <rPr>
        <sz val="9"/>
        <color rgb="FFFF0000"/>
        <rFont val="ＭＳ Ｐゴシック"/>
        <family val="3"/>
        <charset val="128"/>
      </rPr>
      <t>時間</t>
    </r>
    <r>
      <rPr>
        <sz val="9"/>
        <color rgb="FFFF0000"/>
        <rFont val="Arial"/>
        <family val="2"/>
      </rPr>
      <t>/</t>
    </r>
    <r>
      <rPr>
        <sz val="9"/>
        <color rgb="FFFF0000"/>
        <rFont val="ＭＳ Ｐゴシック"/>
        <family val="3"/>
        <charset val="128"/>
      </rPr>
      <t>日（想定値）</t>
    </r>
    <rPh sb="0" eb="2">
      <t>ジカン</t>
    </rPh>
    <rPh sb="3" eb="4">
      <t>ニチ</t>
    </rPh>
    <phoneticPr fontId="22"/>
  </si>
  <si>
    <r>
      <t xml:space="preserve">     </t>
    </r>
    <r>
      <rPr>
        <sz val="9"/>
        <rFont val="ＭＳ Ｐゴシック"/>
        <family val="3"/>
        <charset val="128"/>
      </rPr>
      <t>小・中学校　</t>
    </r>
    <r>
      <rPr>
        <sz val="9"/>
        <rFont val="Arial"/>
        <family val="2"/>
      </rPr>
      <t>(</t>
    </r>
    <r>
      <rPr>
        <sz val="9"/>
        <rFont val="ＭＳ Ｐゴシック"/>
        <family val="3"/>
        <charset val="128"/>
      </rPr>
      <t>北海道</t>
    </r>
    <r>
      <rPr>
        <sz val="9"/>
        <rFont val="Arial"/>
        <family val="2"/>
      </rPr>
      <t>)</t>
    </r>
    <rPh sb="12" eb="15">
      <t>ホッカイドウ</t>
    </rPh>
    <phoneticPr fontId="22"/>
  </si>
  <si>
    <r>
      <rPr>
        <sz val="9"/>
        <rFont val="ＭＳ Ｐゴシック"/>
        <family val="3"/>
        <charset val="128"/>
      </rPr>
      <t>小・中学校</t>
    </r>
    <r>
      <rPr>
        <sz val="9"/>
        <rFont val="Arial"/>
        <family val="2"/>
      </rPr>
      <t xml:space="preserve"> (</t>
    </r>
    <r>
      <rPr>
        <sz val="9"/>
        <rFont val="ＭＳ Ｐゴシック"/>
        <family val="3"/>
        <charset val="128"/>
      </rPr>
      <t>北海道以外）</t>
    </r>
    <rPh sb="0" eb="1">
      <t>ショウ</t>
    </rPh>
    <rPh sb="2" eb="5">
      <t>チュウガッコウ</t>
    </rPh>
    <rPh sb="7" eb="10">
      <t>ホッカイドウ</t>
    </rPh>
    <rPh sb="10" eb="12">
      <t>イガイ</t>
    </rPh>
    <phoneticPr fontId="22"/>
  </si>
  <si>
    <r>
      <rPr>
        <sz val="8"/>
        <rFont val="ＭＳ Ｐゴシック"/>
        <family val="3"/>
        <charset val="128"/>
      </rPr>
      <t>㎡</t>
    </r>
    <r>
      <rPr>
        <sz val="8"/>
        <rFont val="Arial"/>
        <family val="2"/>
      </rPr>
      <t xml:space="preserve"> </t>
    </r>
    <r>
      <rPr>
        <sz val="8"/>
        <rFont val="ＭＳ Ｐゴシック"/>
        <family val="3"/>
        <charset val="128"/>
      </rPr>
      <t>　うち省エネ計画対象面積</t>
    </r>
    <rPh sb="5" eb="6">
      <t>ショウ</t>
    </rPh>
    <rPh sb="8" eb="10">
      <t>ケイカク</t>
    </rPh>
    <rPh sb="10" eb="12">
      <t>タイショウ</t>
    </rPh>
    <rPh sb="12" eb="14">
      <t>メンセキ</t>
    </rPh>
    <phoneticPr fontId="22"/>
  </si>
  <si>
    <r>
      <rPr>
        <sz val="9"/>
        <rFont val="ＭＳ Ｐゴシック"/>
        <family val="3"/>
        <charset val="128"/>
      </rPr>
      <t>㎡</t>
    </r>
    <r>
      <rPr>
        <sz val="9"/>
        <rFont val="Arial"/>
        <family val="2"/>
      </rPr>
      <t xml:space="preserve">                  </t>
    </r>
    <r>
      <rPr>
        <sz val="9"/>
        <rFont val="ＭＳ Ｐゴシック"/>
        <family val="3"/>
        <charset val="128"/>
      </rPr>
      <t>専用部</t>
    </r>
    <rPh sb="19" eb="21">
      <t>センヨウ</t>
    </rPh>
    <rPh sb="21" eb="22">
      <t>ブ</t>
    </rPh>
    <phoneticPr fontId="22"/>
  </si>
  <si>
    <r>
      <rPr>
        <b/>
        <sz val="20"/>
        <color indexed="9"/>
        <rFont val="ＭＳ Ｐゴシック"/>
        <family val="3"/>
        <charset val="128"/>
      </rPr>
      <t>評　価　ソ　フ　ト</t>
    </r>
    <rPh sb="0" eb="1">
      <t>ヒョウ</t>
    </rPh>
    <rPh sb="2" eb="3">
      <t>アタイ</t>
    </rPh>
    <phoneticPr fontId="22"/>
  </si>
  <si>
    <r>
      <rPr>
        <sz val="9"/>
        <rFont val="ＭＳ Ｐゴシック"/>
        <family val="3"/>
        <charset val="128"/>
      </rPr>
      <t>■使用評価マニュアル：</t>
    </r>
    <rPh sb="1" eb="3">
      <t>シヨウ</t>
    </rPh>
    <rPh sb="3" eb="5">
      <t>ヒョウカ</t>
    </rPh>
    <phoneticPr fontId="22"/>
  </si>
  <si>
    <r>
      <t>1</t>
    </r>
    <r>
      <rPr>
        <b/>
        <sz val="11"/>
        <color indexed="17"/>
        <rFont val="ＭＳ Ｐゴシック"/>
        <family val="3"/>
        <charset val="128"/>
      </rPr>
      <t>）概要入力</t>
    </r>
    <rPh sb="2" eb="4">
      <t>ガイヨウ</t>
    </rPh>
    <rPh sb="4" eb="6">
      <t>ニュウリョク</t>
    </rPh>
    <phoneticPr fontId="22"/>
  </si>
  <si>
    <r>
      <rPr>
        <b/>
        <sz val="10"/>
        <color indexed="9"/>
        <rFont val="ＭＳ Ｐゴシック"/>
        <family val="3"/>
        <charset val="128"/>
      </rPr>
      <t>①</t>
    </r>
    <r>
      <rPr>
        <b/>
        <sz val="10"/>
        <color indexed="9"/>
        <rFont val="Arial"/>
        <family val="2"/>
      </rPr>
      <t xml:space="preserve"> </t>
    </r>
    <r>
      <rPr>
        <b/>
        <sz val="10"/>
        <color indexed="9"/>
        <rFont val="ＭＳ Ｐゴシック"/>
        <family val="3"/>
        <charset val="128"/>
      </rPr>
      <t>建物概要</t>
    </r>
    <rPh sb="2" eb="4">
      <t>タテモノ</t>
    </rPh>
    <rPh sb="4" eb="6">
      <t>ガイヨウ</t>
    </rPh>
    <phoneticPr fontId="22"/>
  </si>
  <si>
    <r>
      <rPr>
        <sz val="10"/>
        <rFont val="ＭＳ Ｐゴシック"/>
        <family val="3"/>
        <charset val="128"/>
      </rPr>
      <t>■</t>
    </r>
    <r>
      <rPr>
        <sz val="10"/>
        <rFont val="Arial"/>
        <family val="2"/>
      </rPr>
      <t xml:space="preserve"> </t>
    </r>
    <r>
      <rPr>
        <sz val="10"/>
        <rFont val="ＭＳ Ｐゴシック"/>
        <family val="3"/>
        <charset val="128"/>
      </rPr>
      <t>建物名称</t>
    </r>
    <rPh sb="2" eb="4">
      <t>ﾀﾃﾓﾉ</t>
    </rPh>
    <rPh sb="4" eb="6">
      <t>ﾒｲｼｮｳ</t>
    </rPh>
    <phoneticPr fontId="34" type="noConversion"/>
  </si>
  <si>
    <r>
      <rPr>
        <sz val="10"/>
        <rFont val="ＭＳ Ｐゴシック"/>
        <family val="3"/>
        <charset val="128"/>
      </rPr>
      <t>■</t>
    </r>
    <r>
      <rPr>
        <sz val="10"/>
        <rFont val="Arial"/>
        <family val="2"/>
      </rPr>
      <t xml:space="preserve"> </t>
    </r>
    <r>
      <rPr>
        <sz val="10"/>
        <rFont val="ＭＳ Ｐゴシック"/>
        <family val="3"/>
        <charset val="128"/>
      </rPr>
      <t>建設地・地域区分</t>
    </r>
    <rPh sb="2" eb="5">
      <t>ｹﾝｾﾂﾁ</t>
    </rPh>
    <rPh sb="6" eb="8">
      <t>ちいき</t>
    </rPh>
    <rPh sb="8" eb="10">
      <t>ｸﾌﾞﾝ</t>
    </rPh>
    <phoneticPr fontId="34" type="noConversion"/>
  </si>
  <si>
    <r>
      <rPr>
        <sz val="10"/>
        <rFont val="ＭＳ Ｐゴシック"/>
        <family val="3"/>
        <charset val="128"/>
      </rPr>
      <t>■</t>
    </r>
    <r>
      <rPr>
        <sz val="10"/>
        <rFont val="Arial"/>
        <family val="2"/>
      </rPr>
      <t xml:space="preserve"> </t>
    </r>
    <r>
      <rPr>
        <sz val="10"/>
        <rFont val="ＭＳ Ｐゴシック"/>
        <family val="3"/>
        <charset val="128"/>
      </rPr>
      <t>地域・地区</t>
    </r>
    <rPh sb="2" eb="4">
      <t>ﾁｲｷ</t>
    </rPh>
    <rPh sb="5" eb="7">
      <t>ﾁｸ</t>
    </rPh>
    <phoneticPr fontId="34" type="noConversion"/>
  </si>
  <si>
    <r>
      <rPr>
        <sz val="10"/>
        <rFont val="ＭＳ Ｐゴシック"/>
        <family val="3"/>
        <charset val="128"/>
      </rPr>
      <t>■</t>
    </r>
    <r>
      <rPr>
        <sz val="10"/>
        <rFont val="Arial"/>
        <family val="2"/>
      </rPr>
      <t xml:space="preserve"> </t>
    </r>
    <r>
      <rPr>
        <sz val="10"/>
        <rFont val="ＭＳ Ｐゴシック"/>
        <family val="3"/>
        <charset val="128"/>
      </rPr>
      <t>竣工年</t>
    </r>
    <r>
      <rPr>
        <sz val="10"/>
        <rFont val="Arial"/>
        <family val="2"/>
      </rPr>
      <t xml:space="preserve"> (</t>
    </r>
    <r>
      <rPr>
        <sz val="10"/>
        <rFont val="ＭＳ Ｐゴシック"/>
        <family val="3"/>
        <charset val="128"/>
      </rPr>
      <t>予定</t>
    </r>
    <r>
      <rPr>
        <sz val="10"/>
        <rFont val="Arial"/>
        <family val="2"/>
      </rPr>
      <t>/</t>
    </r>
    <r>
      <rPr>
        <sz val="10"/>
        <rFont val="ＭＳ Ｐゴシック"/>
        <family val="3"/>
        <charset val="128"/>
      </rPr>
      <t>竣工</t>
    </r>
    <r>
      <rPr>
        <sz val="10"/>
        <rFont val="Arial"/>
        <family val="2"/>
      </rPr>
      <t>)</t>
    </r>
    <rPh sb="2" eb="4">
      <t>ｼｭﾝｺｳ</t>
    </rPh>
    <rPh sb="4" eb="5">
      <t>ﾈﾝ</t>
    </rPh>
    <rPh sb="7" eb="9">
      <t>ﾖﾃｲ</t>
    </rPh>
    <rPh sb="10" eb="12">
      <t>ｼｭﾝｺｳ</t>
    </rPh>
    <phoneticPr fontId="34" type="noConversion"/>
  </si>
  <si>
    <r>
      <rPr>
        <sz val="10"/>
        <color indexed="10"/>
        <rFont val="ＭＳ Ｐゴシック"/>
        <family val="3"/>
        <charset val="128"/>
      </rPr>
      <t>■使用期間（開始</t>
    </r>
    <r>
      <rPr>
        <sz val="10"/>
        <color indexed="10"/>
        <rFont val="Arial"/>
        <family val="2"/>
      </rPr>
      <t>/</t>
    </r>
    <r>
      <rPr>
        <sz val="10"/>
        <color indexed="10"/>
        <rFont val="ＭＳ Ｐゴシック"/>
        <family val="3"/>
        <charset val="128"/>
      </rPr>
      <t>終了）</t>
    </r>
    <rPh sb="1" eb="3">
      <t>ｼﾖｳ</t>
    </rPh>
    <rPh sb="3" eb="5">
      <t>ｷｶﾝ</t>
    </rPh>
    <rPh sb="6" eb="8">
      <t>ｶｲｼ</t>
    </rPh>
    <rPh sb="9" eb="11">
      <t>ｼｭｳﾘｮｳ</t>
    </rPh>
    <phoneticPr fontId="34" type="noConversion"/>
  </si>
  <si>
    <r>
      <rPr>
        <sz val="10"/>
        <rFont val="ＭＳ Ｐゴシック"/>
        <family val="3"/>
        <charset val="128"/>
      </rPr>
      <t>■</t>
    </r>
    <r>
      <rPr>
        <sz val="10"/>
        <rFont val="Arial"/>
        <family val="2"/>
      </rPr>
      <t xml:space="preserve"> </t>
    </r>
    <r>
      <rPr>
        <sz val="10"/>
        <rFont val="ＭＳ Ｐゴシック"/>
        <family val="3"/>
        <charset val="128"/>
      </rPr>
      <t>敷地面積</t>
    </r>
    <rPh sb="2" eb="4">
      <t>ｼｷﾁ</t>
    </rPh>
    <rPh sb="4" eb="6">
      <t>ﾒﾝｾｷ</t>
    </rPh>
    <phoneticPr fontId="34" type="noConversion"/>
  </si>
  <si>
    <r>
      <rPr>
        <sz val="10"/>
        <rFont val="ＭＳ Ｐゴシック"/>
        <family val="3"/>
        <charset val="128"/>
      </rPr>
      <t>■</t>
    </r>
    <r>
      <rPr>
        <sz val="10"/>
        <rFont val="Arial"/>
        <family val="2"/>
      </rPr>
      <t xml:space="preserve"> </t>
    </r>
    <r>
      <rPr>
        <sz val="10"/>
        <rFont val="ＭＳ Ｐゴシック"/>
        <family val="3"/>
        <charset val="128"/>
      </rPr>
      <t>建築面積</t>
    </r>
    <rPh sb="2" eb="4">
      <t>ｹﾝﾁｸ</t>
    </rPh>
    <rPh sb="4" eb="6">
      <t>ﾒﾝｾｷ</t>
    </rPh>
    <phoneticPr fontId="34" type="noConversion"/>
  </si>
  <si>
    <r>
      <rPr>
        <sz val="10"/>
        <rFont val="ＭＳ Ｐゴシック"/>
        <family val="3"/>
        <charset val="128"/>
      </rPr>
      <t>■</t>
    </r>
    <r>
      <rPr>
        <sz val="10"/>
        <rFont val="Arial"/>
        <family val="2"/>
      </rPr>
      <t xml:space="preserve"> </t>
    </r>
    <r>
      <rPr>
        <sz val="10"/>
        <rFont val="ＭＳ Ｐゴシック"/>
        <family val="3"/>
        <charset val="128"/>
      </rPr>
      <t>延床面積</t>
    </r>
    <rPh sb="2" eb="3">
      <t>ﾉ</t>
    </rPh>
    <rPh sb="3" eb="6">
      <t>ﾕｶﾒﾝｾｷ</t>
    </rPh>
    <phoneticPr fontId="34" type="noConversion"/>
  </si>
  <si>
    <r>
      <rPr>
        <sz val="10"/>
        <rFont val="ＭＳ Ｐゴシック"/>
        <family val="3"/>
        <charset val="128"/>
      </rPr>
      <t>■</t>
    </r>
    <r>
      <rPr>
        <sz val="10"/>
        <rFont val="Arial"/>
        <family val="2"/>
      </rPr>
      <t xml:space="preserve"> </t>
    </r>
    <r>
      <rPr>
        <sz val="10"/>
        <rFont val="ＭＳ Ｐゴシック"/>
        <family val="3"/>
        <charset val="128"/>
      </rPr>
      <t>建物用途名</t>
    </r>
    <rPh sb="2" eb="4">
      <t>タテモノ</t>
    </rPh>
    <rPh sb="4" eb="6">
      <t>ヨウト</t>
    </rPh>
    <rPh sb="6" eb="7">
      <t>メイ</t>
    </rPh>
    <phoneticPr fontId="22"/>
  </si>
  <si>
    <r>
      <rPr>
        <sz val="10"/>
        <rFont val="ＭＳ Ｐゴシック"/>
        <family val="3"/>
        <charset val="128"/>
      </rPr>
      <t>■</t>
    </r>
    <r>
      <rPr>
        <sz val="10"/>
        <rFont val="Arial"/>
        <family val="2"/>
      </rPr>
      <t xml:space="preserve"> </t>
    </r>
    <r>
      <rPr>
        <sz val="10"/>
        <rFont val="ＭＳ Ｐゴシック"/>
        <family val="3"/>
        <charset val="128"/>
      </rPr>
      <t>階数</t>
    </r>
    <rPh sb="2" eb="4">
      <t>カイスウ</t>
    </rPh>
    <phoneticPr fontId="22"/>
  </si>
  <si>
    <r>
      <rPr>
        <sz val="10"/>
        <rFont val="ＭＳ Ｐゴシック"/>
        <family val="3"/>
        <charset val="128"/>
      </rPr>
      <t>■</t>
    </r>
    <r>
      <rPr>
        <sz val="10"/>
        <rFont val="Arial"/>
        <family val="2"/>
      </rPr>
      <t xml:space="preserve"> </t>
    </r>
    <r>
      <rPr>
        <sz val="10"/>
        <rFont val="ＭＳ Ｐゴシック"/>
        <family val="3"/>
        <charset val="128"/>
      </rPr>
      <t>構造</t>
    </r>
    <rPh sb="2" eb="4">
      <t>コウゾウ</t>
    </rPh>
    <phoneticPr fontId="22"/>
  </si>
  <si>
    <r>
      <rPr>
        <b/>
        <sz val="10"/>
        <color indexed="9"/>
        <rFont val="ＭＳ Ｐゴシック"/>
        <family val="3"/>
        <charset val="128"/>
      </rPr>
      <t>②</t>
    </r>
    <r>
      <rPr>
        <b/>
        <sz val="10"/>
        <color indexed="9"/>
        <rFont val="Arial"/>
        <family val="2"/>
      </rPr>
      <t xml:space="preserve"> </t>
    </r>
    <r>
      <rPr>
        <b/>
        <sz val="10"/>
        <color indexed="9"/>
        <rFont val="ＭＳ Ｐゴシック"/>
        <family val="3"/>
        <charset val="128"/>
      </rPr>
      <t>評価対象概要</t>
    </r>
    <rPh sb="2" eb="4">
      <t>ヒョウカ</t>
    </rPh>
    <rPh sb="4" eb="6">
      <t>タイショウ</t>
    </rPh>
    <rPh sb="6" eb="8">
      <t>ガイヨウ</t>
    </rPh>
    <phoneticPr fontId="22"/>
  </si>
  <si>
    <r>
      <rPr>
        <sz val="10"/>
        <color theme="8" tint="-0.499984740745262"/>
        <rFont val="ＭＳ Ｐゴシック"/>
        <family val="3"/>
        <charset val="128"/>
      </rPr>
      <t>■</t>
    </r>
    <r>
      <rPr>
        <sz val="10"/>
        <color theme="8" tint="-0.499984740745262"/>
        <rFont val="Arial"/>
        <family val="2"/>
      </rPr>
      <t xml:space="preserve"> </t>
    </r>
    <r>
      <rPr>
        <sz val="10"/>
        <color theme="8" tint="-0.499984740745262"/>
        <rFont val="ＭＳ Ｐゴシック"/>
        <family val="3"/>
        <charset val="128"/>
      </rPr>
      <t>評価対象名称</t>
    </r>
    <rPh sb="2" eb="4">
      <t>ﾋｮｳｶ</t>
    </rPh>
    <rPh sb="4" eb="6">
      <t>ﾀｲｼｮｳ</t>
    </rPh>
    <rPh sb="6" eb="8">
      <t>ﾒｲｼｮｳ</t>
    </rPh>
    <phoneticPr fontId="34" type="noConversion"/>
  </si>
  <si>
    <r>
      <rPr>
        <sz val="10"/>
        <color theme="8" tint="-0.499984740745262"/>
        <rFont val="ＭＳ Ｐゴシック"/>
        <family val="3"/>
        <charset val="128"/>
      </rPr>
      <t>■</t>
    </r>
    <r>
      <rPr>
        <sz val="10"/>
        <color theme="8" tint="-0.499984740745262"/>
        <rFont val="Arial"/>
        <family val="2"/>
      </rPr>
      <t xml:space="preserve"> </t>
    </r>
    <r>
      <rPr>
        <sz val="10"/>
        <color theme="8" tint="-0.499984740745262"/>
        <rFont val="ＭＳ Ｐゴシック"/>
        <family val="3"/>
        <charset val="128"/>
      </rPr>
      <t>評価対象用途</t>
    </r>
    <rPh sb="2" eb="4">
      <t>ﾋｮｳｶ</t>
    </rPh>
    <rPh sb="4" eb="6">
      <t>ﾀｲｼｮｳ</t>
    </rPh>
    <rPh sb="6" eb="8">
      <t>ﾖｳﾄ</t>
    </rPh>
    <phoneticPr fontId="34" type="noConversion"/>
  </si>
  <si>
    <r>
      <rPr>
        <sz val="10"/>
        <color theme="8" tint="-0.499984740745262"/>
        <rFont val="ＭＳ Ｐゴシック"/>
        <family val="3"/>
        <charset val="128"/>
      </rPr>
      <t>■</t>
    </r>
    <r>
      <rPr>
        <sz val="10"/>
        <color theme="8" tint="-0.499984740745262"/>
        <rFont val="Arial"/>
        <family val="2"/>
      </rPr>
      <t xml:space="preserve"> </t>
    </r>
    <r>
      <rPr>
        <sz val="10"/>
        <color theme="8" tint="-0.499984740745262"/>
        <rFont val="ＭＳ Ｐゴシック"/>
        <family val="3"/>
        <charset val="128"/>
      </rPr>
      <t>使用開始</t>
    </r>
    <rPh sb="2" eb="4">
      <t>ｼﾖｳ</t>
    </rPh>
    <rPh sb="4" eb="6">
      <t>ｶｲｼ</t>
    </rPh>
    <phoneticPr fontId="34" type="noConversion"/>
  </si>
  <si>
    <r>
      <rPr>
        <sz val="10"/>
        <color theme="8" tint="-0.499984740745262"/>
        <rFont val="ＭＳ Ｐゴシック"/>
        <family val="3"/>
        <charset val="128"/>
      </rPr>
      <t>■</t>
    </r>
    <r>
      <rPr>
        <sz val="10"/>
        <color theme="8" tint="-0.499984740745262"/>
        <rFont val="Arial"/>
        <family val="2"/>
      </rPr>
      <t xml:space="preserve"> </t>
    </r>
    <r>
      <rPr>
        <sz val="10"/>
        <color theme="8" tint="-0.499984740745262"/>
        <rFont val="ＭＳ Ｐゴシック"/>
        <family val="3"/>
        <charset val="128"/>
      </rPr>
      <t>専用面積</t>
    </r>
    <rPh sb="2" eb="4">
      <t>ｾﾝﾖｳ</t>
    </rPh>
    <rPh sb="4" eb="6">
      <t>ﾒﾝｾｷ</t>
    </rPh>
    <phoneticPr fontId="34" type="noConversion"/>
  </si>
  <si>
    <r>
      <rPr>
        <sz val="10"/>
        <color theme="8" tint="-0.499984740745262"/>
        <rFont val="ＭＳ Ｐゴシック"/>
        <family val="3"/>
        <charset val="128"/>
      </rPr>
      <t>■</t>
    </r>
    <r>
      <rPr>
        <sz val="10"/>
        <color theme="8" tint="-0.499984740745262"/>
        <rFont val="Arial"/>
        <family val="2"/>
      </rPr>
      <t xml:space="preserve"> </t>
    </r>
    <r>
      <rPr>
        <sz val="10"/>
        <color theme="8" tint="-0.499984740745262"/>
        <rFont val="ＭＳ Ｐゴシック"/>
        <family val="3"/>
        <charset val="128"/>
      </rPr>
      <t>専用部の階</t>
    </r>
    <rPh sb="2" eb="4">
      <t>ｾﾝﾖｳ</t>
    </rPh>
    <rPh sb="4" eb="5">
      <t>ﾌﾞ</t>
    </rPh>
    <rPh sb="6" eb="7">
      <t>ｶｲ</t>
    </rPh>
    <phoneticPr fontId="34" type="noConversion"/>
  </si>
  <si>
    <r>
      <rPr>
        <sz val="10"/>
        <rFont val="ＭＳ Ｐゴシック"/>
        <family val="3"/>
        <charset val="128"/>
      </rPr>
      <t>■</t>
    </r>
    <r>
      <rPr>
        <sz val="10"/>
        <rFont val="Arial"/>
        <family val="2"/>
      </rPr>
      <t xml:space="preserve"> </t>
    </r>
    <r>
      <rPr>
        <sz val="10"/>
        <rFont val="ＭＳ Ｐゴシック"/>
        <family val="3"/>
        <charset val="128"/>
      </rPr>
      <t>平均居住人員</t>
    </r>
    <rPh sb="2" eb="4">
      <t>ﾍｲｷﾝ</t>
    </rPh>
    <rPh sb="4" eb="6">
      <t>ｷｮｼﾞｭｳ</t>
    </rPh>
    <rPh sb="6" eb="8">
      <t>ｼﾞﾝｲﾝ</t>
    </rPh>
    <phoneticPr fontId="34" type="noConversion"/>
  </si>
  <si>
    <r>
      <rPr>
        <sz val="10"/>
        <rFont val="ＭＳ Ｐゴシック"/>
        <family val="3"/>
        <charset val="128"/>
      </rPr>
      <t>■</t>
    </r>
    <r>
      <rPr>
        <sz val="10"/>
        <rFont val="Arial"/>
        <family val="2"/>
      </rPr>
      <t xml:space="preserve"> </t>
    </r>
    <r>
      <rPr>
        <sz val="10"/>
        <rFont val="ＭＳ Ｐゴシック"/>
        <family val="3"/>
        <charset val="128"/>
      </rPr>
      <t>年間使用時間</t>
    </r>
    <rPh sb="2" eb="4">
      <t>ﾈﾝｶﾝ</t>
    </rPh>
    <rPh sb="4" eb="6">
      <t>ｼﾖｳ</t>
    </rPh>
    <rPh sb="6" eb="8">
      <t>ｼﾞｶﾝ</t>
    </rPh>
    <phoneticPr fontId="34" type="noConversion"/>
  </si>
  <si>
    <r>
      <rPr>
        <sz val="10"/>
        <color indexed="10"/>
        <rFont val="ＭＳ Ｐゴシック"/>
        <family val="3"/>
        <charset val="128"/>
      </rPr>
      <t>■</t>
    </r>
    <r>
      <rPr>
        <sz val="10"/>
        <color indexed="10"/>
        <rFont val="Arial"/>
        <family val="2"/>
      </rPr>
      <t xml:space="preserve"> </t>
    </r>
    <r>
      <rPr>
        <sz val="10"/>
        <color indexed="10"/>
        <rFont val="ＭＳ Ｐゴシック"/>
        <family val="3"/>
        <charset val="128"/>
      </rPr>
      <t>日平均使用時間</t>
    </r>
    <rPh sb="2" eb="3">
      <t>ﾋ</t>
    </rPh>
    <rPh sb="3" eb="5">
      <t>ﾍｲｷﾝ</t>
    </rPh>
    <rPh sb="5" eb="7">
      <t>ｼﾖｳ</t>
    </rPh>
    <rPh sb="7" eb="9">
      <t>ｼﾞｶﾝ</t>
    </rPh>
    <phoneticPr fontId="34" type="noConversion"/>
  </si>
  <si>
    <r>
      <rPr>
        <b/>
        <sz val="10"/>
        <color indexed="9"/>
        <rFont val="ＭＳ Ｐゴシック"/>
        <family val="3"/>
        <charset val="128"/>
      </rPr>
      <t>②</t>
    </r>
    <r>
      <rPr>
        <b/>
        <sz val="10"/>
        <color indexed="9"/>
        <rFont val="Arial"/>
        <family val="2"/>
      </rPr>
      <t xml:space="preserve"> </t>
    </r>
    <r>
      <rPr>
        <b/>
        <sz val="10"/>
        <color indexed="9"/>
        <rFont val="ＭＳ Ｐゴシック"/>
        <family val="3"/>
        <charset val="128"/>
      </rPr>
      <t>評価の実施</t>
    </r>
    <rPh sb="2" eb="4">
      <t>ヒョウカ</t>
    </rPh>
    <rPh sb="5" eb="7">
      <t>ジッシ</t>
    </rPh>
    <phoneticPr fontId="22"/>
  </si>
  <si>
    <r>
      <rPr>
        <sz val="10"/>
        <rFont val="ＭＳ Ｐゴシック"/>
        <family val="3"/>
        <charset val="128"/>
      </rPr>
      <t>■</t>
    </r>
    <r>
      <rPr>
        <sz val="10"/>
        <rFont val="Arial"/>
        <family val="2"/>
      </rPr>
      <t xml:space="preserve"> </t>
    </r>
    <r>
      <rPr>
        <sz val="10"/>
        <rFont val="ＭＳ Ｐゴシック"/>
        <family val="3"/>
        <charset val="128"/>
      </rPr>
      <t>評価の実施</t>
    </r>
    <rPh sb="2" eb="4">
      <t>ヒョウカ</t>
    </rPh>
    <rPh sb="5" eb="7">
      <t>ジッシ</t>
    </rPh>
    <phoneticPr fontId="22"/>
  </si>
  <si>
    <r>
      <rPr>
        <sz val="10"/>
        <rFont val="ＭＳ Ｐゴシック"/>
        <family val="3"/>
        <charset val="128"/>
      </rPr>
      <t>■</t>
    </r>
    <r>
      <rPr>
        <sz val="10"/>
        <rFont val="Arial"/>
        <family val="2"/>
      </rPr>
      <t xml:space="preserve"> </t>
    </r>
    <r>
      <rPr>
        <sz val="10"/>
        <rFont val="ＭＳ Ｐゴシック"/>
        <family val="3"/>
        <charset val="128"/>
      </rPr>
      <t>作成者</t>
    </r>
    <rPh sb="2" eb="5">
      <t>サクセイシャ</t>
    </rPh>
    <phoneticPr fontId="22"/>
  </si>
  <si>
    <r>
      <rPr>
        <sz val="10"/>
        <rFont val="ＭＳ Ｐゴシック"/>
        <family val="3"/>
        <charset val="128"/>
      </rPr>
      <t>■</t>
    </r>
    <r>
      <rPr>
        <sz val="10"/>
        <rFont val="Arial"/>
        <family val="2"/>
      </rPr>
      <t xml:space="preserve"> </t>
    </r>
    <r>
      <rPr>
        <sz val="10"/>
        <rFont val="ＭＳ Ｐゴシック"/>
        <family val="3"/>
        <charset val="128"/>
      </rPr>
      <t>確認日</t>
    </r>
    <rPh sb="2" eb="4">
      <t>カクニン</t>
    </rPh>
    <rPh sb="4" eb="5">
      <t>ビ</t>
    </rPh>
    <phoneticPr fontId="22"/>
  </si>
  <si>
    <r>
      <rPr>
        <sz val="10"/>
        <rFont val="ＭＳ Ｐゴシック"/>
        <family val="3"/>
        <charset val="128"/>
      </rPr>
      <t>■</t>
    </r>
    <r>
      <rPr>
        <sz val="10"/>
        <rFont val="Arial"/>
        <family val="2"/>
      </rPr>
      <t xml:space="preserve"> </t>
    </r>
    <r>
      <rPr>
        <sz val="10"/>
        <rFont val="ＭＳ Ｐゴシック"/>
        <family val="3"/>
        <charset val="128"/>
      </rPr>
      <t>確認者</t>
    </r>
    <rPh sb="2" eb="4">
      <t>カクニン</t>
    </rPh>
    <rPh sb="4" eb="5">
      <t>シャ</t>
    </rPh>
    <phoneticPr fontId="22"/>
  </si>
  <si>
    <r>
      <rPr>
        <sz val="10"/>
        <rFont val="ＭＳ Ｐゴシック"/>
        <family val="3"/>
        <charset val="128"/>
      </rPr>
      <t>■</t>
    </r>
    <r>
      <rPr>
        <sz val="10"/>
        <rFont val="Arial"/>
        <family val="2"/>
      </rPr>
      <t>LCCO2</t>
    </r>
    <r>
      <rPr>
        <sz val="10"/>
        <rFont val="ＭＳ Ｐゴシック"/>
        <family val="3"/>
        <charset val="128"/>
      </rPr>
      <t>の計算</t>
    </r>
    <rPh sb="7" eb="9">
      <t>ケイサン</t>
    </rPh>
    <phoneticPr fontId="22"/>
  </si>
  <si>
    <r>
      <rPr>
        <b/>
        <sz val="9"/>
        <rFont val="ＭＳ Ｐゴシック"/>
        <family val="3"/>
        <charset val="128"/>
      </rPr>
      <t>バージョン</t>
    </r>
    <phoneticPr fontId="22"/>
  </si>
  <si>
    <r>
      <rPr>
        <sz val="10"/>
        <rFont val="ＭＳ Ｐゴシック"/>
        <family val="3"/>
        <charset val="128"/>
      </rPr>
      <t>○○ビル</t>
    </r>
    <phoneticPr fontId="22"/>
  </si>
  <si>
    <r>
      <rPr>
        <sz val="10"/>
        <rFont val="ＭＳ Ｐゴシック"/>
        <family val="3"/>
        <charset val="128"/>
      </rPr>
      <t>○○県○○市</t>
    </r>
    <rPh sb="2" eb="3">
      <t>ケン</t>
    </rPh>
    <rPh sb="5" eb="6">
      <t>シ</t>
    </rPh>
    <phoneticPr fontId="22"/>
  </si>
  <si>
    <r>
      <rPr>
        <sz val="10"/>
        <rFont val="ＭＳ Ｐゴシック"/>
        <family val="3"/>
        <charset val="128"/>
      </rPr>
      <t>商業地域、防火地域</t>
    </r>
    <rPh sb="0" eb="2">
      <t>ショウギョウ</t>
    </rPh>
    <rPh sb="2" eb="4">
      <t>チイキ</t>
    </rPh>
    <rPh sb="5" eb="7">
      <t>ボウカ</t>
    </rPh>
    <rPh sb="7" eb="9">
      <t>チイキ</t>
    </rPh>
    <phoneticPr fontId="22"/>
  </si>
  <si>
    <r>
      <t>202</t>
    </r>
    <r>
      <rPr>
        <sz val="10"/>
        <rFont val="ＭＳ Ｐゴシック"/>
        <family val="3"/>
        <charset val="128"/>
      </rPr>
      <t>●年●月</t>
    </r>
    <rPh sb="4" eb="5">
      <t>ネン</t>
    </rPh>
    <rPh sb="6" eb="7">
      <t>ガツ</t>
    </rPh>
    <phoneticPr fontId="22"/>
  </si>
  <si>
    <r>
      <t>2016</t>
    </r>
    <r>
      <rPr>
        <sz val="10"/>
        <rFont val="ＭＳ Ｐゴシック"/>
        <family val="3"/>
        <charset val="128"/>
      </rPr>
      <t>年６月～８月</t>
    </r>
    <rPh sb="4" eb="5">
      <t>ネン</t>
    </rPh>
    <rPh sb="6" eb="7">
      <t>ガツ</t>
    </rPh>
    <rPh sb="9" eb="10">
      <t>ガツ</t>
    </rPh>
    <phoneticPr fontId="22"/>
  </si>
  <si>
    <r>
      <rPr>
        <sz val="9"/>
        <rFont val="ＭＳ Ｐゴシック"/>
        <family val="3"/>
        <charset val="128"/>
      </rPr>
      <t>㎡</t>
    </r>
    <phoneticPr fontId="22"/>
  </si>
  <si>
    <r>
      <rPr>
        <sz val="10"/>
        <rFont val="ＭＳ Ｐゴシック"/>
        <family val="3"/>
        <charset val="128"/>
      </rPr>
      <t>○○</t>
    </r>
    <phoneticPr fontId="22"/>
  </si>
  <si>
    <r>
      <rPr>
        <sz val="10"/>
        <rFont val="ＭＳ Ｐゴシック"/>
        <family val="3"/>
        <charset val="128"/>
      </rPr>
      <t>○○サービス</t>
    </r>
    <phoneticPr fontId="22"/>
  </si>
  <si>
    <r>
      <rPr>
        <sz val="9"/>
        <rFont val="ＭＳ Ｐゴシック"/>
        <family val="3"/>
        <charset val="128"/>
      </rPr>
      <t>㎡</t>
    </r>
    <phoneticPr fontId="22"/>
  </si>
  <si>
    <r>
      <rPr>
        <sz val="10"/>
        <rFont val="ＭＳ Ｐゴシック"/>
        <family val="3"/>
        <charset val="128"/>
      </rPr>
      <t>○○○</t>
    </r>
    <phoneticPr fontId="22"/>
  </si>
  <si>
    <r>
      <t xml:space="preserve">2) </t>
    </r>
    <r>
      <rPr>
        <b/>
        <sz val="11"/>
        <color indexed="17"/>
        <rFont val="ＭＳ Ｐゴシック"/>
        <family val="3"/>
        <charset val="128"/>
      </rPr>
      <t>個別用途入力</t>
    </r>
    <rPh sb="3" eb="5">
      <t>コベツ</t>
    </rPh>
    <rPh sb="5" eb="7">
      <t>ヨウト</t>
    </rPh>
    <rPh sb="7" eb="9">
      <t>ニュウリョク</t>
    </rPh>
    <phoneticPr fontId="22"/>
  </si>
  <si>
    <r>
      <rPr>
        <b/>
        <sz val="10"/>
        <color indexed="9"/>
        <rFont val="ＭＳ Ｐゴシック"/>
        <family val="3"/>
        <charset val="128"/>
      </rPr>
      <t>①用途別延床面積　　</t>
    </r>
    <rPh sb="1" eb="3">
      <t>ヨウト</t>
    </rPh>
    <rPh sb="3" eb="4">
      <t>ベツ</t>
    </rPh>
    <rPh sb="4" eb="5">
      <t>ノ</t>
    </rPh>
    <rPh sb="5" eb="6">
      <t>ユカ</t>
    </rPh>
    <rPh sb="6" eb="8">
      <t>メンセキ</t>
    </rPh>
    <phoneticPr fontId="22"/>
  </si>
  <si>
    <r>
      <t xml:space="preserve"> </t>
    </r>
    <r>
      <rPr>
        <sz val="10"/>
        <rFont val="ＭＳ Ｐゴシック"/>
        <family val="3"/>
        <charset val="128"/>
      </rPr>
      <t>事務所</t>
    </r>
    <phoneticPr fontId="22"/>
  </si>
  <si>
    <r>
      <rPr>
        <sz val="9"/>
        <rFont val="ＭＳ Ｐゴシック"/>
        <family val="3"/>
        <charset val="128"/>
      </rPr>
      <t>㎡</t>
    </r>
    <r>
      <rPr>
        <sz val="9"/>
        <rFont val="Arial"/>
        <family val="2"/>
      </rPr>
      <t xml:space="preserve">                  </t>
    </r>
    <r>
      <rPr>
        <sz val="9"/>
        <rFont val="ＭＳ Ｐゴシック"/>
        <family val="3"/>
        <charset val="128"/>
      </rPr>
      <t>事務所</t>
    </r>
    <phoneticPr fontId="22"/>
  </si>
  <si>
    <r>
      <rPr>
        <sz val="9"/>
        <rFont val="ＭＳ Ｐゴシック"/>
        <family val="3"/>
        <charset val="128"/>
      </rPr>
      <t>官公庁</t>
    </r>
    <phoneticPr fontId="22"/>
  </si>
  <si>
    <r>
      <t xml:space="preserve"> </t>
    </r>
    <r>
      <rPr>
        <sz val="10"/>
        <rFont val="ＭＳ Ｐゴシック"/>
        <family val="3"/>
        <charset val="128"/>
      </rPr>
      <t>学校</t>
    </r>
  </si>
  <si>
    <r>
      <rPr>
        <sz val="9"/>
        <rFont val="ＭＳ Ｐゴシック"/>
        <family val="3"/>
        <charset val="128"/>
      </rPr>
      <t>㎡</t>
    </r>
    <r>
      <rPr>
        <sz val="9"/>
        <rFont val="Arial"/>
        <family val="2"/>
      </rPr>
      <t xml:space="preserve">       </t>
    </r>
    <r>
      <rPr>
        <sz val="9"/>
        <rFont val="ＭＳ Ｐゴシック"/>
        <family val="3"/>
        <charset val="128"/>
      </rPr>
      <t>幼稚園・保育園</t>
    </r>
    <phoneticPr fontId="22"/>
  </si>
  <si>
    <r>
      <rPr>
        <sz val="9"/>
        <rFont val="ＭＳ Ｐゴシック"/>
        <family val="3"/>
        <charset val="128"/>
      </rPr>
      <t>㎡</t>
    </r>
    <phoneticPr fontId="22"/>
  </si>
  <si>
    <r>
      <t xml:space="preserve">                     </t>
    </r>
    <r>
      <rPr>
        <sz val="9"/>
        <rFont val="ＭＳ Ｐゴシック"/>
        <family val="3"/>
        <charset val="128"/>
      </rPr>
      <t>高校</t>
    </r>
    <phoneticPr fontId="22"/>
  </si>
  <si>
    <r>
      <t xml:space="preserve">         </t>
    </r>
    <r>
      <rPr>
        <sz val="9"/>
        <rFont val="ＭＳ Ｐゴシック"/>
        <family val="3"/>
        <charset val="128"/>
      </rPr>
      <t>大学・専門学校</t>
    </r>
    <phoneticPr fontId="22"/>
  </si>
  <si>
    <r>
      <t xml:space="preserve"> </t>
    </r>
    <r>
      <rPr>
        <sz val="10"/>
        <rFont val="ＭＳ Ｐゴシック"/>
        <family val="3"/>
        <charset val="128"/>
      </rPr>
      <t>物販店</t>
    </r>
  </si>
  <si>
    <r>
      <rPr>
        <sz val="9"/>
        <rFont val="ＭＳ Ｐゴシック"/>
        <family val="3"/>
        <charset val="128"/>
      </rPr>
      <t>㎡</t>
    </r>
    <r>
      <rPr>
        <sz val="9"/>
        <rFont val="Arial"/>
        <family val="2"/>
      </rPr>
      <t xml:space="preserve">   </t>
    </r>
    <r>
      <rPr>
        <sz val="9"/>
        <rFont val="ＭＳ Ｐゴシック"/>
        <family val="3"/>
        <charset val="128"/>
      </rPr>
      <t>デパート・スーパー</t>
    </r>
    <phoneticPr fontId="22"/>
  </si>
  <si>
    <r>
      <rPr>
        <sz val="9"/>
        <rFont val="ＭＳ Ｐゴシック"/>
        <family val="3"/>
        <charset val="128"/>
      </rPr>
      <t>その他物販</t>
    </r>
    <phoneticPr fontId="22"/>
  </si>
  <si>
    <r>
      <t xml:space="preserve"> </t>
    </r>
    <r>
      <rPr>
        <sz val="10"/>
        <rFont val="ＭＳ Ｐゴシック"/>
        <family val="3"/>
        <charset val="128"/>
      </rPr>
      <t>飲食店</t>
    </r>
  </si>
  <si>
    <r>
      <t xml:space="preserve"> </t>
    </r>
    <r>
      <rPr>
        <sz val="10"/>
        <rFont val="ＭＳ Ｐゴシック"/>
        <family val="3"/>
        <charset val="128"/>
      </rPr>
      <t>集会所</t>
    </r>
    <rPh sb="1" eb="3">
      <t>シュウカイ</t>
    </rPh>
    <rPh sb="3" eb="4">
      <t>ジョ</t>
    </rPh>
    <phoneticPr fontId="22"/>
  </si>
  <si>
    <r>
      <rPr>
        <sz val="9"/>
        <rFont val="ＭＳ Ｐゴシック"/>
        <family val="3"/>
        <charset val="128"/>
      </rPr>
      <t>㎡</t>
    </r>
    <r>
      <rPr>
        <sz val="9"/>
        <rFont val="Arial"/>
        <family val="2"/>
      </rPr>
      <t xml:space="preserve">          </t>
    </r>
    <r>
      <rPr>
        <sz val="9"/>
        <rFont val="ＭＳ Ｐゴシック"/>
        <family val="3"/>
        <charset val="128"/>
      </rPr>
      <t>劇場・ホール</t>
    </r>
    <phoneticPr fontId="22"/>
  </si>
  <si>
    <r>
      <rPr>
        <sz val="9"/>
        <rFont val="ＭＳ Ｐゴシック"/>
        <family val="3"/>
        <charset val="128"/>
      </rPr>
      <t>展示施設</t>
    </r>
    <phoneticPr fontId="22"/>
  </si>
  <si>
    <r>
      <rPr>
        <sz val="9"/>
        <rFont val="ＭＳ Ｐゴシック"/>
        <family val="3"/>
        <charset val="128"/>
      </rPr>
      <t>スポーツ施設</t>
    </r>
    <phoneticPr fontId="22"/>
  </si>
  <si>
    <r>
      <t xml:space="preserve"> </t>
    </r>
    <r>
      <rPr>
        <sz val="10"/>
        <rFont val="ＭＳ Ｐゴシック"/>
        <family val="3"/>
        <charset val="128"/>
      </rPr>
      <t>工場</t>
    </r>
    <rPh sb="1" eb="3">
      <t>コウジョウ</t>
    </rPh>
    <phoneticPr fontId="22"/>
  </si>
  <si>
    <r>
      <t xml:space="preserve"> </t>
    </r>
    <r>
      <rPr>
        <sz val="10"/>
        <rFont val="ＭＳ Ｐゴシック"/>
        <family val="3"/>
        <charset val="128"/>
      </rPr>
      <t>病院</t>
    </r>
  </si>
  <si>
    <r>
      <t xml:space="preserve"> </t>
    </r>
    <r>
      <rPr>
        <sz val="10"/>
        <rFont val="ＭＳ Ｐゴシック"/>
        <family val="3"/>
        <charset val="128"/>
      </rPr>
      <t>ホテル</t>
    </r>
  </si>
  <si>
    <r>
      <t xml:space="preserve"> </t>
    </r>
    <r>
      <rPr>
        <sz val="10"/>
        <rFont val="ＭＳ Ｐゴシック"/>
        <family val="3"/>
        <charset val="128"/>
      </rPr>
      <t>非住宅　小計</t>
    </r>
    <rPh sb="1" eb="2">
      <t>ヒ</t>
    </rPh>
    <rPh sb="2" eb="4">
      <t>ジュウタク</t>
    </rPh>
    <rPh sb="5" eb="7">
      <t>ショウケイ</t>
    </rPh>
    <phoneticPr fontId="22"/>
  </si>
  <si>
    <r>
      <t xml:space="preserve"> </t>
    </r>
    <r>
      <rPr>
        <sz val="10"/>
        <rFont val="ＭＳ Ｐゴシック"/>
        <family val="3"/>
        <charset val="128"/>
      </rPr>
      <t>集合住宅</t>
    </r>
  </si>
  <si>
    <r>
      <rPr>
        <sz val="9"/>
        <rFont val="ＭＳ Ｐゴシック"/>
        <family val="3"/>
        <charset val="128"/>
      </rPr>
      <t>㎡</t>
    </r>
    <phoneticPr fontId="22"/>
  </si>
  <si>
    <r>
      <rPr>
        <b/>
        <sz val="10"/>
        <color indexed="9"/>
        <rFont val="ＭＳ Ｐゴシック"/>
        <family val="3"/>
        <charset val="128"/>
      </rPr>
      <t>②</t>
    </r>
    <r>
      <rPr>
        <b/>
        <sz val="10"/>
        <color indexed="9"/>
        <rFont val="Arial"/>
        <family val="2"/>
      </rPr>
      <t xml:space="preserve"> </t>
    </r>
    <r>
      <rPr>
        <b/>
        <sz val="10"/>
        <color indexed="9"/>
        <rFont val="ＭＳ Ｐゴシック"/>
        <family val="3"/>
        <charset val="128"/>
      </rPr>
      <t>住居・宿泊部分の比率</t>
    </r>
    <rPh sb="2" eb="4">
      <t>ジュウキョ</t>
    </rPh>
    <rPh sb="5" eb="7">
      <t>シュクハク</t>
    </rPh>
    <rPh sb="7" eb="9">
      <t>ブブン</t>
    </rPh>
    <rPh sb="10" eb="12">
      <t>ヒリツ</t>
    </rPh>
    <phoneticPr fontId="22"/>
  </si>
  <si>
    <r>
      <rPr>
        <sz val="10"/>
        <rFont val="ＭＳ Ｐゴシック"/>
        <family val="3"/>
        <charset val="128"/>
      </rPr>
      <t>■病院の延床面積のうち、病室部分の床面積の比率</t>
    </r>
    <rPh sb="1" eb="3">
      <t>ビョウイン</t>
    </rPh>
    <rPh sb="4" eb="5">
      <t>ノ</t>
    </rPh>
    <rPh sb="5" eb="8">
      <t>ユカメンセキ</t>
    </rPh>
    <rPh sb="12" eb="14">
      <t>ビョウシツ</t>
    </rPh>
    <rPh sb="14" eb="16">
      <t>ブブン</t>
    </rPh>
    <rPh sb="17" eb="20">
      <t>ユカメンセキ</t>
    </rPh>
    <rPh sb="21" eb="23">
      <t>ヒリツ</t>
    </rPh>
    <phoneticPr fontId="22"/>
  </si>
  <si>
    <r>
      <rPr>
        <sz val="10"/>
        <rFont val="ＭＳ Ｐゴシック"/>
        <family val="3"/>
        <charset val="128"/>
      </rPr>
      <t>■ホテルの延床面積のうち、宿泊部分の床面積の比率</t>
    </r>
    <rPh sb="5" eb="6">
      <t>ノ</t>
    </rPh>
    <rPh sb="6" eb="9">
      <t>ユカメンセキ</t>
    </rPh>
    <rPh sb="13" eb="15">
      <t>シュクハク</t>
    </rPh>
    <rPh sb="15" eb="17">
      <t>ブブン</t>
    </rPh>
    <rPh sb="18" eb="21">
      <t>ユカメンセキ</t>
    </rPh>
    <rPh sb="22" eb="24">
      <t>ヒリツ</t>
    </rPh>
    <phoneticPr fontId="22"/>
  </si>
  <si>
    <r>
      <rPr>
        <sz val="10"/>
        <rFont val="ＭＳ Ｐゴシック"/>
        <family val="3"/>
        <charset val="128"/>
      </rPr>
      <t>■集合住宅の延床面積のうち、住戸部分の床面積の比率</t>
    </r>
    <rPh sb="1" eb="3">
      <t>シュウゴウ</t>
    </rPh>
    <rPh sb="3" eb="5">
      <t>ジュウタク</t>
    </rPh>
    <rPh sb="7" eb="10">
      <t>ユカメンセキ</t>
    </rPh>
    <rPh sb="14" eb="16">
      <t>ジュウコ</t>
    </rPh>
    <rPh sb="16" eb="18">
      <t>ブブン</t>
    </rPh>
    <rPh sb="19" eb="22">
      <t>ユカメンセキ</t>
    </rPh>
    <rPh sb="23" eb="25">
      <t>ヒリツ</t>
    </rPh>
    <phoneticPr fontId="22"/>
  </si>
  <si>
    <r>
      <t>3</t>
    </r>
    <r>
      <rPr>
        <b/>
        <sz val="11"/>
        <color indexed="17"/>
        <rFont val="ＭＳ Ｐゴシック"/>
        <family val="3"/>
        <charset val="128"/>
      </rPr>
      <t>）結果出力</t>
    </r>
    <rPh sb="2" eb="4">
      <t>ケッカ</t>
    </rPh>
    <rPh sb="4" eb="6">
      <t>シュツリョク</t>
    </rPh>
    <phoneticPr fontId="22"/>
  </si>
  <si>
    <r>
      <rPr>
        <b/>
        <sz val="10"/>
        <color indexed="9"/>
        <rFont val="ＭＳ Ｐゴシック"/>
        <family val="3"/>
        <charset val="128"/>
      </rPr>
      <t>スコアシート</t>
    </r>
    <phoneticPr fontId="22"/>
  </si>
  <si>
    <r>
      <rPr>
        <sz val="10"/>
        <color indexed="18"/>
        <rFont val="ＭＳ Ｐゴシック"/>
        <family val="3"/>
        <charset val="128"/>
      </rPr>
      <t>●スコア</t>
    </r>
    <phoneticPr fontId="22"/>
  </si>
  <si>
    <r>
      <rPr>
        <b/>
        <sz val="10"/>
        <color indexed="9"/>
        <rFont val="ＭＳ Ｐゴシック"/>
        <family val="3"/>
        <charset val="128"/>
      </rPr>
      <t>評価結果表示シート</t>
    </r>
    <rPh sb="0" eb="2">
      <t>ヒョウカ</t>
    </rPh>
    <rPh sb="2" eb="4">
      <t>ケッカ</t>
    </rPh>
    <rPh sb="4" eb="6">
      <t>ヒョウジ</t>
    </rPh>
    <phoneticPr fontId="22"/>
  </si>
  <si>
    <r>
      <rPr>
        <sz val="10"/>
        <color indexed="18"/>
        <rFont val="ＭＳ Ｐゴシック"/>
        <family val="3"/>
        <charset val="128"/>
      </rPr>
      <t>●結果　</t>
    </r>
    <rPh sb="1" eb="3">
      <t>ケッカ</t>
    </rPh>
    <phoneticPr fontId="22"/>
  </si>
  <si>
    <r>
      <rPr>
        <sz val="10"/>
        <color indexed="18"/>
        <rFont val="ＭＳ Ｐゴシック"/>
        <family val="3"/>
        <charset val="128"/>
      </rPr>
      <t>●</t>
    </r>
    <r>
      <rPr>
        <sz val="10"/>
        <color indexed="18"/>
        <rFont val="Arial"/>
        <family val="2"/>
      </rPr>
      <t>LCCO2</t>
    </r>
    <r>
      <rPr>
        <sz val="10"/>
        <color indexed="18"/>
        <rFont val="ＭＳ Ｐゴシック"/>
        <family val="3"/>
        <charset val="128"/>
      </rPr>
      <t>計算</t>
    </r>
    <rPh sb="6" eb="8">
      <t>ケイサン</t>
    </rPh>
    <phoneticPr fontId="22"/>
  </si>
  <si>
    <r>
      <t>LCCO2</t>
    </r>
    <r>
      <rPr>
        <b/>
        <sz val="10"/>
        <color indexed="9"/>
        <rFont val="ＭＳ Ｐゴシック"/>
        <family val="3"/>
        <charset val="128"/>
      </rPr>
      <t>算定条件シート</t>
    </r>
    <rPh sb="5" eb="7">
      <t>サンテイ</t>
    </rPh>
    <rPh sb="7" eb="9">
      <t>ジョウケン</t>
    </rPh>
    <phoneticPr fontId="22"/>
  </si>
  <si>
    <r>
      <rPr>
        <sz val="10"/>
        <color indexed="18"/>
        <rFont val="ＭＳ Ｐゴシック"/>
        <family val="3"/>
        <charset val="128"/>
      </rPr>
      <t>●標準計算</t>
    </r>
    <rPh sb="1" eb="3">
      <t>ヒョウジュン</t>
    </rPh>
    <rPh sb="3" eb="5">
      <t>ケイサン</t>
    </rPh>
    <phoneticPr fontId="22"/>
  </si>
  <si>
    <r>
      <rPr>
        <sz val="10"/>
        <color indexed="18"/>
        <rFont val="ＭＳ Ｐゴシック"/>
        <family val="3"/>
        <charset val="128"/>
      </rPr>
      <t>●個別計算</t>
    </r>
    <rPh sb="1" eb="3">
      <t>コベツ</t>
    </rPh>
    <rPh sb="3" eb="5">
      <t>ケイサン</t>
    </rPh>
    <phoneticPr fontId="22"/>
  </si>
  <si>
    <r>
      <rPr>
        <sz val="10"/>
        <rFont val="ＭＳ Ｐゴシック"/>
        <family val="3"/>
        <charset val="128"/>
      </rPr>
      <t>用途名</t>
    </r>
    <rPh sb="0" eb="2">
      <t>ヨウト</t>
    </rPh>
    <rPh sb="2" eb="3">
      <t>メイ</t>
    </rPh>
    <phoneticPr fontId="22"/>
  </si>
  <si>
    <r>
      <t xml:space="preserve"> </t>
    </r>
    <r>
      <rPr>
        <sz val="10"/>
        <rFont val="ＭＳ Ｐゴシック"/>
        <family val="3"/>
        <charset val="128"/>
      </rPr>
      <t>含まれる用途</t>
    </r>
    <rPh sb="1" eb="2">
      <t>フク</t>
    </rPh>
    <rPh sb="5" eb="7">
      <t>ヨウト</t>
    </rPh>
    <phoneticPr fontId="22"/>
  </si>
  <si>
    <r>
      <t xml:space="preserve"> </t>
    </r>
    <r>
      <rPr>
        <sz val="10"/>
        <rFont val="ＭＳ Ｐゴシック"/>
        <family val="3"/>
        <charset val="128"/>
      </rPr>
      <t>事務所</t>
    </r>
  </si>
  <si>
    <r>
      <t xml:space="preserve"> </t>
    </r>
    <r>
      <rPr>
        <sz val="10"/>
        <rFont val="ＭＳ Ｐゴシック"/>
        <family val="3"/>
        <charset val="128"/>
      </rPr>
      <t>事務所、庁舎、郵便局</t>
    </r>
    <r>
      <rPr>
        <sz val="10"/>
        <rFont val="Arial"/>
        <family val="2"/>
      </rPr>
      <t xml:space="preserve"> </t>
    </r>
    <r>
      <rPr>
        <sz val="10"/>
        <rFont val="ＭＳ Ｐゴシック"/>
        <family val="3"/>
        <charset val="128"/>
      </rPr>
      <t>など</t>
    </r>
    <rPh sb="1" eb="3">
      <t>ジム</t>
    </rPh>
    <rPh sb="3" eb="4">
      <t>ショ</t>
    </rPh>
    <rPh sb="5" eb="7">
      <t>チョウシャ</t>
    </rPh>
    <rPh sb="8" eb="11">
      <t>ユウビンキョク</t>
    </rPh>
    <phoneticPr fontId="22"/>
  </si>
  <si>
    <r>
      <t xml:space="preserve"> </t>
    </r>
    <r>
      <rPr>
        <sz val="10"/>
        <rFont val="ＭＳ Ｐゴシック"/>
        <family val="3"/>
        <charset val="128"/>
      </rPr>
      <t>小学校、中学校、高等学校、大学、高等専門学校、専修学校、各種学校</t>
    </r>
    <r>
      <rPr>
        <sz val="10"/>
        <rFont val="Arial"/>
        <family val="2"/>
      </rPr>
      <t xml:space="preserve"> </t>
    </r>
    <r>
      <rPr>
        <sz val="10"/>
        <rFont val="ＭＳ Ｐゴシック"/>
        <family val="3"/>
        <charset val="128"/>
      </rPr>
      <t>など</t>
    </r>
    <rPh sb="1" eb="4">
      <t>ショウガッコウ</t>
    </rPh>
    <rPh sb="5" eb="8">
      <t>チュウガッコウ</t>
    </rPh>
    <rPh sb="9" eb="11">
      <t>コウトウ</t>
    </rPh>
    <rPh sb="11" eb="13">
      <t>ガッコウ</t>
    </rPh>
    <rPh sb="14" eb="16">
      <t>ダイガク</t>
    </rPh>
    <rPh sb="17" eb="19">
      <t>コウトウ</t>
    </rPh>
    <rPh sb="19" eb="21">
      <t>センモン</t>
    </rPh>
    <rPh sb="21" eb="23">
      <t>ガッコウ</t>
    </rPh>
    <rPh sb="24" eb="26">
      <t>センシュウ</t>
    </rPh>
    <rPh sb="26" eb="28">
      <t>ガッコウ</t>
    </rPh>
    <rPh sb="29" eb="31">
      <t>カクシュ</t>
    </rPh>
    <rPh sb="31" eb="33">
      <t>ガッコウ</t>
    </rPh>
    <phoneticPr fontId="22"/>
  </si>
  <si>
    <r>
      <t xml:space="preserve"> </t>
    </r>
    <r>
      <rPr>
        <sz val="10"/>
        <rFont val="ＭＳ Ｐゴシック"/>
        <family val="3"/>
        <charset val="128"/>
      </rPr>
      <t>百貨店、マーケット</t>
    </r>
    <r>
      <rPr>
        <sz val="10"/>
        <rFont val="Arial"/>
        <family val="2"/>
      </rPr>
      <t xml:space="preserve"> </t>
    </r>
    <r>
      <rPr>
        <sz val="10"/>
        <rFont val="ＭＳ Ｐゴシック"/>
        <family val="3"/>
        <charset val="128"/>
      </rPr>
      <t>など</t>
    </r>
    <rPh sb="1" eb="4">
      <t>ヒャッカテン</t>
    </rPh>
    <phoneticPr fontId="22"/>
  </si>
  <si>
    <r>
      <t xml:space="preserve"> </t>
    </r>
    <r>
      <rPr>
        <sz val="10"/>
        <rFont val="ＭＳ Ｐゴシック"/>
        <family val="3"/>
        <charset val="128"/>
      </rPr>
      <t>飲食店、食堂、喫茶店</t>
    </r>
    <r>
      <rPr>
        <sz val="10"/>
        <rFont val="Arial"/>
        <family val="2"/>
      </rPr>
      <t xml:space="preserve"> </t>
    </r>
    <r>
      <rPr>
        <sz val="10"/>
        <rFont val="ＭＳ Ｐゴシック"/>
        <family val="3"/>
        <charset val="128"/>
      </rPr>
      <t>など</t>
    </r>
    <rPh sb="1" eb="3">
      <t>インショク</t>
    </rPh>
    <rPh sb="3" eb="4">
      <t>テン</t>
    </rPh>
    <rPh sb="5" eb="7">
      <t>ショクドウ</t>
    </rPh>
    <rPh sb="8" eb="11">
      <t>キッサテン</t>
    </rPh>
    <phoneticPr fontId="22"/>
  </si>
  <si>
    <r>
      <t xml:space="preserve"> </t>
    </r>
    <r>
      <rPr>
        <sz val="9"/>
        <rFont val="ＭＳ Ｐゴシック"/>
        <family val="3"/>
        <charset val="128"/>
      </rPr>
      <t>公会堂、集会場、図書館、博物館、ボーリング場、体育館、劇場、映画館、展示施設</t>
    </r>
    <r>
      <rPr>
        <sz val="9"/>
        <rFont val="Arial"/>
        <family val="2"/>
      </rPr>
      <t xml:space="preserve"> </t>
    </r>
    <r>
      <rPr>
        <sz val="9"/>
        <rFont val="ＭＳ Ｐゴシック"/>
        <family val="3"/>
        <charset val="128"/>
      </rPr>
      <t>など</t>
    </r>
    <rPh sb="1" eb="4">
      <t>コウカイドウ</t>
    </rPh>
    <rPh sb="5" eb="8">
      <t>シュウカイジョウ</t>
    </rPh>
    <rPh sb="22" eb="23">
      <t>ジョウ</t>
    </rPh>
    <rPh sb="24" eb="27">
      <t>タイイクカン</t>
    </rPh>
    <rPh sb="28" eb="30">
      <t>ゲキジョウ</t>
    </rPh>
    <rPh sb="31" eb="34">
      <t>エイガカン</t>
    </rPh>
    <rPh sb="35" eb="37">
      <t>テンジ</t>
    </rPh>
    <rPh sb="37" eb="39">
      <t>シセツ</t>
    </rPh>
    <phoneticPr fontId="22"/>
  </si>
  <si>
    <r>
      <t xml:space="preserve"> </t>
    </r>
    <r>
      <rPr>
        <sz val="10"/>
        <rFont val="ＭＳ Ｐゴシック"/>
        <family val="3"/>
        <charset val="128"/>
      </rPr>
      <t>工場、車庫、倉庫、観覧場、卸売市場</t>
    </r>
    <r>
      <rPr>
        <sz val="10"/>
        <rFont val="Arial"/>
        <family val="2"/>
      </rPr>
      <t xml:space="preserve"> </t>
    </r>
    <r>
      <rPr>
        <sz val="10"/>
        <rFont val="ＭＳ Ｐゴシック"/>
        <family val="3"/>
        <charset val="128"/>
      </rPr>
      <t>、電算室など</t>
    </r>
    <rPh sb="1" eb="3">
      <t>コウジョウ</t>
    </rPh>
    <rPh sb="4" eb="6">
      <t>シャコ</t>
    </rPh>
    <rPh sb="7" eb="9">
      <t>ソウコ</t>
    </rPh>
    <rPh sb="10" eb="12">
      <t>カンラン</t>
    </rPh>
    <rPh sb="12" eb="13">
      <t>バ</t>
    </rPh>
    <rPh sb="14" eb="16">
      <t>オロシウリ</t>
    </rPh>
    <rPh sb="16" eb="18">
      <t>シジョウ</t>
    </rPh>
    <rPh sb="20" eb="23">
      <t>デンサンシツ</t>
    </rPh>
    <phoneticPr fontId="22"/>
  </si>
  <si>
    <r>
      <t xml:space="preserve"> </t>
    </r>
    <r>
      <rPr>
        <sz val="10"/>
        <rFont val="ＭＳ Ｐゴシック"/>
        <family val="3"/>
        <charset val="128"/>
      </rPr>
      <t>病院、老人ホーム、身体障害者福祉ホームなど</t>
    </r>
    <rPh sb="1" eb="3">
      <t>ビョウイン</t>
    </rPh>
    <rPh sb="4" eb="6">
      <t>ロウジン</t>
    </rPh>
    <rPh sb="10" eb="12">
      <t>シンタイ</t>
    </rPh>
    <rPh sb="12" eb="15">
      <t>ショウガイシャ</t>
    </rPh>
    <rPh sb="15" eb="17">
      <t>フクシ</t>
    </rPh>
    <phoneticPr fontId="22"/>
  </si>
  <si>
    <r>
      <t xml:space="preserve"> </t>
    </r>
    <r>
      <rPr>
        <sz val="10"/>
        <rFont val="ＭＳ Ｐゴシック"/>
        <family val="3"/>
        <charset val="128"/>
      </rPr>
      <t>ホテル、旅館など</t>
    </r>
    <rPh sb="5" eb="7">
      <t>リョカン</t>
    </rPh>
    <phoneticPr fontId="22"/>
  </si>
  <si>
    <r>
      <t xml:space="preserve"> </t>
    </r>
    <r>
      <rPr>
        <sz val="10"/>
        <rFont val="ＭＳ Ｐゴシック"/>
        <family val="3"/>
        <charset val="128"/>
      </rPr>
      <t>集合住宅（戸建は対象外）</t>
    </r>
    <phoneticPr fontId="22"/>
  </si>
  <si>
    <t>※加点の場合は各項目の具体的な取組みを記入。</t>
    <rPh sb="19" eb="21">
      <t>キニュウ</t>
    </rPh>
    <phoneticPr fontId="22"/>
  </si>
  <si>
    <t>※レベル５は、ここに景観賞等を記入。加点の場合は各項目の具体的な取組みを記入。</t>
    <rPh sb="10" eb="12">
      <t>ケイカン</t>
    </rPh>
    <rPh sb="12" eb="13">
      <t>ショウ</t>
    </rPh>
    <rPh sb="13" eb="14">
      <t>トウ</t>
    </rPh>
    <rPh sb="15" eb="17">
      <t>キニュウ</t>
    </rPh>
    <rPh sb="36" eb="38">
      <t>キニュウ</t>
    </rPh>
    <phoneticPr fontId="22"/>
  </si>
  <si>
    <t>色欄について、プルダウンメニューから選択、または数値・コメント※を記入。</t>
    <rPh sb="0" eb="1">
      <t>イロ</t>
    </rPh>
    <rPh sb="1" eb="2">
      <t>ラン</t>
    </rPh>
    <rPh sb="18" eb="20">
      <t>センタク</t>
    </rPh>
    <rPh sb="24" eb="26">
      <t>スウチ</t>
    </rPh>
    <rPh sb="33" eb="35">
      <t>キニュウ</t>
    </rPh>
    <phoneticPr fontId="22"/>
  </si>
  <si>
    <t>具体的な取組み内容を環境配慮概要に要記述</t>
    <rPh sb="0" eb="3">
      <t>グタイテキ</t>
    </rPh>
    <rPh sb="4" eb="6">
      <t>トリク</t>
    </rPh>
    <rPh sb="7" eb="9">
      <t>ナイヨウ</t>
    </rPh>
    <rPh sb="10" eb="12">
      <t>カンキョウ</t>
    </rPh>
    <rPh sb="12" eb="14">
      <t>ハイリョ</t>
    </rPh>
    <rPh sb="14" eb="16">
      <t>ガイヨウ</t>
    </rPh>
    <rPh sb="17" eb="18">
      <t>ヨウ</t>
    </rPh>
    <rPh sb="18" eb="20">
      <t>キジュツ</t>
    </rPh>
    <phoneticPr fontId="22"/>
  </si>
  <si>
    <t>具体的な取組み内容を環境配慮概要に要記述</t>
    <phoneticPr fontId="22"/>
  </si>
  <si>
    <t>※日影規制が無い場合ここに記述</t>
  </si>
  <si>
    <t>レベル４に加え、シミュレーションの実施等により大幅な低減効果を確認するなど、より高度な取組みを行っている。</t>
    <phoneticPr fontId="22"/>
  </si>
  <si>
    <t>基準高さHb(m)</t>
    <rPh sb="0" eb="2">
      <t>キジュン</t>
    </rPh>
    <rPh sb="2" eb="3">
      <t>タカ</t>
    </rPh>
    <phoneticPr fontId="22"/>
  </si>
  <si>
    <t>卓越風向と直交する最大敷地幅Ws(m)</t>
    <rPh sb="0" eb="2">
      <t>タクエツ</t>
    </rPh>
    <rPh sb="2" eb="3">
      <t>フウ</t>
    </rPh>
    <rPh sb="3" eb="4">
      <t>コウ</t>
    </rPh>
    <rPh sb="5" eb="7">
      <t>チョッコウ</t>
    </rPh>
    <rPh sb="9" eb="11">
      <t>サイダイ</t>
    </rPh>
    <rPh sb="11" eb="13">
      <t>シキチ</t>
    </rPh>
    <rPh sb="13" eb="14">
      <t>ハバ</t>
    </rPh>
    <phoneticPr fontId="22"/>
  </si>
  <si>
    <t>見付面積Sb(m2)</t>
    <rPh sb="0" eb="2">
      <t>ミツ</t>
    </rPh>
    <rPh sb="2" eb="4">
      <t>メンセキ</t>
    </rPh>
    <phoneticPr fontId="22"/>
  </si>
  <si>
    <r>
      <t>以下の場合は、建物全体のBEI（BEIm）での評価になります。
・非住宅建築物で、標準入力法(BEI)で評価した場合
・非住宅建築物で、モデル建物法（BEIm）で評価した場合
・住宅用途ないしは住宅を含む複合用途で、
　専有部を算定プログラム（BEI）、共用部と非住宅部分を標準入力法（BEI）で評価した場合</t>
    </r>
    <r>
      <rPr>
        <sz val="10"/>
        <color rgb="FFFF0000"/>
        <rFont val="ＭＳ Ｐゴシック"/>
        <family val="3"/>
        <charset val="128"/>
      </rPr>
      <t>（共用部を評価しない場合も含む）</t>
    </r>
    <rPh sb="155" eb="158">
      <t>キョウヨウブ</t>
    </rPh>
    <rPh sb="159" eb="161">
      <t>ヒョウカ</t>
    </rPh>
    <rPh sb="164" eb="166">
      <t>バアイ</t>
    </rPh>
    <rPh sb="167" eb="168">
      <t>フク</t>
    </rPh>
    <phoneticPr fontId="22"/>
  </si>
  <si>
    <t>具体的な取組み内容を環境配慮概要に要記述</t>
    <phoneticPr fontId="22"/>
  </si>
  <si>
    <t>執務スペース(m2/人)</t>
    <rPh sb="0" eb="2">
      <t>シツム</t>
    </rPh>
    <rPh sb="10" eb="11">
      <t>ニン</t>
    </rPh>
    <phoneticPr fontId="22"/>
  </si>
  <si>
    <t>病床(m2/床)</t>
    <rPh sb="0" eb="2">
      <t>ビョウショウ</t>
    </rPh>
    <rPh sb="6" eb="7">
      <t>ユカ</t>
    </rPh>
    <phoneticPr fontId="22"/>
  </si>
  <si>
    <t>シングル(m2)</t>
    <phoneticPr fontId="22"/>
  </si>
  <si>
    <t>ツイン(m2)</t>
    <phoneticPr fontId="22"/>
  </si>
  <si>
    <t>天井高(m)</t>
    <rPh sb="0" eb="2">
      <t>テンジョウ</t>
    </rPh>
    <rPh sb="2" eb="3">
      <t>タカ</t>
    </rPh>
    <phoneticPr fontId="22"/>
  </si>
  <si>
    <r>
      <t xml:space="preserve">1.2.1 </t>
    </r>
    <r>
      <rPr>
        <b/>
        <sz val="10"/>
        <rFont val="ＭＳ Ｐゴシック"/>
        <family val="3"/>
        <charset val="128"/>
      </rPr>
      <t>広さ感・景観</t>
    </r>
    <phoneticPr fontId="22"/>
  </si>
  <si>
    <r>
      <t xml:space="preserve">1.2.2 </t>
    </r>
    <r>
      <rPr>
        <b/>
        <sz val="10"/>
        <rFont val="ＭＳ Ｐゴシック"/>
        <family val="3"/>
        <charset val="128"/>
      </rPr>
      <t>リフレッシュスペース</t>
    </r>
    <phoneticPr fontId="22"/>
  </si>
  <si>
    <r>
      <t xml:space="preserve">2.2.2 </t>
    </r>
    <r>
      <rPr>
        <b/>
        <sz val="10"/>
        <rFont val="ＭＳ Ｐゴシック"/>
        <family val="3"/>
        <charset val="128"/>
      </rPr>
      <t>外壁仕上げ材の補修必要間隔</t>
    </r>
    <phoneticPr fontId="22"/>
  </si>
  <si>
    <r>
      <t xml:space="preserve">2.2.3 </t>
    </r>
    <r>
      <rPr>
        <b/>
        <sz val="10"/>
        <rFont val="ＭＳ Ｐゴシック"/>
        <family val="3"/>
        <charset val="128"/>
      </rPr>
      <t>主要内装仕上げ材の更新必要間隔</t>
    </r>
    <phoneticPr fontId="22"/>
  </si>
  <si>
    <r>
      <t xml:space="preserve">2.4.5 </t>
    </r>
    <r>
      <rPr>
        <b/>
        <sz val="10"/>
        <rFont val="ＭＳ Ｐゴシック"/>
        <family val="3"/>
        <charset val="128"/>
      </rPr>
      <t>通信・情報設備</t>
    </r>
    <phoneticPr fontId="22"/>
  </si>
  <si>
    <r>
      <t xml:space="preserve">3.1.2 </t>
    </r>
    <r>
      <rPr>
        <b/>
        <sz val="10"/>
        <rFont val="ＭＳ Ｐゴシック"/>
        <family val="3"/>
        <charset val="128"/>
      </rPr>
      <t>空間の形状・自由さ</t>
    </r>
    <phoneticPr fontId="22"/>
  </si>
  <si>
    <r>
      <t xml:space="preserve">3.3.1 </t>
    </r>
    <r>
      <rPr>
        <b/>
        <sz val="10"/>
        <rFont val="ＭＳ Ｐゴシック"/>
        <family val="3"/>
        <charset val="128"/>
      </rPr>
      <t>空調配管の更新性</t>
    </r>
    <phoneticPr fontId="22"/>
  </si>
  <si>
    <t>外周壁の長さ（m）＋耐力壁の長さ（m）</t>
    <phoneticPr fontId="22"/>
  </si>
  <si>
    <t>階高(m)</t>
    <rPh sb="0" eb="2">
      <t>カイダカ</t>
    </rPh>
    <phoneticPr fontId="22"/>
  </si>
  <si>
    <t>床荷重(N/m2)</t>
    <rPh sb="0" eb="1">
      <t>ユカ</t>
    </rPh>
    <rPh sb="1" eb="3">
      <t>カジュウ</t>
    </rPh>
    <phoneticPr fontId="22"/>
  </si>
  <si>
    <t>※主な材料等を記述</t>
    <phoneticPr fontId="22"/>
  </si>
  <si>
    <t>年　※水セメント比やかぶり厚、防錆措置(S造)等記述</t>
    <rPh sb="0" eb="1">
      <t>ネン</t>
    </rPh>
    <rPh sb="3" eb="4">
      <t>ミズ</t>
    </rPh>
    <rPh sb="8" eb="9">
      <t>ヒ</t>
    </rPh>
    <rPh sb="13" eb="14">
      <t>アツ</t>
    </rPh>
    <rPh sb="15" eb="17">
      <t>ボウサビ</t>
    </rPh>
    <rPh sb="17" eb="19">
      <t>ソチ</t>
    </rPh>
    <rPh sb="21" eb="22">
      <t>ヅクリ</t>
    </rPh>
    <rPh sb="23" eb="24">
      <t>トウ</t>
    </rPh>
    <rPh sb="24" eb="26">
      <t>キジュツ</t>
    </rPh>
    <phoneticPr fontId="22"/>
  </si>
  <si>
    <t>①　清掃用資材を保管するスペースを計画している。</t>
    <phoneticPr fontId="22"/>
  </si>
  <si>
    <t>1)　建物の延床面積に対し、十分なスペースの清掃員控え室の設置をしている。</t>
    <rPh sb="3" eb="5">
      <t>タテモノ</t>
    </rPh>
    <phoneticPr fontId="22"/>
  </si>
  <si>
    <t>2)　建物の延床面積に対し、十分なスペースの清掃用具室と管理倉庫の設置をしている。</t>
    <rPh sb="3" eb="5">
      <t>タテモノ</t>
    </rPh>
    <rPh sb="28" eb="30">
      <t>カンリ</t>
    </rPh>
    <rPh sb="30" eb="32">
      <t>ソウコ</t>
    </rPh>
    <phoneticPr fontId="22"/>
  </si>
  <si>
    <t>3)　清掃用具室に洗い場を設置し、安全な排水設備への排水経路を確保している。</t>
    <phoneticPr fontId="22"/>
  </si>
  <si>
    <t>4)　衛生面からモップ、ウェスを洗濯・乾燥させるスペースを計画している。</t>
    <phoneticPr fontId="22"/>
  </si>
  <si>
    <t>5)　廃棄物・リサイクル・粗大ゴミのスペースを建物の延床面積に対し、十分に確保しており、かつ、搬出が容易な計画となっている。</t>
    <rPh sb="23" eb="25">
      <t>タテモノ</t>
    </rPh>
    <phoneticPr fontId="22"/>
  </si>
  <si>
    <t>6)　トイレ毎ないしはフロア毎に清掃用流しを設置している。</t>
    <phoneticPr fontId="22"/>
  </si>
  <si>
    <t>7)　床材に応じた清掃器具を想定し、それに合わせた数量、設置間隔で清掃作業用電源レイアウトの設計をしている。</t>
    <rPh sb="38" eb="40">
      <t>デンゲン</t>
    </rPh>
    <phoneticPr fontId="22"/>
  </si>
  <si>
    <t>8)　外部ガラスや外壁、給排気口、照明など高所の維持管理作業を安全に行える設計をしている。</t>
    <phoneticPr fontId="22"/>
  </si>
  <si>
    <t>9)　清掃時用の適度な照度の設定が可能である。</t>
    <phoneticPr fontId="22"/>
  </si>
  <si>
    <t>10)　バルブ等の日常的に調整が必要な機器は、操作が容易な位置に設定されている。</t>
    <phoneticPr fontId="22"/>
  </si>
  <si>
    <t>11)　天井隠蔽機器の点検口は600mm×600mm以上としている。</t>
    <phoneticPr fontId="22"/>
  </si>
  <si>
    <t>12)　専用部以外の諸設備は共用部での維持管理作業が可能となっている。</t>
    <phoneticPr fontId="22"/>
  </si>
  <si>
    <t>13)　上記以外に維持管理用機能の確保を考慮したポイントを明確にし、実施している。</t>
    <phoneticPr fontId="22"/>
  </si>
  <si>
    <t>※確認済みの建材種別を記述</t>
    <phoneticPr fontId="22"/>
  </si>
  <si>
    <t>通風を満たす住戸数の割合</t>
    <rPh sb="0" eb="2">
      <t>ツウフウ</t>
    </rPh>
    <rPh sb="3" eb="4">
      <t>ミ</t>
    </rPh>
    <rPh sb="6" eb="8">
      <t>ジュウコ</t>
    </rPh>
    <rPh sb="8" eb="9">
      <t>スウ</t>
    </rPh>
    <rPh sb="10" eb="12">
      <t>ワリアイ</t>
    </rPh>
    <phoneticPr fontId="22"/>
  </si>
  <si>
    <t>採光を満たす住戸数の割合</t>
    <rPh sb="0" eb="2">
      <t>サイコウ</t>
    </rPh>
    <rPh sb="3" eb="4">
      <t>ミ</t>
    </rPh>
    <rPh sb="6" eb="8">
      <t>ジュウコ</t>
    </rPh>
    <rPh sb="8" eb="9">
      <t>スウ</t>
    </rPh>
    <rPh sb="10" eb="12">
      <t>ワリアイ</t>
    </rPh>
    <phoneticPr fontId="22"/>
  </si>
  <si>
    <t>採光を満たす教室数の割合</t>
    <rPh sb="0" eb="2">
      <t>サイコウ</t>
    </rPh>
    <rPh sb="3" eb="4">
      <t>ミ</t>
    </rPh>
    <rPh sb="6" eb="8">
      <t>キョウシツ</t>
    </rPh>
    <rPh sb="8" eb="9">
      <t>スウ</t>
    </rPh>
    <rPh sb="10" eb="12">
      <t>ワリアイ</t>
    </rPh>
    <phoneticPr fontId="22"/>
  </si>
  <si>
    <t>通風を満たす教室数の割合</t>
    <rPh sb="0" eb="2">
      <t>ツウフウ</t>
    </rPh>
    <rPh sb="3" eb="4">
      <t>ミ</t>
    </rPh>
    <rPh sb="6" eb="8">
      <t>キョウシツ</t>
    </rPh>
    <rPh sb="8" eb="9">
      <t>スウ</t>
    </rPh>
    <rPh sb="10" eb="12">
      <t>ワリアイ</t>
    </rPh>
    <phoneticPr fontId="22"/>
  </si>
  <si>
    <t>※発泡剤不使用の場合は、ここに記述。</t>
    <rPh sb="1" eb="3">
      <t>ハッポウ</t>
    </rPh>
    <rPh sb="3" eb="4">
      <t>ザイ</t>
    </rPh>
    <rPh sb="4" eb="7">
      <t>フシヨウ</t>
    </rPh>
    <rPh sb="8" eb="10">
      <t>バアイ</t>
    </rPh>
    <rPh sb="15" eb="17">
      <t>キジュツ</t>
    </rPh>
    <phoneticPr fontId="22"/>
  </si>
  <si>
    <t>製材</t>
    <rPh sb="0" eb="2">
      <t>セイザイ</t>
    </rPh>
    <phoneticPr fontId="22"/>
  </si>
  <si>
    <t>骨材</t>
    <rPh sb="0" eb="2">
      <t>コツザイ</t>
    </rPh>
    <phoneticPr fontId="22"/>
  </si>
  <si>
    <t>セメント</t>
    <phoneticPr fontId="22"/>
  </si>
  <si>
    <t>資材名</t>
    <rPh sb="0" eb="2">
      <t>シザイ</t>
    </rPh>
    <rPh sb="2" eb="3">
      <t>メイ</t>
    </rPh>
    <phoneticPr fontId="22"/>
  </si>
  <si>
    <t>自治体指定の特定品目等</t>
    <rPh sb="0" eb="3">
      <t>ジチタイ</t>
    </rPh>
    <rPh sb="3" eb="5">
      <t>シテイ</t>
    </rPh>
    <rPh sb="6" eb="8">
      <t>トクテイ</t>
    </rPh>
    <rPh sb="8" eb="10">
      <t>ヒンモク</t>
    </rPh>
    <rPh sb="10" eb="11">
      <t>トウ</t>
    </rPh>
    <phoneticPr fontId="22"/>
  </si>
  <si>
    <t>※採用資材と採用部位を記述</t>
    <rPh sb="1" eb="3">
      <t>サイヨウ</t>
    </rPh>
    <rPh sb="3" eb="5">
      <t>シザイ</t>
    </rPh>
    <rPh sb="6" eb="8">
      <t>サイヨウ</t>
    </rPh>
    <rPh sb="8" eb="10">
      <t>ブイ</t>
    </rPh>
    <rPh sb="11" eb="13">
      <t>キジュツ</t>
    </rPh>
    <phoneticPr fontId="22"/>
  </si>
  <si>
    <t>※取組みの度合いを対策面積率等で記述</t>
    <phoneticPr fontId="22"/>
  </si>
  <si>
    <t>※消火剤種類等を記述</t>
    <rPh sb="1" eb="3">
      <t>ショウカ</t>
    </rPh>
    <rPh sb="3" eb="4">
      <t>ザイ</t>
    </rPh>
    <rPh sb="4" eb="6">
      <t>シュルイ</t>
    </rPh>
    <rPh sb="6" eb="7">
      <t>トウ</t>
    </rPh>
    <phoneticPr fontId="22"/>
  </si>
  <si>
    <t>※冷媒種別等を記述</t>
    <rPh sb="1" eb="3">
      <t>レイバイ</t>
    </rPh>
    <rPh sb="5" eb="6">
      <t>トウ</t>
    </rPh>
    <phoneticPr fontId="22"/>
  </si>
  <si>
    <t>※採用手法を記述</t>
    <rPh sb="1" eb="3">
      <t>サイヨウ</t>
    </rPh>
    <rPh sb="3" eb="5">
      <t>シュホウ</t>
    </rPh>
    <rPh sb="6" eb="8">
      <t>キジュツ</t>
    </rPh>
    <phoneticPr fontId="22"/>
  </si>
  <si>
    <t>その他(環境配慮概要に要記述)</t>
    <rPh sb="2" eb="3">
      <t>ホカ</t>
    </rPh>
    <rPh sb="4" eb="6">
      <t>カンキョウ</t>
    </rPh>
    <rPh sb="6" eb="8">
      <t>ハイリョ</t>
    </rPh>
    <rPh sb="8" eb="10">
      <t>ガイヨウ</t>
    </rPh>
    <rPh sb="11" eb="12">
      <t>ヨウ</t>
    </rPh>
    <rPh sb="12" eb="14">
      <t>キジュツ</t>
    </rPh>
    <phoneticPr fontId="22"/>
  </si>
  <si>
    <t>外皮UA値</t>
    <rPh sb="0" eb="2">
      <t>ガイヒ</t>
    </rPh>
    <rPh sb="4" eb="5">
      <t>チ</t>
    </rPh>
    <phoneticPr fontId="22"/>
  </si>
  <si>
    <t>ηAC</t>
  </si>
  <si>
    <t>ηAC</t>
    <phoneticPr fontId="22"/>
  </si>
  <si>
    <t>ηAH</t>
  </si>
  <si>
    <t>ηAH</t>
    <phoneticPr fontId="22"/>
  </si>
  <si>
    <t>窓の日射熱取得率（η）</t>
    <phoneticPr fontId="22"/>
  </si>
  <si>
    <t>窓システムU値</t>
    <rPh sb="0" eb="1">
      <t>マド</t>
    </rPh>
    <rPh sb="6" eb="7">
      <t>チ</t>
    </rPh>
    <phoneticPr fontId="22"/>
  </si>
  <si>
    <t>住戸部分</t>
    <rPh sb="0" eb="2">
      <t>ジュウコ</t>
    </rPh>
    <rPh sb="2" eb="4">
      <t>ブブン</t>
    </rPh>
    <phoneticPr fontId="22"/>
  </si>
  <si>
    <t>※計算法等を記述。住棟平均UAにより評価する場合は、ここに記述。</t>
    <rPh sb="1" eb="4">
      <t>ケイサンホウ</t>
    </rPh>
    <rPh sb="4" eb="5">
      <t>トウ</t>
    </rPh>
    <rPh sb="6" eb="8">
      <t>キジュツ</t>
    </rPh>
    <phoneticPr fontId="22"/>
  </si>
  <si>
    <t>※環境配慮の概要は最長30字程度。レベル３を超える場合は必ず記入し、多い場合は配慮シートに記述する。</t>
    <rPh sb="1" eb="3">
      <t>カンキョウ</t>
    </rPh>
    <rPh sb="3" eb="5">
      <t>ハイリョ</t>
    </rPh>
    <rPh sb="6" eb="8">
      <t>ガイヨウ</t>
    </rPh>
    <rPh sb="9" eb="11">
      <t>サイチョウ</t>
    </rPh>
    <rPh sb="13" eb="14">
      <t>ジ</t>
    </rPh>
    <rPh sb="14" eb="16">
      <t>テイド</t>
    </rPh>
    <rPh sb="22" eb="23">
      <t>コ</t>
    </rPh>
    <rPh sb="25" eb="27">
      <t>バアイ</t>
    </rPh>
    <rPh sb="28" eb="29">
      <t>カナラ</t>
    </rPh>
    <rPh sb="30" eb="32">
      <t>キニュウ</t>
    </rPh>
    <rPh sb="34" eb="35">
      <t>オオ</t>
    </rPh>
    <rPh sb="36" eb="38">
      <t>バアイ</t>
    </rPh>
    <rPh sb="39" eb="41">
      <t>ハイリョ</t>
    </rPh>
    <rPh sb="45" eb="47">
      <t>キジュツ</t>
    </rPh>
    <phoneticPr fontId="22"/>
  </si>
  <si>
    <t>相当</t>
    <rPh sb="0" eb="2">
      <t>そうとう</t>
    </rPh>
    <phoneticPr fontId="34" type="noConversion"/>
  </si>
  <si>
    <t>断熱等性能等級</t>
    <phoneticPr fontId="34" type="noConversion"/>
  </si>
  <si>
    <t>住宅</t>
    <rPh sb="0" eb="2">
      <t>じゅうたく</t>
    </rPh>
    <phoneticPr fontId="34" type="noConversion"/>
  </si>
  <si>
    <t>非住宅</t>
    <rPh sb="0" eb="1">
      <t>ひ</t>
    </rPh>
    <rPh sb="1" eb="3">
      <t>じゅうたく</t>
    </rPh>
    <phoneticPr fontId="34" type="noConversion"/>
  </si>
  <si>
    <t>住宅部BEI</t>
    <rPh sb="0" eb="2">
      <t>ジュウタク</t>
    </rPh>
    <rPh sb="2" eb="3">
      <t>ブ</t>
    </rPh>
    <phoneticPr fontId="22"/>
  </si>
  <si>
    <t>公共インフラ（広域）</t>
    <rPh sb="0" eb="2">
      <t>コウキョウ</t>
    </rPh>
    <rPh sb="7" eb="9">
      <t>コウイキ</t>
    </rPh>
    <phoneticPr fontId="22"/>
  </si>
  <si>
    <r>
      <t>202</t>
    </r>
    <r>
      <rPr>
        <sz val="10"/>
        <rFont val="ＭＳ Ｐゴシック"/>
        <family val="3"/>
        <charset val="128"/>
      </rPr>
      <t>●年●月●日</t>
    </r>
    <rPh sb="4" eb="5">
      <t>ネン</t>
    </rPh>
    <rPh sb="6" eb="7">
      <t>ガツ</t>
    </rPh>
    <rPh sb="8" eb="9">
      <t>ニチ</t>
    </rPh>
    <phoneticPr fontId="22"/>
  </si>
  <si>
    <t>ODP＝0.2以上の発泡剤を用いた断熱材等を使用している。</t>
    <rPh sb="10" eb="12">
      <t>ハッポウ</t>
    </rPh>
    <rPh sb="12" eb="13">
      <t>ザイ</t>
    </rPh>
    <rPh sb="14" eb="15">
      <t>モチ</t>
    </rPh>
    <rPh sb="17" eb="20">
      <t>ダンネツザイ</t>
    </rPh>
    <rPh sb="20" eb="21">
      <t>トウ</t>
    </rPh>
    <rPh sb="22" eb="24">
      <t>シヨウ</t>
    </rPh>
    <phoneticPr fontId="22"/>
  </si>
  <si>
    <t>ODP＝0.2未満の発泡剤を用いた断熱材等を使用している。</t>
    <rPh sb="10" eb="12">
      <t>ハッポウ</t>
    </rPh>
    <rPh sb="12" eb="13">
      <t>ザイ</t>
    </rPh>
    <rPh sb="14" eb="15">
      <t>モチ</t>
    </rPh>
    <rPh sb="17" eb="21">
      <t>ダンネツザイナド</t>
    </rPh>
    <rPh sb="22" eb="24">
      <t>シヨウ</t>
    </rPh>
    <phoneticPr fontId="22"/>
  </si>
  <si>
    <t>ODP＝0.01未満の発泡剤を用いた断熱材等を使用している。</t>
    <rPh sb="11" eb="13">
      <t>ハッポウ</t>
    </rPh>
    <rPh sb="13" eb="14">
      <t>ザイ</t>
    </rPh>
    <rPh sb="15" eb="16">
      <t>モチ</t>
    </rPh>
    <rPh sb="18" eb="22">
      <t>ダンネツザイナド</t>
    </rPh>
    <rPh sb="23" eb="25">
      <t>シヨウ</t>
    </rPh>
    <phoneticPr fontId="22"/>
  </si>
  <si>
    <t>ODP＝0.01未満かつ、GWPが低い発泡剤（GWP（100年値）が50未満）を用いた断熱材等を使用している。</t>
  </si>
  <si>
    <t>CO2冷媒冷凍機</t>
    <rPh sb="3" eb="5">
      <t>レイバイ</t>
    </rPh>
    <rPh sb="5" eb="8">
      <t>レイトウキ</t>
    </rPh>
    <phoneticPr fontId="22"/>
  </si>
  <si>
    <t>II　夏期における日陰を形成し、敷地内歩行者空間等の暑熱環境を緩和する</t>
    <phoneticPr fontId="22"/>
  </si>
  <si>
    <t>III　敷地内に緑地や水面等を確保し、敷地内歩行者空間等の暑熱環境を緩和する</t>
    <phoneticPr fontId="22"/>
  </si>
  <si>
    <t>IV　建築外装材料に配慮し、敷地内歩行空間等の暑熱環境を緩和する</t>
    <phoneticPr fontId="22"/>
  </si>
  <si>
    <t>V　建築設備に伴う排熱の位置等に配慮し、敷地内歩行者空間等の暑熱環境を緩和する</t>
    <phoneticPr fontId="22"/>
  </si>
  <si>
    <t>※その他の取組み内容を記述。学・住は建築的工夫と影響範囲を記述（レベル４以上）。</t>
    <rPh sb="3" eb="4">
      <t>タ</t>
    </rPh>
    <rPh sb="5" eb="7">
      <t>トリク</t>
    </rPh>
    <rPh sb="8" eb="10">
      <t>ナイヨウ</t>
    </rPh>
    <rPh sb="11" eb="13">
      <t>キジュツ</t>
    </rPh>
    <rPh sb="14" eb="15">
      <t>ガク</t>
    </rPh>
    <rPh sb="16" eb="17">
      <t>ジュウ</t>
    </rPh>
    <rPh sb="18" eb="21">
      <t>ケンチクテキ</t>
    </rPh>
    <rPh sb="21" eb="23">
      <t>クフウ</t>
    </rPh>
    <rPh sb="24" eb="26">
      <t>エイキョウ</t>
    </rPh>
    <rPh sb="26" eb="28">
      <t>ハンイ</t>
    </rPh>
    <rPh sb="29" eb="31">
      <t>キジュツ</t>
    </rPh>
    <rPh sb="36" eb="38">
      <t>イジョウ</t>
    </rPh>
    <phoneticPr fontId="22"/>
  </si>
  <si>
    <t>太陽光発電</t>
    <rPh sb="0" eb="3">
      <t>タイヨウコウ</t>
    </rPh>
    <rPh sb="3" eb="5">
      <t>ハツデン</t>
    </rPh>
    <phoneticPr fontId="22"/>
  </si>
  <si>
    <t>kW　　　蓄電池</t>
    <rPh sb="5" eb="8">
      <t>チクデンチ</t>
    </rPh>
    <phoneticPr fontId="22"/>
  </si>
  <si>
    <t>太陽光</t>
    <rPh sb="0" eb="3">
      <t>タイヨウコウ</t>
    </rPh>
    <phoneticPr fontId="22"/>
  </si>
  <si>
    <t>太陽熱等</t>
    <rPh sb="0" eb="3">
      <t>タイヨウネツ</t>
    </rPh>
    <rPh sb="3" eb="4">
      <t>トウ</t>
    </rPh>
    <phoneticPr fontId="22"/>
  </si>
  <si>
    <t>※環境配慮のほか、計算法、仕様基準等の採否、ZEB/ZEHやBELS等適合状況を記述</t>
    <rPh sb="9" eb="12">
      <t>ケイサンホウ</t>
    </rPh>
    <rPh sb="34" eb="35">
      <t>トウ</t>
    </rPh>
    <rPh sb="35" eb="37">
      <t>テキゴウ</t>
    </rPh>
    <rPh sb="37" eb="39">
      <t>ジョウキョウ</t>
    </rPh>
    <phoneticPr fontId="22"/>
  </si>
  <si>
    <t>雑用水</t>
    <rPh sb="0" eb="3">
      <t>ザツヨウスイ</t>
    </rPh>
    <phoneticPr fontId="22"/>
  </si>
  <si>
    <t>敷地（区画）内</t>
    <rPh sb="0" eb="2">
      <t>シキチ</t>
    </rPh>
    <rPh sb="3" eb="5">
      <t>クカク</t>
    </rPh>
    <rPh sb="6" eb="7">
      <t>ナイ</t>
    </rPh>
    <phoneticPr fontId="22"/>
  </si>
  <si>
    <t>汚水</t>
    <rPh sb="0" eb="2">
      <t>オスイ</t>
    </rPh>
    <phoneticPr fontId="22"/>
  </si>
  <si>
    <t>工業用水</t>
    <rPh sb="0" eb="2">
      <t>コウギョウ</t>
    </rPh>
    <rPh sb="2" eb="4">
      <t>ヨウスイ</t>
    </rPh>
    <phoneticPr fontId="22"/>
  </si>
  <si>
    <t>区域</t>
    <rPh sb="0" eb="2">
      <t>クイキ</t>
    </rPh>
    <phoneticPr fontId="22"/>
  </si>
  <si>
    <t>　雨水を循環利用しない</t>
    <rPh sb="1" eb="3">
      <t>ウスイ</t>
    </rPh>
    <rPh sb="4" eb="6">
      <t>ジュンカン</t>
    </rPh>
    <rPh sb="6" eb="8">
      <t>リヨウ</t>
    </rPh>
    <phoneticPr fontId="22"/>
  </si>
  <si>
    <t>　雨水を循環利用する</t>
    <rPh sb="1" eb="3">
      <t>ウスイ</t>
    </rPh>
    <rPh sb="4" eb="6">
      <t>ジュンカン</t>
    </rPh>
    <rPh sb="6" eb="8">
      <t>リヨウ</t>
    </rPh>
    <phoneticPr fontId="22"/>
  </si>
  <si>
    <t>　再生水、中水</t>
    <rPh sb="1" eb="4">
      <t>サイセイスイ</t>
    </rPh>
    <rPh sb="5" eb="7">
      <t>チュウスイ</t>
    </rPh>
    <phoneticPr fontId="22"/>
  </si>
  <si>
    <t>　工業用水（再生水、中水を除く）</t>
    <rPh sb="1" eb="3">
      <t>コウギョウ</t>
    </rPh>
    <rPh sb="3" eb="5">
      <t>ヨウスイ</t>
    </rPh>
    <rPh sb="6" eb="9">
      <t>サイセイスイ</t>
    </rPh>
    <rPh sb="10" eb="12">
      <t>チュウスイ</t>
    </rPh>
    <rPh sb="13" eb="14">
      <t>ノゾ</t>
    </rPh>
    <phoneticPr fontId="22"/>
  </si>
  <si>
    <t>kW　　太陽熱等</t>
    <rPh sb="4" eb="7">
      <t>タイヨウネツ</t>
    </rPh>
    <rPh sb="7" eb="8">
      <t>トウ</t>
    </rPh>
    <phoneticPr fontId="22"/>
  </si>
  <si>
    <t>CASBEE-BD_NC_2016(v4.02)</t>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</si>
</sst>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176" formatCode="0;0;&quot;&quot;"/>
    <numFmt numFmtId="177" formatCode="0.0_ "/>
    <numFmt numFmtId="178" formatCode="0.00_ "/>
    <numFmt numFmtId="179" formatCode="0.00_);[Red]\(0.00\)"/>
    <numFmt numFmtId="180" formatCode="0;0;&quot;－&quot;"/>
    <numFmt numFmtId="181" formatCode="#,##0_ "/>
    <numFmt numFmtId="182" formatCode="0.0"/>
    <numFmt numFmtId="183" formatCode="0.0;0.0;&quot;-&quot;\ "/>
    <numFmt numFmtId="184" formatCode="0.00;0.00;&quot;-&quot;\ "/>
    <numFmt numFmtId="185" formatCode="0.0;0.0;&quot;－&quot;"/>
    <numFmt numFmtId="186" formatCode="#,##0.0;[Red]\-#,##0.0"/>
    <numFmt numFmtId="187" formatCode="0.000_ "/>
    <numFmt numFmtId="188" formatCode="0.000_);[Red]\(0.000\)"/>
    <numFmt numFmtId="189" formatCode="0_ "/>
    <numFmt numFmtId="190" formatCode="#,###&quot;㎡&quot;"/>
    <numFmt numFmtId="191" formatCode="0.00;0.00;&quot;-&quot;"/>
    <numFmt numFmtId="192" formatCode="0.00;0.00;&quot;対象外&quot;"/>
    <numFmt numFmtId="193" formatCode="&quot;レベル &quot;#0.0;0.00;&quot;対象外&quot;"/>
    <numFmt numFmtId="194" formatCode="0.0;_Ā"/>
    <numFmt numFmtId="195" formatCode="0.000;_Ā"/>
    <numFmt numFmtId="196" formatCode="0.0000"/>
    <numFmt numFmtId="197" formatCode="#&quot;年&quot;"/>
    <numFmt numFmtId="198" formatCode="#,##0.000;[Red]\-#,##0.000"/>
    <numFmt numFmtId="199" formatCode="0.0000_ "/>
    <numFmt numFmtId="200" formatCode="0.0_);[Red]\(0.0\)"/>
    <numFmt numFmtId="201" formatCode="0.000000_ "/>
    <numFmt numFmtId="202" formatCode="General;General;"/>
    <numFmt numFmtId="203" formatCode="0.00000_ "/>
    <numFmt numFmtId="204" formatCode="0.000"/>
    <numFmt numFmtId="205" formatCode="#,##0_);[Red]\(#,##0\)"/>
    <numFmt numFmtId="206" formatCode="#,##0.00_ ;[Red]\-#,##0.00\ "/>
    <numFmt numFmtId="207" formatCode="0.0%"/>
    <numFmt numFmtId="208" formatCode="0.000000"/>
    <numFmt numFmtId="209" formatCode="0.00;0.00;&quot;&quot;"/>
    <numFmt numFmtId="210" formatCode="0.000;0.000;&quot;&quot;"/>
    <numFmt numFmtId="211" formatCode="&quot;レベル &quot;#0;0.0;&quot;対象外&quot;"/>
    <numFmt numFmtId="212" formatCode="#,###.0&quot;㎡&quot;"/>
    <numFmt numFmtId="213" formatCode="#,##0.0_ "/>
    <numFmt numFmtId="214" formatCode="#,###.0&quot;kW&quot;"/>
  </numFmts>
  <fonts count="209">
    <font>
      <sz val="11"/>
      <name val="ＭＳ Ｐゴシック"/>
      <family val="3"/>
      <charset val="128"/>
    </font>
    <font>
      <sz val="11"/>
      <color theme="1"/>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0"/>
      <color indexed="18"/>
      <name val="Arial"/>
      <family val="2"/>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name val="ＭＳ 明朝"/>
      <family val="1"/>
      <charset val="128"/>
    </font>
    <font>
      <sz val="11"/>
      <color indexed="17"/>
      <name val="ＭＳ Ｐゴシック"/>
      <family val="3"/>
      <charset val="128"/>
    </font>
    <font>
      <sz val="6"/>
      <name val="ＭＳ Ｐゴシック"/>
      <family val="3"/>
      <charset val="128"/>
    </font>
    <font>
      <strike/>
      <sz val="11"/>
      <name val="ＭＳ Ｐゴシック"/>
      <family val="3"/>
      <charset val="128"/>
    </font>
    <font>
      <b/>
      <sz val="11"/>
      <name val="ＭＳ Ｐゴシック"/>
      <family val="3"/>
      <charset val="128"/>
    </font>
    <font>
      <b/>
      <sz val="20"/>
      <color indexed="9"/>
      <name val="ＭＳ Ｐゴシック"/>
      <family val="3"/>
      <charset val="128"/>
    </font>
    <font>
      <b/>
      <sz val="9"/>
      <name val="ＭＳ Ｐゴシック"/>
      <family val="3"/>
      <charset val="128"/>
    </font>
    <font>
      <b/>
      <sz val="10"/>
      <name val="Arial"/>
      <family val="2"/>
    </font>
    <font>
      <sz val="9"/>
      <name val="ＭＳ Ｐゴシック"/>
      <family val="3"/>
      <charset val="128"/>
    </font>
    <font>
      <sz val="9"/>
      <name val="Arial"/>
      <family val="2"/>
    </font>
    <font>
      <b/>
      <sz val="11"/>
      <color indexed="17"/>
      <name val="ＭＳ Ｐゴシック"/>
      <family val="3"/>
      <charset val="128"/>
    </font>
    <font>
      <b/>
      <sz val="10"/>
      <color indexed="9"/>
      <name val="ＭＳ Ｐゴシック"/>
      <family val="3"/>
      <charset val="128"/>
    </font>
    <font>
      <sz val="10"/>
      <color indexed="9"/>
      <name val="ＭＳ Ｐゴシック"/>
      <family val="3"/>
      <charset val="128"/>
    </font>
    <font>
      <sz val="10"/>
      <name val="ＭＳ Ｐゴシック"/>
      <family val="3"/>
      <charset val="128"/>
    </font>
    <font>
      <sz val="10"/>
      <name val="Arial"/>
      <family val="2"/>
    </font>
    <font>
      <sz val="10"/>
      <color indexed="53"/>
      <name val="ＭＳ Ｐゴシック"/>
      <family val="3"/>
      <charset val="128"/>
    </font>
    <font>
      <b/>
      <sz val="9"/>
      <name val="Arial"/>
      <family val="2"/>
    </font>
    <font>
      <sz val="8"/>
      <name val="ＭＳ Ｐゴシック"/>
      <family val="3"/>
      <charset val="128"/>
    </font>
    <font>
      <sz val="9"/>
      <color indexed="10"/>
      <name val="ＭＳ Ｐゴシック"/>
      <family val="3"/>
      <charset val="128"/>
    </font>
    <font>
      <sz val="10"/>
      <color indexed="10"/>
      <name val="ＭＳ Ｐゴシック"/>
      <family val="3"/>
      <charset val="128"/>
    </font>
    <font>
      <sz val="10"/>
      <color indexed="18"/>
      <name val="ＭＳ Ｐゴシック"/>
      <family val="3"/>
      <charset val="128"/>
    </font>
    <font>
      <b/>
      <sz val="16"/>
      <color indexed="9"/>
      <name val="ＭＳ Ｐゴシック"/>
      <family val="3"/>
      <charset val="128"/>
    </font>
    <font>
      <b/>
      <sz val="12"/>
      <name val="ＭＳ Ｐゴシック"/>
      <family val="3"/>
      <charset val="128"/>
    </font>
    <font>
      <sz val="12"/>
      <name val="Arial"/>
      <family val="2"/>
    </font>
    <font>
      <b/>
      <sz val="18"/>
      <name val="Arial"/>
      <family val="2"/>
    </font>
    <font>
      <b/>
      <sz val="12"/>
      <name val="Arial"/>
      <family val="2"/>
    </font>
    <font>
      <sz val="11"/>
      <name val="Arial"/>
      <family val="2"/>
    </font>
    <font>
      <sz val="12"/>
      <color indexed="10"/>
      <name val="Arial"/>
      <family val="2"/>
    </font>
    <font>
      <b/>
      <i/>
      <sz val="9"/>
      <name val="ＭＳ Ｐ明朝"/>
      <family val="1"/>
      <charset val="128"/>
    </font>
    <font>
      <sz val="9"/>
      <color indexed="17"/>
      <name val="Arial"/>
      <family val="2"/>
    </font>
    <font>
      <sz val="9"/>
      <color indexed="10"/>
      <name val="Arial"/>
      <family val="2"/>
    </font>
    <font>
      <b/>
      <sz val="9"/>
      <color indexed="17"/>
      <name val="Arial"/>
      <family val="2"/>
    </font>
    <font>
      <b/>
      <sz val="9"/>
      <color indexed="17"/>
      <name val="ＭＳ Ｐゴシック"/>
      <family val="3"/>
      <charset val="128"/>
    </font>
    <font>
      <sz val="11"/>
      <color indexed="10"/>
      <name val="Arial"/>
      <family val="2"/>
    </font>
    <font>
      <b/>
      <i/>
      <sz val="9"/>
      <name val="Times New Roman"/>
      <family val="1"/>
    </font>
    <font>
      <b/>
      <i/>
      <sz val="9"/>
      <name val="Arial"/>
      <family val="2"/>
    </font>
    <font>
      <sz val="8"/>
      <color indexed="17"/>
      <name val="Arial"/>
      <family val="2"/>
    </font>
    <font>
      <b/>
      <sz val="8"/>
      <color indexed="17"/>
      <name val="Arial"/>
      <family val="2"/>
    </font>
    <font>
      <b/>
      <i/>
      <sz val="26"/>
      <color indexed="17"/>
      <name val="Arial"/>
      <family val="2"/>
    </font>
    <font>
      <b/>
      <i/>
      <sz val="8"/>
      <color indexed="17"/>
      <name val="Arial"/>
      <family val="2"/>
    </font>
    <font>
      <b/>
      <sz val="12"/>
      <color indexed="9"/>
      <name val="ＭＳ Ｐゴシック"/>
      <family val="3"/>
      <charset val="128"/>
    </font>
    <font>
      <b/>
      <sz val="12"/>
      <color indexed="9"/>
      <name val="Arial"/>
      <family val="2"/>
    </font>
    <font>
      <b/>
      <sz val="6"/>
      <color indexed="9"/>
      <name val="ＭＳ Ｐゴシック"/>
      <family val="3"/>
      <charset val="128"/>
    </font>
    <font>
      <b/>
      <sz val="11"/>
      <name val="Arial"/>
      <family val="2"/>
    </font>
    <font>
      <sz val="8"/>
      <name val="Arial"/>
      <family val="2"/>
    </font>
    <font>
      <sz val="11"/>
      <color indexed="63"/>
      <name val="Arial"/>
      <family val="2"/>
    </font>
    <font>
      <i/>
      <sz val="10"/>
      <name val="ＭＳ Ｐゴシック"/>
      <family val="3"/>
      <charset val="128"/>
    </font>
    <font>
      <sz val="10"/>
      <color indexed="10"/>
      <name val="Arial"/>
      <family val="2"/>
    </font>
    <font>
      <sz val="10"/>
      <color indexed="22"/>
      <name val="ＭＳ Ｐゴシック"/>
      <family val="3"/>
      <charset val="128"/>
    </font>
    <font>
      <b/>
      <sz val="14"/>
      <name val="Arial"/>
      <family val="2"/>
    </font>
    <font>
      <sz val="10"/>
      <color indexed="55"/>
      <name val="ＭＳ Ｐゴシック"/>
      <family val="3"/>
      <charset val="128"/>
    </font>
    <font>
      <b/>
      <sz val="10"/>
      <color indexed="55"/>
      <name val="Arial"/>
      <family val="2"/>
    </font>
    <font>
      <sz val="11"/>
      <color indexed="55"/>
      <name val="Arial"/>
      <family val="2"/>
    </font>
    <font>
      <sz val="11"/>
      <color indexed="22"/>
      <name val="Arial"/>
      <family val="2"/>
    </font>
    <font>
      <b/>
      <sz val="8"/>
      <color indexed="22"/>
      <name val="Arial"/>
      <family val="2"/>
    </font>
    <font>
      <i/>
      <sz val="10"/>
      <color indexed="22"/>
      <name val="ＭＳ Ｐゴシック"/>
      <family val="3"/>
      <charset val="128"/>
    </font>
    <font>
      <sz val="8"/>
      <color indexed="22"/>
      <name val="Arial"/>
      <family val="2"/>
    </font>
    <font>
      <sz val="12"/>
      <color indexed="9"/>
      <name val="Arial"/>
      <family val="2"/>
    </font>
    <font>
      <sz val="14"/>
      <color indexed="9"/>
      <name val="Arial"/>
      <family val="2"/>
    </font>
    <font>
      <b/>
      <vertAlign val="subscript"/>
      <sz val="12"/>
      <color indexed="9"/>
      <name val="ＭＳ Ｐゴシック"/>
      <family val="3"/>
      <charset val="128"/>
    </font>
    <font>
      <sz val="11"/>
      <color indexed="9"/>
      <name val="Arial"/>
      <family val="2"/>
    </font>
    <font>
      <b/>
      <sz val="11"/>
      <color indexed="10"/>
      <name val="Arial"/>
      <family val="2"/>
    </font>
    <font>
      <sz val="9"/>
      <color indexed="8"/>
      <name val="ＭＳ Ｐゴシック"/>
      <family val="3"/>
      <charset val="128"/>
    </font>
    <font>
      <sz val="10"/>
      <color indexed="9"/>
      <name val="Arial"/>
      <family val="2"/>
    </font>
    <font>
      <sz val="8"/>
      <color indexed="9"/>
      <name val="ＭＳ Ｐゴシック"/>
      <family val="3"/>
      <charset val="128"/>
    </font>
    <font>
      <b/>
      <sz val="11"/>
      <color indexed="26"/>
      <name val="ＭＳ Ｐゴシック"/>
      <family val="3"/>
      <charset val="128"/>
    </font>
    <font>
      <b/>
      <sz val="11"/>
      <color indexed="26"/>
      <name val="Arial"/>
      <family val="2"/>
    </font>
    <font>
      <b/>
      <i/>
      <sz val="10"/>
      <color indexed="9"/>
      <name val="ＭＳ Ｐゴシック"/>
      <family val="3"/>
      <charset val="128"/>
    </font>
    <font>
      <b/>
      <i/>
      <sz val="9"/>
      <color indexed="9"/>
      <name val="ＭＳ Ｐゴシック"/>
      <family val="3"/>
      <charset val="128"/>
    </font>
    <font>
      <b/>
      <i/>
      <sz val="14"/>
      <color indexed="9"/>
      <name val="ＭＳ Ｐゴシック"/>
      <family val="3"/>
      <charset val="128"/>
    </font>
    <font>
      <b/>
      <i/>
      <sz val="14"/>
      <color indexed="9"/>
      <name val="Arial"/>
      <family val="2"/>
    </font>
    <font>
      <b/>
      <i/>
      <sz val="9"/>
      <name val="ＭＳ Ｐゴシック"/>
      <family val="3"/>
      <charset val="128"/>
    </font>
    <font>
      <b/>
      <i/>
      <sz val="10"/>
      <name val="Arial"/>
      <family val="2"/>
    </font>
    <font>
      <b/>
      <i/>
      <sz val="11"/>
      <name val="ＭＳ Ｐゴシック"/>
      <family val="3"/>
      <charset val="128"/>
    </font>
    <font>
      <i/>
      <sz val="11"/>
      <name val="Arial"/>
      <family val="2"/>
    </font>
    <font>
      <b/>
      <sz val="11"/>
      <color indexed="42"/>
      <name val="ＭＳ Ｐゴシック"/>
      <family val="3"/>
      <charset val="128"/>
    </font>
    <font>
      <b/>
      <sz val="11"/>
      <color indexed="42"/>
      <name val="Arial"/>
      <family val="2"/>
    </font>
    <font>
      <i/>
      <sz val="8"/>
      <name val="Arial"/>
      <family val="2"/>
    </font>
    <font>
      <sz val="8"/>
      <color indexed="9"/>
      <name val="Arial"/>
      <family val="2"/>
    </font>
    <font>
      <b/>
      <sz val="10"/>
      <color indexed="9"/>
      <name val="Arial"/>
      <family val="2"/>
    </font>
    <font>
      <b/>
      <sz val="11"/>
      <color indexed="9"/>
      <name val="Arial"/>
      <family val="2"/>
    </font>
    <font>
      <vertAlign val="subscript"/>
      <sz val="10"/>
      <name val="Arial"/>
      <family val="2"/>
    </font>
    <font>
      <vertAlign val="superscript"/>
      <sz val="10"/>
      <name val="Arial"/>
      <family val="2"/>
    </font>
    <font>
      <b/>
      <sz val="8"/>
      <color indexed="9"/>
      <name val="Arial"/>
      <family val="2"/>
    </font>
    <font>
      <b/>
      <sz val="8"/>
      <name val="ＭＳ Ｐゴシック"/>
      <family val="3"/>
      <charset val="128"/>
    </font>
    <font>
      <b/>
      <i/>
      <sz val="8"/>
      <name val="Arial"/>
      <family val="2"/>
    </font>
    <font>
      <sz val="8"/>
      <color indexed="23"/>
      <name val="Arial"/>
      <family val="2"/>
    </font>
    <font>
      <sz val="8"/>
      <color indexed="10"/>
      <name val="Arial"/>
      <family val="2"/>
    </font>
    <font>
      <sz val="8"/>
      <color indexed="10"/>
      <name val="ＭＳ Ｐゴシック"/>
      <family val="3"/>
      <charset val="128"/>
    </font>
    <font>
      <b/>
      <sz val="8"/>
      <name val="Arial"/>
      <family val="2"/>
    </font>
    <font>
      <sz val="6"/>
      <color indexed="23"/>
      <name val="Arial"/>
      <family val="2"/>
    </font>
    <font>
      <sz val="6"/>
      <name val="Arial"/>
      <family val="2"/>
    </font>
    <font>
      <b/>
      <sz val="14"/>
      <color indexed="9"/>
      <name val="ＭＳ Ｐゴシック"/>
      <family val="3"/>
      <charset val="128"/>
    </font>
    <font>
      <sz val="9"/>
      <color indexed="9"/>
      <name val="ＭＳ Ｐゴシック"/>
      <family val="3"/>
      <charset val="128"/>
    </font>
    <font>
      <b/>
      <sz val="8"/>
      <color indexed="9"/>
      <name val="ＭＳ Ｐゴシック"/>
      <family val="3"/>
      <charset val="128"/>
    </font>
    <font>
      <sz val="9"/>
      <color indexed="17"/>
      <name val="ＭＳ Ｐゴシック"/>
      <family val="3"/>
      <charset val="128"/>
    </font>
    <font>
      <b/>
      <sz val="8"/>
      <color indexed="17"/>
      <name val="ＭＳ Ｐゴシック"/>
      <family val="3"/>
      <charset val="128"/>
    </font>
    <font>
      <i/>
      <sz val="11"/>
      <name val="ＭＳ Ｐゴシック"/>
      <family val="3"/>
      <charset val="128"/>
    </font>
    <font>
      <i/>
      <sz val="9"/>
      <color indexed="8"/>
      <name val="ＭＳ Ｐゴシック"/>
      <family val="3"/>
      <charset val="128"/>
    </font>
    <font>
      <i/>
      <sz val="9"/>
      <name val="ＭＳ Ｐゴシック"/>
      <family val="3"/>
      <charset val="128"/>
    </font>
    <font>
      <b/>
      <sz val="9"/>
      <color indexed="9"/>
      <name val="ＭＳ Ｐゴシック"/>
      <family val="3"/>
      <charset val="128"/>
    </font>
    <font>
      <b/>
      <sz val="9"/>
      <color indexed="8"/>
      <name val="ＭＳ Ｐゴシック"/>
      <family val="3"/>
      <charset val="128"/>
    </font>
    <font>
      <b/>
      <sz val="10"/>
      <name val="ＭＳ Ｐゴシック"/>
      <family val="3"/>
      <charset val="128"/>
    </font>
    <font>
      <b/>
      <sz val="9"/>
      <color indexed="63"/>
      <name val="Arial"/>
      <family val="2"/>
    </font>
    <font>
      <b/>
      <sz val="11"/>
      <color indexed="63"/>
      <name val="Arial"/>
      <family val="2"/>
    </font>
    <font>
      <b/>
      <sz val="10"/>
      <color indexed="17"/>
      <name val="ＭＳ Ｐゴシック"/>
      <family val="3"/>
      <charset val="128"/>
    </font>
    <font>
      <sz val="9"/>
      <color indexed="63"/>
      <name val="Arial"/>
      <family val="2"/>
    </font>
    <font>
      <b/>
      <sz val="10"/>
      <color indexed="18"/>
      <name val="Arial"/>
      <family val="2"/>
    </font>
    <font>
      <b/>
      <sz val="10"/>
      <color indexed="10"/>
      <name val="ＭＳ Ｐゴシック"/>
      <family val="3"/>
      <charset val="128"/>
    </font>
    <font>
      <b/>
      <sz val="10"/>
      <color indexed="10"/>
      <name val="Arial"/>
      <family val="2"/>
    </font>
    <font>
      <b/>
      <sz val="9"/>
      <color indexed="10"/>
      <name val="ＭＳ Ｐゴシック"/>
      <family val="3"/>
      <charset val="128"/>
    </font>
    <font>
      <vertAlign val="subscript"/>
      <sz val="10"/>
      <name val="ＭＳ Ｐゴシック"/>
      <family val="3"/>
      <charset val="128"/>
    </font>
    <font>
      <b/>
      <strike/>
      <sz val="10"/>
      <color indexed="18"/>
      <name val="Arial"/>
      <family val="2"/>
    </font>
    <font>
      <strike/>
      <sz val="10"/>
      <name val="ＭＳ Ｐゴシック"/>
      <family val="3"/>
      <charset val="128"/>
    </font>
    <font>
      <b/>
      <strike/>
      <sz val="10"/>
      <name val="ＭＳ Ｐゴシック"/>
      <family val="3"/>
      <charset val="128"/>
    </font>
    <font>
      <b/>
      <strike/>
      <sz val="9"/>
      <color indexed="8"/>
      <name val="ＭＳ Ｐゴシック"/>
      <family val="3"/>
      <charset val="128"/>
    </font>
    <font>
      <strike/>
      <sz val="9"/>
      <name val="ＭＳ Ｐゴシック"/>
      <family val="3"/>
      <charset val="128"/>
    </font>
    <font>
      <b/>
      <strike/>
      <sz val="8"/>
      <color indexed="17"/>
      <name val="ＭＳ Ｐゴシック"/>
      <family val="3"/>
      <charset val="128"/>
    </font>
    <font>
      <b/>
      <strike/>
      <sz val="11"/>
      <name val="ＭＳ Ｐゴシック"/>
      <family val="3"/>
      <charset val="128"/>
    </font>
    <font>
      <b/>
      <sz val="10"/>
      <color indexed="18"/>
      <name val="ＭＳ Ｐゴシック"/>
      <family val="3"/>
      <charset val="128"/>
    </font>
    <font>
      <b/>
      <vertAlign val="subscript"/>
      <sz val="11"/>
      <name val="ＭＳ Ｐゴシック"/>
      <family val="3"/>
      <charset val="128"/>
    </font>
    <font>
      <vertAlign val="superscript"/>
      <sz val="10"/>
      <name val="ＭＳ Ｐゴシック"/>
      <family val="3"/>
      <charset val="128"/>
    </font>
    <font>
      <b/>
      <vertAlign val="subscript"/>
      <sz val="10"/>
      <name val="ＭＳ Ｐゴシック"/>
      <family val="3"/>
      <charset val="128"/>
    </font>
    <font>
      <b/>
      <sz val="16"/>
      <name val="ＭＳ Ｐゴシック"/>
      <family val="3"/>
      <charset val="128"/>
    </font>
    <font>
      <b/>
      <sz val="18"/>
      <name val="ＭＳ Ｐゴシック"/>
      <family val="3"/>
      <charset val="128"/>
    </font>
    <font>
      <b/>
      <sz val="14"/>
      <name val="ＭＳ Ｐゴシック"/>
      <family val="3"/>
      <charset val="128"/>
    </font>
    <font>
      <sz val="14"/>
      <name val="ＭＳ Ｐゴシック"/>
      <family val="3"/>
      <charset val="128"/>
    </font>
    <font>
      <sz val="12"/>
      <name val="ＭＳ Ｐゴシック"/>
      <family val="3"/>
      <charset val="128"/>
    </font>
    <font>
      <b/>
      <i/>
      <sz val="12"/>
      <name val="ＭＳ Ｐゴシック"/>
      <family val="3"/>
      <charset val="128"/>
    </font>
    <font>
      <vertAlign val="superscript"/>
      <sz val="9"/>
      <name val="ＭＳ Ｐゴシック"/>
      <family val="3"/>
      <charset val="128"/>
    </font>
    <font>
      <b/>
      <vertAlign val="subscript"/>
      <sz val="10"/>
      <name val="Arial"/>
      <family val="2"/>
    </font>
    <font>
      <vertAlign val="subscript"/>
      <sz val="9"/>
      <name val="ＭＳ Ｐゴシック"/>
      <family val="3"/>
      <charset val="128"/>
    </font>
    <font>
      <sz val="10"/>
      <color indexed="8"/>
      <name val="ＭＳ Ｐゴシック"/>
      <family val="3"/>
      <charset val="128"/>
    </font>
    <font>
      <sz val="8"/>
      <name val="ＭＳ 明朝"/>
      <family val="1"/>
      <charset val="128"/>
    </font>
    <font>
      <sz val="8"/>
      <name val="M 中ゴシック BBB"/>
      <family val="3"/>
      <charset val="128"/>
    </font>
    <font>
      <b/>
      <vertAlign val="subscript"/>
      <sz val="9"/>
      <name val="ＭＳ Ｐゴシック"/>
      <family val="3"/>
      <charset val="128"/>
    </font>
    <font>
      <b/>
      <sz val="10"/>
      <color indexed="12"/>
      <name val="ＭＳ Ｐゴシック"/>
      <family val="3"/>
      <charset val="128"/>
    </font>
    <font>
      <b/>
      <vertAlign val="subscript"/>
      <sz val="12"/>
      <name val="ＭＳ Ｐゴシック"/>
      <family val="3"/>
      <charset val="128"/>
    </font>
    <font>
      <b/>
      <sz val="9"/>
      <color indexed="81"/>
      <name val="ＭＳ Ｐゴシック"/>
      <family val="3"/>
      <charset val="128"/>
    </font>
    <font>
      <sz val="9"/>
      <color indexed="81"/>
      <name val="ＭＳ Ｐゴシック"/>
      <family val="3"/>
      <charset val="128"/>
    </font>
    <font>
      <sz val="11"/>
      <name val="ＭＳ Ｐゴシック"/>
      <family val="3"/>
      <charset val="128"/>
    </font>
    <font>
      <b/>
      <sz val="10"/>
      <color indexed="8"/>
      <name val="ＭＳ Ｐゴシック"/>
      <family val="3"/>
      <charset val="128"/>
    </font>
    <font>
      <sz val="10"/>
      <color indexed="12"/>
      <name val="ＭＳ Ｐゴシック"/>
      <family val="3"/>
      <charset val="128"/>
    </font>
    <font>
      <sz val="10"/>
      <color rgb="FFFF0000"/>
      <name val="ＭＳ Ｐゴシック"/>
      <family val="3"/>
      <charset val="128"/>
    </font>
    <font>
      <sz val="9"/>
      <color rgb="FFFF0000"/>
      <name val="ＭＳ Ｐゴシック"/>
      <family val="3"/>
      <charset val="128"/>
    </font>
    <font>
      <sz val="10"/>
      <color rgb="FF008000"/>
      <name val="ＭＳ Ｐゴシック"/>
      <family val="3"/>
      <charset val="128"/>
    </font>
    <font>
      <b/>
      <sz val="10"/>
      <color rgb="FF008000"/>
      <name val="ＭＳ Ｐゴシック"/>
      <family val="3"/>
      <charset val="128"/>
    </font>
    <font>
      <b/>
      <sz val="11"/>
      <color rgb="FF008000"/>
      <name val="ＭＳ Ｐゴシック"/>
      <family val="3"/>
      <charset val="128"/>
    </font>
    <font>
      <b/>
      <sz val="10"/>
      <color rgb="FF008000"/>
      <name val="Arial"/>
      <family val="2"/>
    </font>
    <font>
      <sz val="10"/>
      <color theme="9" tint="-0.499984740745262"/>
      <name val="ＭＳ Ｐゴシック"/>
      <family val="3"/>
      <charset val="128"/>
    </font>
    <font>
      <sz val="11"/>
      <color theme="9" tint="-0.499984740745262"/>
      <name val="ＭＳ Ｐゴシック"/>
      <family val="3"/>
      <charset val="128"/>
    </font>
    <font>
      <sz val="11"/>
      <name val="Arial Unicode MS"/>
      <family val="3"/>
      <charset val="128"/>
    </font>
    <font>
      <b/>
      <sz val="10"/>
      <color theme="2" tint="-0.499984740745262"/>
      <name val="ＭＳ Ｐゴシック"/>
      <family val="3"/>
      <charset val="128"/>
    </font>
    <font>
      <sz val="10"/>
      <color theme="2" tint="-0.499984740745262"/>
      <name val="ＭＳ Ｐゴシック"/>
      <family val="3"/>
      <charset val="128"/>
    </font>
    <font>
      <b/>
      <sz val="10"/>
      <color rgb="FFFF0000"/>
      <name val="Arial"/>
      <family val="2"/>
    </font>
    <font>
      <b/>
      <sz val="10"/>
      <color rgb="FFFF0000"/>
      <name val="ＭＳ Ｐゴシック"/>
      <family val="3"/>
      <charset val="128"/>
    </font>
    <font>
      <b/>
      <sz val="11"/>
      <color rgb="FFFF0000"/>
      <name val="ＭＳ Ｐゴシック"/>
      <family val="3"/>
      <charset val="128"/>
    </font>
    <font>
      <vertAlign val="superscript"/>
      <sz val="9"/>
      <color rgb="FFFF0000"/>
      <name val="ＭＳ Ｐゴシック"/>
      <family val="3"/>
      <charset val="128"/>
    </font>
    <font>
      <sz val="10"/>
      <color rgb="FFFF0000"/>
      <name val="Arial"/>
      <family val="2"/>
    </font>
    <font>
      <vertAlign val="superscript"/>
      <sz val="10"/>
      <color rgb="FFFF0000"/>
      <name val="Arial"/>
      <family val="2"/>
    </font>
    <font>
      <sz val="10"/>
      <color theme="8" tint="-0.499984740745262"/>
      <name val="ＭＳ Ｐゴシック"/>
      <family val="3"/>
      <charset val="128"/>
    </font>
    <font>
      <b/>
      <sz val="10"/>
      <color theme="5"/>
      <name val="ＭＳ Ｐゴシック"/>
      <family val="3"/>
      <charset val="128"/>
    </font>
    <font>
      <sz val="10"/>
      <color theme="5"/>
      <name val="ＭＳ Ｐゴシック"/>
      <family val="3"/>
      <charset val="128"/>
    </font>
    <font>
      <b/>
      <sz val="11"/>
      <color theme="5"/>
      <name val="ＭＳ Ｐゴシック"/>
      <family val="3"/>
      <charset val="128"/>
    </font>
    <font>
      <sz val="9"/>
      <color theme="5"/>
      <name val="Arial"/>
      <family val="2"/>
    </font>
    <font>
      <vertAlign val="subscript"/>
      <sz val="11"/>
      <name val="ＭＳ Ｐゴシック"/>
      <family val="3"/>
      <charset val="128"/>
    </font>
    <font>
      <sz val="10"/>
      <color theme="9" tint="-0.249977111117893"/>
      <name val="ＭＳ Ｐゴシック"/>
      <family val="3"/>
      <charset val="128"/>
    </font>
    <font>
      <b/>
      <sz val="10"/>
      <color theme="9" tint="-0.249977111117893"/>
      <name val="ＭＳ Ｐゴシック"/>
      <family val="3"/>
      <charset val="128"/>
    </font>
    <font>
      <sz val="11"/>
      <color rgb="FFFF0000"/>
      <name val="ＭＳ Ｐゴシック"/>
      <family val="3"/>
      <charset val="128"/>
    </font>
    <font>
      <sz val="9"/>
      <color theme="8" tint="-0.249977111117893"/>
      <name val="ＭＳ Ｐゴシック"/>
      <family val="3"/>
      <charset val="128"/>
    </font>
    <font>
      <sz val="11"/>
      <color theme="8" tint="-0.249977111117893"/>
      <name val="ＭＳ Ｐゴシック"/>
      <family val="3"/>
      <charset val="128"/>
    </font>
    <font>
      <b/>
      <sz val="9"/>
      <color theme="8" tint="-0.249977111117893"/>
      <name val="ＭＳ Ｐゴシック"/>
      <family val="3"/>
      <charset val="128"/>
    </font>
    <font>
      <b/>
      <sz val="11"/>
      <color theme="8" tint="-0.249977111117893"/>
      <name val="ＭＳ Ｐゴシック"/>
      <family val="3"/>
      <charset val="128"/>
    </font>
    <font>
      <b/>
      <sz val="12"/>
      <color theme="8" tint="-0.249977111117893"/>
      <name val="ＭＳ Ｐゴシック"/>
      <family val="3"/>
      <charset val="128"/>
    </font>
    <font>
      <sz val="11"/>
      <color rgb="FF002060"/>
      <name val="ＭＳ Ｐゴシック"/>
      <family val="3"/>
      <charset val="128"/>
    </font>
    <font>
      <b/>
      <sz val="10"/>
      <color theme="8" tint="-0.249977111117893"/>
      <name val="ＭＳ Ｐゴシック"/>
      <family val="3"/>
      <charset val="128"/>
    </font>
    <font>
      <sz val="9"/>
      <color theme="0"/>
      <name val="ＭＳ Ｐゴシック"/>
      <family val="3"/>
      <charset val="128"/>
    </font>
    <font>
      <b/>
      <sz val="14"/>
      <color rgb="FF00B0F0"/>
      <name val="ＭＳ Ｐゴシック"/>
      <family val="3"/>
      <charset val="128"/>
    </font>
    <font>
      <sz val="8"/>
      <color rgb="FFFF0000"/>
      <name val="ＭＳ Ｐゴシック"/>
      <family val="3"/>
      <charset val="128"/>
    </font>
    <font>
      <sz val="9"/>
      <color rgb="FFFF0000"/>
      <name val="Arial"/>
      <family val="2"/>
    </font>
    <font>
      <sz val="10"/>
      <color indexed="53"/>
      <name val="Arial"/>
      <family val="2"/>
    </font>
    <font>
      <b/>
      <sz val="8"/>
      <color indexed="10"/>
      <name val="Arial"/>
      <family val="2"/>
    </font>
    <font>
      <b/>
      <sz val="11"/>
      <color indexed="17"/>
      <name val="Arial"/>
      <family val="2"/>
    </font>
    <font>
      <b/>
      <sz val="20"/>
      <color indexed="9"/>
      <name val="Arial"/>
      <family val="2"/>
    </font>
    <font>
      <sz val="10"/>
      <color theme="8" tint="-0.499984740745262"/>
      <name val="Arial"/>
      <family val="2"/>
    </font>
    <font>
      <b/>
      <i/>
      <sz val="20"/>
      <color indexed="9"/>
      <name val="Arial"/>
      <family val="2"/>
    </font>
    <font>
      <sz val="9"/>
      <color indexed="20"/>
      <name val="Arial"/>
      <family val="2"/>
    </font>
    <font>
      <sz val="10"/>
      <color indexed="21"/>
      <name val="Arial"/>
      <family val="2"/>
    </font>
    <font>
      <sz val="7"/>
      <name val="ＭＳ Ｐゴシック"/>
      <family val="3"/>
      <charset val="128"/>
    </font>
  </fonts>
  <fills count="7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46"/>
        <bgColor indexed="64"/>
      </patternFill>
    </fill>
    <fill>
      <patternFill patternType="solid">
        <fgColor indexed="13"/>
        <bgColor indexed="64"/>
      </patternFill>
    </fill>
    <fill>
      <patternFill patternType="solid">
        <fgColor indexed="26"/>
        <bgColor indexed="64"/>
      </patternFill>
    </fill>
    <fill>
      <patternFill patternType="solid">
        <fgColor indexed="17"/>
        <bgColor indexed="64"/>
      </patternFill>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indexed="40"/>
        <bgColor indexed="64"/>
      </patternFill>
    </fill>
    <fill>
      <patternFill patternType="solid">
        <fgColor indexed="23"/>
        <bgColor indexed="64"/>
      </patternFill>
    </fill>
    <fill>
      <patternFill patternType="solid">
        <fgColor indexed="15"/>
        <bgColor indexed="64"/>
      </patternFill>
    </fill>
    <fill>
      <patternFill patternType="solid">
        <fgColor indexed="55"/>
        <bgColor indexed="64"/>
      </patternFill>
    </fill>
    <fill>
      <patternFill patternType="solid">
        <fgColor indexed="63"/>
        <bgColor indexed="9"/>
      </patternFill>
    </fill>
    <fill>
      <patternFill patternType="solid">
        <fgColor indexed="63"/>
        <bgColor indexed="64"/>
      </patternFill>
    </fill>
    <fill>
      <patternFill patternType="solid">
        <fgColor indexed="65"/>
        <bgColor indexed="64"/>
      </patternFill>
    </fill>
    <fill>
      <patternFill patternType="solid">
        <fgColor indexed="27"/>
        <bgColor indexed="64"/>
      </patternFill>
    </fill>
    <fill>
      <patternFill patternType="solid">
        <fgColor indexed="47"/>
        <bgColor indexed="64"/>
      </patternFill>
    </fill>
    <fill>
      <patternFill patternType="solid">
        <fgColor indexed="41"/>
        <bgColor indexed="64"/>
      </patternFill>
    </fill>
    <fill>
      <patternFill patternType="lightTrellis">
        <bgColor indexed="26"/>
      </patternFill>
    </fill>
    <fill>
      <patternFill patternType="solid">
        <fgColor indexed="50"/>
        <bgColor indexed="64"/>
      </patternFill>
    </fill>
    <fill>
      <patternFill patternType="lightTrellis">
        <bgColor indexed="22"/>
      </patternFill>
    </fill>
    <fill>
      <patternFill patternType="solid">
        <fgColor indexed="14"/>
        <bgColor indexed="64"/>
      </patternFill>
    </fill>
    <fill>
      <patternFill patternType="solid">
        <fgColor indexed="10"/>
        <bgColor indexed="64"/>
      </patternFill>
    </fill>
    <fill>
      <patternFill patternType="solid">
        <fgColor indexed="45"/>
        <bgColor indexed="64"/>
      </patternFill>
    </fill>
    <fill>
      <patternFill patternType="lightTrellis"/>
    </fill>
    <fill>
      <patternFill patternType="solid">
        <fgColor theme="1" tint="0.499984740745262"/>
        <bgColor indexed="64"/>
      </patternFill>
    </fill>
    <fill>
      <patternFill patternType="solid">
        <fgColor rgb="FFFFFF00"/>
        <bgColor indexed="64"/>
      </patternFill>
    </fill>
    <fill>
      <patternFill patternType="solid">
        <fgColor rgb="FFFFFFCC"/>
        <bgColor indexed="64"/>
      </patternFill>
    </fill>
    <fill>
      <patternFill patternType="solid">
        <fgColor theme="9"/>
        <bgColor indexed="64"/>
      </patternFill>
    </fill>
    <fill>
      <patternFill patternType="solid">
        <fgColor theme="0" tint="-0.249977111117893"/>
        <bgColor indexed="64"/>
      </patternFill>
    </fill>
    <fill>
      <patternFill patternType="solid">
        <fgColor rgb="FFFFFFCC"/>
        <bgColor rgb="FF000000"/>
      </patternFill>
    </fill>
    <fill>
      <patternFill patternType="solid">
        <fgColor rgb="FFFFFF00"/>
        <bgColor rgb="FF000000"/>
      </patternFill>
    </fill>
    <fill>
      <patternFill patternType="lightTrellis">
        <fgColor rgb="FF000000"/>
        <bgColor rgb="FFFFFFCC"/>
      </patternFill>
    </fill>
    <fill>
      <patternFill patternType="lightTrellis">
        <fgColor rgb="FF000000"/>
        <bgColor rgb="FFFFFF00"/>
      </patternFill>
    </fill>
    <fill>
      <patternFill patternType="solid">
        <fgColor rgb="FFCCFFFF"/>
        <bgColor indexed="64"/>
      </patternFill>
    </fill>
    <fill>
      <patternFill patternType="solid">
        <fgColor theme="0"/>
        <bgColor indexed="64"/>
      </patternFill>
    </fill>
    <fill>
      <patternFill patternType="solid">
        <fgColor rgb="FF00B0F0"/>
        <bgColor indexed="64"/>
      </patternFill>
    </fill>
    <fill>
      <patternFill patternType="lightGray">
        <bgColor indexed="26"/>
      </patternFill>
    </fill>
    <fill>
      <patternFill patternType="lightGray"/>
    </fill>
    <fill>
      <patternFill patternType="solid">
        <fgColor theme="9" tint="0.39997558519241921"/>
        <bgColor indexed="64"/>
      </patternFill>
    </fill>
    <fill>
      <patternFill patternType="solid">
        <fgColor theme="9" tint="0.39997558519241921"/>
        <bgColor rgb="FF000000"/>
      </patternFill>
    </fill>
    <fill>
      <patternFill patternType="solid">
        <fgColor theme="7" tint="0.79998168889431442"/>
        <bgColor indexed="64"/>
      </patternFill>
    </fill>
    <fill>
      <patternFill patternType="lightDown">
        <bgColor indexed="22"/>
      </patternFill>
    </fill>
    <fill>
      <patternFill patternType="lightDown">
        <bgColor indexed="26"/>
      </patternFill>
    </fill>
    <fill>
      <patternFill patternType="lightDown"/>
    </fill>
    <fill>
      <patternFill patternType="lightTrellis">
        <fgColor theme="1"/>
      </patternFill>
    </fill>
    <fill>
      <patternFill patternType="solid">
        <fgColor rgb="FFC0C0C0"/>
        <bgColor indexed="64"/>
      </patternFill>
    </fill>
    <fill>
      <patternFill patternType="solid">
        <fgColor rgb="FF92D050"/>
        <bgColor indexed="64"/>
      </patternFill>
    </fill>
    <fill>
      <patternFill patternType="lightTrellis">
        <bgColor rgb="FFFFFFCC"/>
      </patternFill>
    </fill>
  </fills>
  <borders count="22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right style="thin">
        <color indexed="64"/>
      </right>
      <top/>
      <bottom/>
      <diagonal/>
    </border>
    <border>
      <left style="medium">
        <color indexed="17"/>
      </left>
      <right/>
      <top style="medium">
        <color indexed="17"/>
      </top>
      <bottom/>
      <diagonal/>
    </border>
    <border>
      <left/>
      <right/>
      <top style="medium">
        <color indexed="17"/>
      </top>
      <bottom/>
      <diagonal/>
    </border>
    <border>
      <left/>
      <right style="medium">
        <color indexed="17"/>
      </right>
      <top style="medium">
        <color indexed="17"/>
      </top>
      <bottom/>
      <diagonal/>
    </border>
    <border>
      <left style="medium">
        <color indexed="17"/>
      </left>
      <right/>
      <top style="thin">
        <color indexed="57"/>
      </top>
      <bottom style="thin">
        <color indexed="57"/>
      </bottom>
      <diagonal/>
    </border>
    <border>
      <left/>
      <right/>
      <top style="thin">
        <color indexed="57"/>
      </top>
      <bottom/>
      <diagonal/>
    </border>
    <border>
      <left/>
      <right style="medium">
        <color indexed="17"/>
      </right>
      <top style="thin">
        <color indexed="57"/>
      </top>
      <bottom/>
      <diagonal/>
    </border>
    <border>
      <left style="medium">
        <color indexed="17"/>
      </left>
      <right/>
      <top/>
      <bottom/>
      <diagonal/>
    </border>
    <border>
      <left/>
      <right style="medium">
        <color indexed="17"/>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17"/>
      </right>
      <top style="thin">
        <color indexed="64"/>
      </top>
      <bottom style="thin">
        <color indexed="64"/>
      </bottom>
      <diagonal/>
    </border>
    <border>
      <left style="medium">
        <color indexed="17"/>
      </left>
      <right/>
      <top style="medium">
        <color indexed="17"/>
      </top>
      <bottom style="medium">
        <color indexed="17"/>
      </bottom>
      <diagonal/>
    </border>
    <border>
      <left style="medium">
        <color indexed="17"/>
      </left>
      <right/>
      <top/>
      <bottom style="medium">
        <color indexed="17"/>
      </bottom>
      <diagonal/>
    </border>
    <border>
      <left style="thin">
        <color indexed="64"/>
      </left>
      <right style="thin">
        <color indexed="64"/>
      </right>
      <top style="thin">
        <color indexed="64"/>
      </top>
      <bottom style="medium">
        <color indexed="17"/>
      </bottom>
      <diagonal/>
    </border>
    <border>
      <left/>
      <right/>
      <top/>
      <bottom style="medium">
        <color indexed="17"/>
      </bottom>
      <diagonal/>
    </border>
    <border>
      <left/>
      <right style="medium">
        <color indexed="17"/>
      </right>
      <top/>
      <bottom style="medium">
        <color indexed="17"/>
      </bottom>
      <diagonal/>
    </border>
    <border>
      <left style="medium">
        <color indexed="17"/>
      </left>
      <right/>
      <top style="medium">
        <color indexed="17"/>
      </top>
      <bottom style="thin">
        <color indexed="17"/>
      </bottom>
      <diagonal/>
    </border>
    <border>
      <left/>
      <right/>
      <top style="medium">
        <color indexed="17"/>
      </top>
      <bottom style="thin">
        <color indexed="17"/>
      </bottom>
      <diagonal/>
    </border>
    <border>
      <left/>
      <right style="medium">
        <color indexed="17"/>
      </right>
      <top style="medium">
        <color indexed="17"/>
      </top>
      <bottom style="thin">
        <color indexed="17"/>
      </bottom>
      <diagonal/>
    </border>
    <border>
      <left/>
      <right/>
      <top style="thin">
        <color indexed="17"/>
      </top>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medium">
        <color indexed="17"/>
      </left>
      <right style="medium">
        <color indexed="17"/>
      </right>
      <top/>
      <bottom style="medium">
        <color indexed="17"/>
      </bottom>
      <diagonal/>
    </border>
    <border>
      <left style="medium">
        <color indexed="17"/>
      </left>
      <right/>
      <top style="medium">
        <color indexed="17"/>
      </top>
      <bottom style="hair">
        <color indexed="64"/>
      </bottom>
      <diagonal/>
    </border>
    <border>
      <left/>
      <right/>
      <top style="medium">
        <color indexed="17"/>
      </top>
      <bottom style="hair">
        <color indexed="64"/>
      </bottom>
      <diagonal/>
    </border>
    <border>
      <left/>
      <right style="medium">
        <color indexed="17"/>
      </right>
      <top style="medium">
        <color indexed="17"/>
      </top>
      <bottom style="hair">
        <color indexed="64"/>
      </bottom>
      <diagonal/>
    </border>
    <border>
      <left style="medium">
        <color indexed="17"/>
      </left>
      <right style="medium">
        <color indexed="17"/>
      </right>
      <top style="medium">
        <color indexed="17"/>
      </top>
      <bottom/>
      <diagonal/>
    </border>
    <border>
      <left style="medium">
        <color indexed="17"/>
      </left>
      <right/>
      <top style="hair">
        <color indexed="64"/>
      </top>
      <bottom style="hair">
        <color indexed="64"/>
      </bottom>
      <diagonal/>
    </border>
    <border>
      <left/>
      <right style="medium">
        <color indexed="17"/>
      </right>
      <top style="hair">
        <color indexed="64"/>
      </top>
      <bottom style="hair">
        <color indexed="64"/>
      </bottom>
      <diagonal/>
    </border>
    <border>
      <left style="medium">
        <color indexed="17"/>
      </left>
      <right/>
      <top style="hair">
        <color indexed="64"/>
      </top>
      <bottom style="medium">
        <color indexed="17"/>
      </bottom>
      <diagonal/>
    </border>
    <border>
      <left/>
      <right/>
      <top style="hair">
        <color indexed="64"/>
      </top>
      <bottom style="medium">
        <color indexed="17"/>
      </bottom>
      <diagonal/>
    </border>
    <border>
      <left/>
      <right style="medium">
        <color indexed="17"/>
      </right>
      <top style="hair">
        <color indexed="64"/>
      </top>
      <bottom style="medium">
        <color indexed="17"/>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9"/>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hair">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bottom/>
      <diagonal/>
    </border>
    <border>
      <left style="medium">
        <color indexed="64"/>
      </left>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9"/>
      </left>
      <right/>
      <top style="medium">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style="dashed">
        <color indexed="64"/>
      </right>
      <top/>
      <bottom/>
      <diagonal/>
    </border>
    <border>
      <left style="dashed">
        <color indexed="64"/>
      </left>
      <right style="thin">
        <color indexed="64"/>
      </right>
      <top/>
      <bottom/>
      <diagonal/>
    </border>
    <border>
      <left style="dashed">
        <color indexed="64"/>
      </left>
      <right/>
      <top/>
      <bottom/>
      <diagonal/>
    </border>
    <border>
      <left style="medium">
        <color indexed="64"/>
      </left>
      <right style="medium">
        <color indexed="64"/>
      </right>
      <top/>
      <bottom/>
      <diagonal/>
    </border>
    <border>
      <left style="medium">
        <color indexed="64"/>
      </left>
      <right/>
      <top/>
      <bottom style="medium">
        <color indexed="23"/>
      </bottom>
      <diagonal/>
    </border>
    <border>
      <left/>
      <right/>
      <top style="medium">
        <color indexed="23"/>
      </top>
      <bottom style="medium">
        <color indexed="23"/>
      </bottom>
      <diagonal/>
    </border>
    <border>
      <left/>
      <right style="medium">
        <color indexed="64"/>
      </right>
      <top style="medium">
        <color indexed="23"/>
      </top>
      <bottom style="medium">
        <color indexed="23"/>
      </bottom>
      <diagonal/>
    </border>
    <border>
      <left style="medium">
        <color indexed="64"/>
      </left>
      <right/>
      <top style="medium">
        <color indexed="23"/>
      </top>
      <bottom style="medium">
        <color indexed="23"/>
      </bottom>
      <diagonal/>
    </border>
    <border>
      <left style="thin">
        <color indexed="64"/>
      </left>
      <right style="dashed">
        <color indexed="64"/>
      </right>
      <top style="medium">
        <color indexed="23"/>
      </top>
      <bottom style="medium">
        <color indexed="23"/>
      </bottom>
      <diagonal/>
    </border>
    <border>
      <left style="dashed">
        <color indexed="64"/>
      </left>
      <right style="thin">
        <color indexed="64"/>
      </right>
      <top style="medium">
        <color indexed="23"/>
      </top>
      <bottom style="medium">
        <color indexed="23"/>
      </bottom>
      <diagonal/>
    </border>
    <border>
      <left style="dashed">
        <color indexed="64"/>
      </left>
      <right/>
      <top style="medium">
        <color indexed="23"/>
      </top>
      <bottom style="medium">
        <color indexed="23"/>
      </bottom>
      <diagonal/>
    </border>
    <border>
      <left style="medium">
        <color indexed="64"/>
      </left>
      <right style="medium">
        <color indexed="64"/>
      </right>
      <top style="medium">
        <color indexed="23"/>
      </top>
      <bottom style="medium">
        <color indexed="23"/>
      </bottom>
      <diagonal/>
    </border>
    <border>
      <left/>
      <right/>
      <top style="medium">
        <color indexed="23"/>
      </top>
      <bottom style="thin">
        <color indexed="64"/>
      </bottom>
      <diagonal/>
    </border>
    <border>
      <left style="thin">
        <color indexed="64"/>
      </left>
      <right style="dashed">
        <color indexed="64"/>
      </right>
      <top style="medium">
        <color indexed="23"/>
      </top>
      <bottom style="thin">
        <color indexed="64"/>
      </bottom>
      <diagonal/>
    </border>
    <border>
      <left style="thin">
        <color indexed="64"/>
      </left>
      <right style="dashed">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23"/>
      </bottom>
      <diagonal/>
    </border>
    <border>
      <left/>
      <right/>
      <top style="medium">
        <color indexed="64"/>
      </top>
      <bottom style="medium">
        <color indexed="23"/>
      </bottom>
      <diagonal/>
    </border>
    <border>
      <left/>
      <right style="medium">
        <color indexed="64"/>
      </right>
      <top style="medium">
        <color indexed="64"/>
      </top>
      <bottom style="medium">
        <color indexed="23"/>
      </bottom>
      <diagonal/>
    </border>
    <border>
      <left style="thin">
        <color indexed="64"/>
      </left>
      <right style="dashed">
        <color indexed="64"/>
      </right>
      <top style="medium">
        <color indexed="64"/>
      </top>
      <bottom style="medium">
        <color indexed="23"/>
      </bottom>
      <diagonal/>
    </border>
    <border>
      <left style="dashed">
        <color indexed="64"/>
      </left>
      <right style="thin">
        <color indexed="64"/>
      </right>
      <top style="medium">
        <color indexed="64"/>
      </top>
      <bottom style="medium">
        <color indexed="23"/>
      </bottom>
      <diagonal/>
    </border>
    <border>
      <left style="dashed">
        <color indexed="64"/>
      </left>
      <right/>
      <top style="medium">
        <color indexed="64"/>
      </top>
      <bottom style="medium">
        <color indexed="23"/>
      </bottom>
      <diagonal/>
    </border>
    <border>
      <left style="medium">
        <color indexed="64"/>
      </left>
      <right style="medium">
        <color indexed="64"/>
      </right>
      <top style="medium">
        <color indexed="64"/>
      </top>
      <bottom style="medium">
        <color indexed="23"/>
      </bottom>
      <diagonal/>
    </border>
    <border>
      <left style="thin">
        <color indexed="64"/>
      </left>
      <right style="dashed">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dashed">
        <color indexed="64"/>
      </left>
      <right/>
      <top/>
      <bottom style="medium">
        <color indexed="64"/>
      </bottom>
      <diagonal/>
    </border>
    <border>
      <left style="thin">
        <color indexed="64"/>
      </left>
      <right style="dashed">
        <color indexed="64"/>
      </right>
      <top style="medium">
        <color indexed="64"/>
      </top>
      <bottom/>
      <diagonal/>
    </border>
    <border>
      <left style="medium">
        <color indexed="64"/>
      </left>
      <right style="medium">
        <color indexed="64"/>
      </right>
      <top style="thin">
        <color indexed="64"/>
      </top>
      <bottom style="medium">
        <color indexed="64"/>
      </bottom>
      <diagonal/>
    </border>
    <border>
      <left style="dashed">
        <color indexed="64"/>
      </left>
      <right style="medium">
        <color indexed="64"/>
      </right>
      <top/>
      <bottom/>
      <diagonal/>
    </border>
    <border>
      <left style="dashed">
        <color indexed="64"/>
      </left>
      <right style="thin">
        <color indexed="64"/>
      </right>
      <top style="medium">
        <color indexed="64"/>
      </top>
      <bottom/>
      <diagonal/>
    </border>
    <border>
      <left style="dashed">
        <color indexed="64"/>
      </left>
      <right/>
      <top style="medium">
        <color indexed="64"/>
      </top>
      <bottom/>
      <diagonal/>
    </border>
    <border>
      <left style="thin">
        <color indexed="64"/>
      </left>
      <right style="dashed">
        <color indexed="64"/>
      </right>
      <top style="medium">
        <color indexed="23"/>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23"/>
      </top>
      <bottom/>
      <diagonal/>
    </border>
    <border>
      <left style="thin">
        <color indexed="64"/>
      </left>
      <right style="dashed">
        <color indexed="64"/>
      </right>
      <top style="medium">
        <color indexed="64"/>
      </top>
      <bottom style="medium">
        <color indexed="64"/>
      </bottom>
      <diagonal/>
    </border>
    <border>
      <left style="thin">
        <color indexed="64"/>
      </left>
      <right style="dashed">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medium">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right/>
      <top style="hair">
        <color indexed="64"/>
      </top>
      <bottom/>
      <diagonal/>
    </border>
    <border>
      <left/>
      <right style="thin">
        <color indexed="64"/>
      </right>
      <top style="hair">
        <color indexed="64"/>
      </top>
      <bottom/>
      <diagonal/>
    </border>
    <border>
      <left style="double">
        <color indexed="64"/>
      </left>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hair">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hair">
        <color indexed="64"/>
      </top>
      <bottom/>
      <diagonal/>
    </border>
    <border>
      <left style="thin">
        <color indexed="64"/>
      </left>
      <right style="dashed">
        <color indexed="64"/>
      </right>
      <top style="medium">
        <color indexed="64"/>
      </top>
      <bottom style="thin">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style="medium">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bottom style="hair">
        <color indexed="64"/>
      </bottom>
      <diagonal/>
    </border>
    <border>
      <left style="thin">
        <color indexed="64"/>
      </left>
      <right style="medium">
        <color indexed="64"/>
      </right>
      <top style="medium">
        <color indexed="23"/>
      </top>
      <bottom style="thin">
        <color indexed="64"/>
      </bottom>
      <diagonal/>
    </border>
    <border>
      <left style="medium">
        <color indexed="64"/>
      </left>
      <right style="medium">
        <color indexed="64"/>
      </right>
      <top style="medium">
        <color indexed="23"/>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23"/>
      </bottom>
      <diagonal/>
    </border>
    <border>
      <left style="thin">
        <color indexed="64"/>
      </left>
      <right style="medium">
        <color indexed="64"/>
      </right>
      <top style="medium">
        <color indexed="64"/>
      </top>
      <bottom style="medium">
        <color indexed="23"/>
      </bottom>
      <diagonal/>
    </border>
    <border>
      <left style="thin">
        <color indexed="64"/>
      </left>
      <right style="medium">
        <color indexed="64"/>
      </right>
      <top style="medium">
        <color indexed="23"/>
      </top>
      <bottom style="medium">
        <color indexed="23"/>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hair">
        <color indexed="64"/>
      </left>
      <right/>
      <top style="thin">
        <color indexed="64"/>
      </top>
      <bottom/>
      <diagonal/>
    </border>
    <border>
      <left style="thin">
        <color indexed="64"/>
      </left>
      <right style="dashed">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dashed">
        <color indexed="64"/>
      </right>
      <top style="medium">
        <color theme="0" tint="-0.499984740745262"/>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23"/>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thin">
        <color indexed="64"/>
      </right>
      <top/>
      <bottom style="medium">
        <color indexed="64"/>
      </bottom>
      <diagonal/>
    </border>
  </borders>
  <cellStyleXfs count="49">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9" fontId="7" fillId="0" borderId="0" applyFont="0" applyFill="0" applyBorder="0" applyAlignment="0" applyProtection="0">
      <alignment vertical="center"/>
    </xf>
    <xf numFmtId="0" fontId="8" fillId="0" borderId="0" applyNumberFormat="0" applyFill="0" applyBorder="0" applyAlignment="0" applyProtection="0">
      <alignment vertical="top"/>
      <protection locked="0"/>
    </xf>
    <xf numFmtId="0" fontId="7" fillId="22" borderId="2" applyNumberFormat="0" applyFont="0" applyAlignment="0" applyProtection="0">
      <alignment vertical="center"/>
    </xf>
    <xf numFmtId="0" fontId="9" fillId="0" borderId="3" applyNumberFormat="0" applyFill="0" applyAlignment="0" applyProtection="0">
      <alignment vertical="center"/>
    </xf>
    <xf numFmtId="0" fontId="10" fillId="3" borderId="0" applyNumberFormat="0" applyBorder="0" applyAlignment="0" applyProtection="0">
      <alignment vertical="center"/>
    </xf>
    <xf numFmtId="0" fontId="11" fillId="23" borderId="4" applyNumberFormat="0" applyAlignment="0" applyProtection="0">
      <alignment vertical="center"/>
    </xf>
    <xf numFmtId="0" fontId="12" fillId="0" borderId="0" applyNumberFormat="0" applyFill="0" applyBorder="0" applyAlignment="0" applyProtection="0">
      <alignment vertical="center"/>
    </xf>
    <xf numFmtId="38" fontId="7" fillId="0" borderId="0" applyFont="0" applyFill="0" applyBorder="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23" borderId="9" applyNumberFormat="0" applyAlignment="0" applyProtection="0">
      <alignment vertical="center"/>
    </xf>
    <xf numFmtId="0" fontId="18" fillId="0" borderId="0" applyNumberFormat="0" applyFill="0" applyBorder="0" applyAlignment="0" applyProtection="0">
      <alignment vertical="center"/>
    </xf>
    <xf numFmtId="0" fontId="19" fillId="7" borderId="4" applyNumberFormat="0" applyAlignment="0" applyProtection="0">
      <alignment vertical="center"/>
    </xf>
    <xf numFmtId="0" fontId="7" fillId="0" borderId="0"/>
    <xf numFmtId="0" fontId="7" fillId="0" borderId="0"/>
    <xf numFmtId="0" fontId="20" fillId="0" borderId="0"/>
    <xf numFmtId="0" fontId="21" fillId="4" borderId="0" applyNumberFormat="0" applyBorder="0" applyAlignment="0" applyProtection="0">
      <alignment vertical="center"/>
    </xf>
    <xf numFmtId="0" fontId="1" fillId="0" borderId="0">
      <alignment vertical="center"/>
    </xf>
  </cellStyleXfs>
  <cellXfs count="3556">
    <xf numFmtId="0" fontId="0" fillId="0" borderId="0" xfId="0">
      <alignment vertical="center"/>
    </xf>
    <xf numFmtId="0" fontId="0" fillId="0" borderId="10" xfId="0" applyBorder="1">
      <alignment vertical="center"/>
    </xf>
    <xf numFmtId="0" fontId="0" fillId="0" borderId="15" xfId="0" applyBorder="1">
      <alignment vertical="center"/>
    </xf>
    <xf numFmtId="0" fontId="7" fillId="27" borderId="0" xfId="0" applyFont="1" applyFill="1">
      <alignment vertical="center"/>
    </xf>
    <xf numFmtId="0" fontId="12" fillId="27" borderId="0" xfId="0" applyFont="1" applyFill="1">
      <alignment vertical="center"/>
    </xf>
    <xf numFmtId="0" fontId="27" fillId="27" borderId="0" xfId="0" applyFont="1" applyFill="1" applyAlignment="1">
      <alignment horizontal="left" vertical="center"/>
    </xf>
    <xf numFmtId="0" fontId="29" fillId="27" borderId="0" xfId="0" applyFont="1" applyFill="1" applyAlignment="1">
      <alignment horizontal="left" vertical="center"/>
    </xf>
    <xf numFmtId="0" fontId="33" fillId="27" borderId="0" xfId="0" applyFont="1" applyFill="1">
      <alignment vertical="center"/>
    </xf>
    <xf numFmtId="0" fontId="41" fillId="30" borderId="59" xfId="0" applyFont="1" applyFill="1" applyBorder="1">
      <alignment vertical="center"/>
    </xf>
    <xf numFmtId="0" fontId="32" fillId="30" borderId="60" xfId="45" applyFont="1" applyFill="1" applyBorder="1" applyAlignment="1" applyProtection="1">
      <alignment vertical="center"/>
      <protection hidden="1"/>
    </xf>
    <xf numFmtId="0" fontId="32" fillId="30" borderId="60" xfId="45" applyFont="1" applyFill="1" applyBorder="1" applyAlignment="1" applyProtection="1">
      <alignment horizontal="left" vertical="center"/>
      <protection hidden="1"/>
    </xf>
    <xf numFmtId="0" fontId="32" fillId="30" borderId="61" xfId="45" applyFont="1" applyFill="1" applyBorder="1" applyAlignment="1" applyProtection="1">
      <alignment vertical="center"/>
      <protection hidden="1"/>
    </xf>
    <xf numFmtId="0" fontId="42" fillId="0" borderId="0" xfId="0" applyFont="1">
      <alignment vertical="center"/>
    </xf>
    <xf numFmtId="0" fontId="7" fillId="27" borderId="62" xfId="45" applyFill="1" applyBorder="1"/>
    <xf numFmtId="0" fontId="7" fillId="27" borderId="0" xfId="45" applyFill="1" applyAlignment="1" applyProtection="1">
      <alignment vertical="center"/>
      <protection hidden="1"/>
    </xf>
    <xf numFmtId="0" fontId="7" fillId="27" borderId="0" xfId="45" applyFill="1" applyAlignment="1" applyProtection="1">
      <alignment horizontal="left" vertical="center"/>
      <protection hidden="1"/>
    </xf>
    <xf numFmtId="0" fontId="7" fillId="27" borderId="63" xfId="0" applyFont="1" applyFill="1" applyBorder="1">
      <alignment vertical="center"/>
    </xf>
    <xf numFmtId="0" fontId="7" fillId="27" borderId="53" xfId="0" applyFont="1" applyFill="1" applyBorder="1">
      <alignment vertical="center"/>
    </xf>
    <xf numFmtId="0" fontId="0" fillId="27" borderId="54" xfId="0" applyFill="1" applyBorder="1">
      <alignment vertical="center"/>
    </xf>
    <xf numFmtId="0" fontId="0" fillId="0" borderId="10" xfId="0" applyBorder="1" applyProtection="1">
      <alignment vertical="center"/>
      <protection locked="0"/>
    </xf>
    <xf numFmtId="0" fontId="7" fillId="27" borderId="62" xfId="45" applyFill="1" applyBorder="1" applyAlignment="1">
      <alignment vertical="center"/>
    </xf>
    <xf numFmtId="0" fontId="2" fillId="31" borderId="51" xfId="0" applyFont="1" applyFill="1" applyBorder="1" applyAlignment="1">
      <alignment horizontal="center" vertical="center" wrapText="1"/>
    </xf>
    <xf numFmtId="0" fontId="7" fillId="27" borderId="64" xfId="0" applyFont="1" applyFill="1" applyBorder="1">
      <alignment vertical="center"/>
    </xf>
    <xf numFmtId="0" fontId="0" fillId="27" borderId="17" xfId="0" applyFill="1" applyBorder="1">
      <alignment vertical="center"/>
    </xf>
    <xf numFmtId="202" fontId="7" fillId="27" borderId="26" xfId="45" applyNumberFormat="1" applyFill="1" applyBorder="1" applyAlignment="1" applyProtection="1">
      <alignment vertical="center" shrinkToFit="1"/>
      <protection hidden="1"/>
    </xf>
    <xf numFmtId="0" fontId="7" fillId="27" borderId="10" xfId="35" applyNumberFormat="1" applyFont="1" applyFill="1" applyBorder="1" applyAlignment="1" applyProtection="1">
      <alignment horizontal="right" vertical="center" shrinkToFit="1"/>
    </xf>
    <xf numFmtId="0" fontId="7" fillId="27" borderId="10" xfId="45" applyFill="1" applyBorder="1" applyAlignment="1" applyProtection="1">
      <alignment vertical="center"/>
      <protection hidden="1"/>
    </xf>
    <xf numFmtId="201" fontId="7" fillId="27" borderId="10" xfId="45" applyNumberFormat="1" applyFill="1" applyBorder="1" applyAlignment="1" applyProtection="1">
      <alignment vertical="center"/>
      <protection hidden="1"/>
    </xf>
    <xf numFmtId="0" fontId="7" fillId="27" borderId="17" xfId="0" applyFont="1" applyFill="1" applyBorder="1">
      <alignment vertical="center"/>
    </xf>
    <xf numFmtId="0" fontId="2" fillId="31" borderId="10" xfId="0" applyFont="1" applyFill="1" applyBorder="1" applyAlignment="1">
      <alignment horizontal="center" vertical="center" wrapText="1"/>
    </xf>
    <xf numFmtId="0" fontId="7" fillId="27" borderId="26" xfId="45" applyFill="1" applyBorder="1" applyAlignment="1" applyProtection="1">
      <alignment vertical="center"/>
      <protection locked="0"/>
    </xf>
    <xf numFmtId="0" fontId="7" fillId="27" borderId="10" xfId="45" applyFill="1" applyBorder="1" applyAlignment="1" applyProtection="1">
      <alignment vertical="center"/>
      <protection locked="0"/>
    </xf>
    <xf numFmtId="0" fontId="7" fillId="27" borderId="62" xfId="45" applyFill="1" applyBorder="1" applyAlignment="1">
      <alignment horizontal="right" vertical="top"/>
    </xf>
    <xf numFmtId="0" fontId="0" fillId="27" borderId="0" xfId="0" applyFill="1">
      <alignment vertical="center"/>
    </xf>
    <xf numFmtId="0" fontId="2" fillId="27" borderId="10" xfId="0" applyFont="1" applyFill="1" applyBorder="1" applyAlignment="1">
      <alignment horizontal="center" vertical="center" wrapText="1"/>
    </xf>
    <xf numFmtId="0" fontId="7" fillId="27" borderId="10" xfId="45" applyFill="1" applyBorder="1" applyAlignment="1">
      <alignment vertical="center"/>
    </xf>
    <xf numFmtId="0" fontId="7" fillId="27" borderId="62" xfId="0" applyFont="1" applyFill="1" applyBorder="1">
      <alignment vertical="center"/>
    </xf>
    <xf numFmtId="0" fontId="7" fillId="27" borderId="10" xfId="45" applyFill="1" applyBorder="1" applyAlignment="1" applyProtection="1">
      <alignment horizontal="center" vertical="center"/>
      <protection hidden="1"/>
    </xf>
    <xf numFmtId="0" fontId="7" fillId="27" borderId="65" xfId="0" applyFont="1" applyFill="1" applyBorder="1">
      <alignment vertical="center"/>
    </xf>
    <xf numFmtId="0" fontId="7" fillId="27" borderId="66" xfId="0" applyFont="1" applyFill="1" applyBorder="1">
      <alignment vertical="center"/>
    </xf>
    <xf numFmtId="0" fontId="7" fillId="27" borderId="67" xfId="0" applyFont="1" applyFill="1" applyBorder="1">
      <alignment vertical="center"/>
    </xf>
    <xf numFmtId="0" fontId="7" fillId="27" borderId="56" xfId="0" applyFont="1" applyFill="1" applyBorder="1">
      <alignment vertical="center"/>
    </xf>
    <xf numFmtId="0" fontId="7" fillId="27" borderId="57" xfId="0" applyFont="1" applyFill="1" applyBorder="1">
      <alignment vertical="center"/>
    </xf>
    <xf numFmtId="0" fontId="7" fillId="27" borderId="58" xfId="0" applyFont="1" applyFill="1" applyBorder="1">
      <alignment vertical="center"/>
    </xf>
    <xf numFmtId="0" fontId="7" fillId="0" borderId="0" xfId="0" applyFont="1">
      <alignment vertical="center"/>
    </xf>
    <xf numFmtId="0" fontId="0" fillId="0" borderId="0" xfId="0" applyAlignment="1">
      <alignment horizontal="right" vertical="center"/>
    </xf>
    <xf numFmtId="0" fontId="43" fillId="0" borderId="0" xfId="0" applyFont="1" applyProtection="1">
      <alignment vertical="center"/>
      <protection hidden="1"/>
    </xf>
    <xf numFmtId="0" fontId="43" fillId="0" borderId="0" xfId="0" applyFont="1" applyAlignment="1" applyProtection="1">
      <alignment horizontal="left" vertical="center"/>
      <protection hidden="1"/>
    </xf>
    <xf numFmtId="0" fontId="44" fillId="0" borderId="0" xfId="0" applyFont="1" applyAlignment="1" applyProtection="1">
      <alignment horizontal="left" vertical="center"/>
      <protection hidden="1"/>
    </xf>
    <xf numFmtId="0" fontId="43" fillId="0" borderId="0" xfId="0" applyFont="1" applyAlignment="1" applyProtection="1">
      <alignment horizontal="right" vertical="center"/>
      <protection hidden="1"/>
    </xf>
    <xf numFmtId="0" fontId="45" fillId="0" borderId="0" xfId="0" applyFont="1" applyProtection="1">
      <alignment vertical="center"/>
      <protection hidden="1"/>
    </xf>
    <xf numFmtId="0" fontId="45" fillId="0" borderId="0" xfId="0" applyFont="1" applyAlignment="1" applyProtection="1">
      <alignment horizontal="center" vertical="center"/>
      <protection hidden="1"/>
    </xf>
    <xf numFmtId="14" fontId="46" fillId="0" borderId="0" xfId="0" applyNumberFormat="1" applyFont="1" applyAlignment="1" applyProtection="1">
      <alignment horizontal="center" vertical="center"/>
      <protection hidden="1"/>
    </xf>
    <xf numFmtId="0" fontId="47" fillId="0" borderId="0" xfId="0" applyFont="1" applyProtection="1">
      <alignment vertical="center"/>
      <protection hidden="1"/>
    </xf>
    <xf numFmtId="178" fontId="47" fillId="0" borderId="0" xfId="0" applyNumberFormat="1" applyFont="1" applyProtection="1">
      <alignment vertical="center"/>
      <protection hidden="1"/>
    </xf>
    <xf numFmtId="0" fontId="46" fillId="0" borderId="0" xfId="0" applyFont="1" applyProtection="1">
      <alignment vertical="center"/>
      <protection hidden="1"/>
    </xf>
    <xf numFmtId="0" fontId="26" fillId="0" borderId="0" xfId="0" applyFont="1" applyAlignment="1" applyProtection="1">
      <protection hidden="1"/>
    </xf>
    <xf numFmtId="0" fontId="48" fillId="0" borderId="0" xfId="0" applyFont="1" applyAlignment="1" applyProtection="1">
      <alignment horizontal="left" vertical="center"/>
      <protection hidden="1"/>
    </xf>
    <xf numFmtId="0" fontId="49" fillId="0" borderId="0" xfId="0" applyFont="1" applyAlignment="1" applyProtection="1">
      <alignment horizontal="right" vertical="center"/>
      <protection hidden="1"/>
    </xf>
    <xf numFmtId="0" fontId="49" fillId="0" borderId="0" xfId="0" applyFont="1" applyProtection="1">
      <alignment vertical="center"/>
      <protection hidden="1"/>
    </xf>
    <xf numFmtId="0" fontId="50" fillId="0" borderId="0" xfId="0" applyFont="1" applyProtection="1">
      <alignment vertical="center"/>
      <protection hidden="1"/>
    </xf>
    <xf numFmtId="0" fontId="51" fillId="0" borderId="0" xfId="0" applyFont="1" applyProtection="1">
      <alignment vertical="center"/>
      <protection hidden="1"/>
    </xf>
    <xf numFmtId="0" fontId="52" fillId="0" borderId="0" xfId="0" applyFont="1" applyAlignment="1" applyProtection="1">
      <alignment horizontal="center" vertical="center"/>
      <protection hidden="1"/>
    </xf>
    <xf numFmtId="0" fontId="28" fillId="0" borderId="0" xfId="0" applyFont="1" applyAlignment="1" applyProtection="1">
      <alignment horizontal="left" vertical="center"/>
      <protection hidden="1"/>
    </xf>
    <xf numFmtId="0" fontId="53" fillId="0" borderId="0" xfId="0" applyFont="1" applyProtection="1">
      <alignment vertical="center"/>
      <protection hidden="1"/>
    </xf>
    <xf numFmtId="0" fontId="29" fillId="0" borderId="0" xfId="0" applyFont="1" applyAlignment="1" applyProtection="1">
      <alignment horizontal="left" vertical="center"/>
      <protection hidden="1"/>
    </xf>
    <xf numFmtId="0" fontId="52" fillId="0" borderId="0" xfId="0" applyFont="1" applyAlignment="1" applyProtection="1">
      <alignment horizontal="right" vertical="center"/>
      <protection hidden="1"/>
    </xf>
    <xf numFmtId="0" fontId="54" fillId="0" borderId="0" xfId="0" applyFont="1" applyAlignment="1" applyProtection="1">
      <alignment horizontal="left" vertical="top"/>
      <protection hidden="1"/>
    </xf>
    <xf numFmtId="0" fontId="49" fillId="0" borderId="0" xfId="0" applyFont="1" applyAlignment="1" applyProtection="1">
      <alignment horizontal="left" vertical="center"/>
      <protection hidden="1"/>
    </xf>
    <xf numFmtId="0" fontId="51" fillId="0" borderId="0" xfId="0" applyFont="1" applyAlignment="1" applyProtection="1">
      <alignment horizontal="center" vertical="center"/>
      <protection hidden="1"/>
    </xf>
    <xf numFmtId="0" fontId="28" fillId="0" borderId="0" xfId="0" applyFont="1" applyAlignment="1" applyProtection="1">
      <alignment horizontal="right" vertical="top"/>
      <protection hidden="1"/>
    </xf>
    <xf numFmtId="0" fontId="55" fillId="0" borderId="0" xfId="0" applyFont="1" applyProtection="1">
      <alignment vertical="center"/>
      <protection hidden="1"/>
    </xf>
    <xf numFmtId="0" fontId="56" fillId="0" borderId="0" xfId="0" applyFont="1" applyAlignment="1" applyProtection="1">
      <alignment horizontal="left" vertical="center"/>
      <protection hidden="1"/>
    </xf>
    <xf numFmtId="0" fontId="56" fillId="0" borderId="0" xfId="0" applyFont="1" applyAlignment="1" applyProtection="1">
      <alignment horizontal="right" vertical="center"/>
      <protection hidden="1"/>
    </xf>
    <xf numFmtId="0" fontId="56" fillId="0" borderId="0" xfId="0" applyFont="1" applyProtection="1">
      <alignment vertical="center"/>
      <protection hidden="1"/>
    </xf>
    <xf numFmtId="0" fontId="57" fillId="0" borderId="0" xfId="0" applyFont="1" applyProtection="1">
      <alignment vertical="center"/>
      <protection hidden="1"/>
    </xf>
    <xf numFmtId="0" fontId="57" fillId="0" borderId="0" xfId="0" applyFont="1" applyAlignment="1" applyProtection="1">
      <alignment horizontal="center" vertical="center"/>
      <protection hidden="1"/>
    </xf>
    <xf numFmtId="0" fontId="58" fillId="0" borderId="0" xfId="0" applyFont="1" applyAlignment="1" applyProtection="1">
      <alignment horizontal="center" vertical="center"/>
      <protection hidden="1"/>
    </xf>
    <xf numFmtId="0" fontId="59" fillId="0" borderId="0" xfId="0" applyFont="1" applyProtection="1">
      <alignment vertical="center"/>
      <protection hidden="1"/>
    </xf>
    <xf numFmtId="0" fontId="61" fillId="30" borderId="68" xfId="0" applyFont="1" applyFill="1" applyBorder="1" applyAlignment="1" applyProtection="1">
      <alignment horizontal="left" vertical="center"/>
      <protection hidden="1"/>
    </xf>
    <xf numFmtId="0" fontId="61" fillId="30" borderId="69" xfId="0" applyFont="1" applyFill="1" applyBorder="1" applyAlignment="1" applyProtection="1">
      <alignment horizontal="left" vertical="center"/>
      <protection hidden="1"/>
    </xf>
    <xf numFmtId="0" fontId="62" fillId="30" borderId="69" xfId="0" applyFont="1" applyFill="1" applyBorder="1" applyAlignment="1" applyProtection="1">
      <alignment horizontal="right" vertical="top"/>
      <protection hidden="1"/>
    </xf>
    <xf numFmtId="0" fontId="53" fillId="30" borderId="70" xfId="0" applyFont="1" applyFill="1" applyBorder="1" applyProtection="1">
      <alignment vertical="center"/>
      <protection hidden="1"/>
    </xf>
    <xf numFmtId="0" fontId="53" fillId="30" borderId="60" xfId="0" applyFont="1" applyFill="1" applyBorder="1" applyProtection="1">
      <alignment vertical="center"/>
      <protection hidden="1"/>
    </xf>
    <xf numFmtId="56" fontId="61" fillId="30" borderId="70" xfId="0" applyNumberFormat="1" applyFont="1" applyFill="1" applyBorder="1" applyProtection="1">
      <alignment vertical="center"/>
      <protection hidden="1"/>
    </xf>
    <xf numFmtId="0" fontId="61" fillId="30" borderId="71" xfId="0" applyFont="1" applyFill="1" applyBorder="1" applyAlignment="1" applyProtection="1">
      <alignment horizontal="left" vertical="center"/>
      <protection hidden="1"/>
    </xf>
    <xf numFmtId="0" fontId="63" fillId="0" borderId="0" xfId="0" applyFont="1" applyProtection="1">
      <alignment vertical="center"/>
      <protection hidden="1"/>
    </xf>
    <xf numFmtId="49" fontId="33" fillId="0" borderId="72" xfId="0" applyNumberFormat="1" applyFont="1" applyBorder="1" applyAlignment="1" applyProtection="1">
      <alignment horizontal="left" vertical="center"/>
      <protection hidden="1"/>
    </xf>
    <xf numFmtId="3" fontId="27" fillId="0" borderId="73" xfId="0" applyNumberFormat="1" applyFont="1" applyBorder="1" applyAlignment="1" applyProtection="1">
      <alignment horizontal="left" vertical="center"/>
      <protection hidden="1"/>
    </xf>
    <xf numFmtId="3" fontId="33" fillId="0" borderId="74" xfId="0" applyNumberFormat="1" applyFont="1" applyBorder="1" applyProtection="1">
      <alignment vertical="center"/>
      <protection hidden="1"/>
    </xf>
    <xf numFmtId="0" fontId="53" fillId="0" borderId="75" xfId="0" applyFont="1" applyBorder="1" applyProtection="1">
      <alignment vertical="center"/>
      <protection hidden="1"/>
    </xf>
    <xf numFmtId="0" fontId="33" fillId="0" borderId="62" xfId="0" applyFont="1" applyBorder="1" applyAlignment="1" applyProtection="1">
      <alignment horizontal="left" vertical="center"/>
      <protection hidden="1"/>
    </xf>
    <xf numFmtId="0" fontId="34" fillId="0" borderId="0" xfId="0" applyFont="1" applyAlignment="1" applyProtection="1">
      <alignment horizontal="left" vertical="center"/>
      <protection hidden="1"/>
    </xf>
    <xf numFmtId="0" fontId="33" fillId="0" borderId="76" xfId="0" quotePrefix="1" applyFont="1" applyBorder="1" applyAlignment="1" applyProtection="1">
      <alignment horizontal="left" vertical="center"/>
      <protection hidden="1"/>
    </xf>
    <xf numFmtId="2" fontId="34" fillId="0" borderId="0" xfId="0" applyNumberFormat="1" applyFont="1" applyAlignment="1" applyProtection="1">
      <alignment horizontal="left" vertical="center"/>
      <protection hidden="1"/>
    </xf>
    <xf numFmtId="0" fontId="64" fillId="0" borderId="59" xfId="0" applyFont="1" applyBorder="1" applyProtection="1">
      <alignment vertical="center"/>
      <protection hidden="1"/>
    </xf>
    <xf numFmtId="0" fontId="64" fillId="0" borderId="0" xfId="0" applyFont="1" applyProtection="1">
      <alignment vertical="center"/>
      <protection hidden="1"/>
    </xf>
    <xf numFmtId="0" fontId="64" fillId="0" borderId="63" xfId="0" applyFont="1" applyBorder="1" applyProtection="1">
      <alignment vertical="center"/>
      <protection hidden="1"/>
    </xf>
    <xf numFmtId="0" fontId="53" fillId="0" borderId="10" xfId="0" applyFont="1" applyBorder="1" applyProtection="1">
      <alignment vertical="center"/>
      <protection hidden="1"/>
    </xf>
    <xf numFmtId="0" fontId="7" fillId="0" borderId="10" xfId="0" applyFont="1" applyBorder="1" applyProtection="1">
      <alignment vertical="center"/>
      <protection hidden="1"/>
    </xf>
    <xf numFmtId="0" fontId="65" fillId="0" borderId="10" xfId="0" applyFont="1" applyBorder="1" applyProtection="1">
      <alignment vertical="center"/>
      <protection hidden="1"/>
    </xf>
    <xf numFmtId="0" fontId="46" fillId="0" borderId="10" xfId="0" applyFont="1" applyBorder="1" applyProtection="1">
      <alignment vertical="center"/>
      <protection hidden="1"/>
    </xf>
    <xf numFmtId="0" fontId="33" fillId="0" borderId="62" xfId="0" applyFont="1" applyBorder="1" applyProtection="1">
      <alignment vertical="center"/>
      <protection hidden="1"/>
    </xf>
    <xf numFmtId="3" fontId="27" fillId="0" borderId="0" xfId="0" applyNumberFormat="1" applyFont="1" applyAlignment="1" applyProtection="1">
      <alignment horizontal="left" vertical="center"/>
      <protection hidden="1"/>
    </xf>
    <xf numFmtId="3" fontId="33" fillId="0" borderId="76" xfId="0" applyNumberFormat="1" applyFont="1" applyBorder="1" applyProtection="1">
      <alignment vertical="center"/>
      <protection hidden="1"/>
    </xf>
    <xf numFmtId="3" fontId="33" fillId="0" borderId="0" xfId="0" applyNumberFormat="1" applyFont="1" applyAlignment="1" applyProtection="1">
      <alignment horizontal="left" vertical="center"/>
      <protection hidden="1"/>
    </xf>
    <xf numFmtId="0" fontId="33" fillId="0" borderId="77" xfId="0" applyFont="1" applyBorder="1" applyAlignment="1" applyProtection="1">
      <alignment horizontal="left" vertical="center"/>
      <protection hidden="1"/>
    </xf>
    <xf numFmtId="0" fontId="34" fillId="0" borderId="57" xfId="0" applyFont="1" applyBorder="1" applyAlignment="1" applyProtection="1">
      <alignment horizontal="left" vertical="center"/>
      <protection hidden="1"/>
    </xf>
    <xf numFmtId="0" fontId="33" fillId="0" borderId="78" xfId="0" applyFont="1" applyBorder="1" applyAlignment="1" applyProtection="1">
      <alignment horizontal="left" vertical="center"/>
      <protection hidden="1"/>
    </xf>
    <xf numFmtId="3" fontId="34" fillId="0" borderId="79" xfId="0" applyNumberFormat="1" applyFont="1" applyBorder="1" applyAlignment="1" applyProtection="1">
      <alignment horizontal="left" vertical="center"/>
      <protection hidden="1"/>
    </xf>
    <xf numFmtId="0" fontId="53" fillId="0" borderId="62" xfId="0" applyFont="1" applyBorder="1" applyProtection="1">
      <alignment vertical="center"/>
      <protection hidden="1"/>
    </xf>
    <xf numFmtId="0" fontId="53" fillId="0" borderId="63" xfId="0" applyFont="1" applyBorder="1" applyProtection="1">
      <alignment vertical="center"/>
      <protection hidden="1"/>
    </xf>
    <xf numFmtId="0" fontId="46" fillId="0" borderId="10" xfId="35" applyNumberFormat="1" applyFont="1" applyFill="1" applyBorder="1" applyAlignment="1" applyProtection="1">
      <protection hidden="1"/>
    </xf>
    <xf numFmtId="3" fontId="34" fillId="0" borderId="0" xfId="0" applyNumberFormat="1" applyFont="1" applyAlignment="1" applyProtection="1">
      <alignment horizontal="left" vertical="center"/>
      <protection hidden="1"/>
    </xf>
    <xf numFmtId="181" fontId="33" fillId="0" borderId="76" xfId="0" applyNumberFormat="1" applyFont="1" applyBorder="1" applyAlignment="1" applyProtection="1">
      <alignment horizontal="right" vertical="center"/>
      <protection hidden="1"/>
    </xf>
    <xf numFmtId="0" fontId="53" fillId="0" borderId="62" xfId="0" applyFont="1" applyBorder="1" applyProtection="1">
      <alignment vertical="center"/>
      <protection locked="0"/>
    </xf>
    <xf numFmtId="0" fontId="53" fillId="0" borderId="0" xfId="0" applyFont="1" applyProtection="1">
      <alignment vertical="center"/>
      <protection locked="0"/>
    </xf>
    <xf numFmtId="0" fontId="53" fillId="0" borderId="63" xfId="0" applyFont="1" applyBorder="1" applyProtection="1">
      <alignment vertical="center"/>
      <protection locked="0"/>
    </xf>
    <xf numFmtId="0" fontId="46" fillId="0" borderId="10" xfId="0" applyFont="1" applyBorder="1" applyAlignment="1" applyProtection="1">
      <alignment horizontal="left" vertical="center" wrapText="1"/>
      <protection hidden="1"/>
    </xf>
    <xf numFmtId="0" fontId="33" fillId="0" borderId="77" xfId="0" applyFont="1" applyBorder="1" applyProtection="1">
      <alignment vertical="center"/>
      <protection hidden="1"/>
    </xf>
    <xf numFmtId="3" fontId="27" fillId="0" borderId="57" xfId="0" applyNumberFormat="1" applyFont="1" applyBorder="1" applyAlignment="1" applyProtection="1">
      <alignment horizontal="left" vertical="center"/>
      <protection hidden="1"/>
    </xf>
    <xf numFmtId="3" fontId="33" fillId="0" borderId="57" xfId="0" applyNumberFormat="1" applyFont="1" applyBorder="1" applyAlignment="1" applyProtection="1">
      <alignment horizontal="left" vertical="center"/>
      <protection hidden="1"/>
    </xf>
    <xf numFmtId="0" fontId="53" fillId="0" borderId="79" xfId="0" applyFont="1" applyBorder="1" applyProtection="1">
      <alignment vertical="center"/>
      <protection hidden="1"/>
    </xf>
    <xf numFmtId="181" fontId="33" fillId="0" borderId="78" xfId="0" applyNumberFormat="1" applyFont="1" applyBorder="1" applyAlignment="1" applyProtection="1">
      <alignment horizontal="right" vertical="center"/>
      <protection hidden="1"/>
    </xf>
    <xf numFmtId="0" fontId="7" fillId="0" borderId="10" xfId="0" applyFont="1" applyBorder="1" applyAlignment="1" applyProtection="1">
      <alignment vertical="center" wrapText="1"/>
      <protection hidden="1"/>
    </xf>
    <xf numFmtId="49" fontId="33" fillId="0" borderId="80" xfId="0" applyNumberFormat="1" applyFont="1" applyBorder="1" applyAlignment="1" applyProtection="1">
      <alignment horizontal="left" vertical="center"/>
      <protection hidden="1"/>
    </xf>
    <xf numFmtId="3" fontId="27" fillId="0" borderId="50" xfId="0" applyNumberFormat="1" applyFont="1" applyBorder="1" applyAlignment="1" applyProtection="1">
      <alignment horizontal="left" vertical="center"/>
      <protection hidden="1"/>
    </xf>
    <xf numFmtId="3" fontId="33" fillId="0" borderId="81" xfId="0" applyNumberFormat="1" applyFont="1" applyBorder="1" applyProtection="1">
      <alignment vertical="center"/>
      <protection hidden="1"/>
    </xf>
    <xf numFmtId="0" fontId="53" fillId="0" borderId="82" xfId="0" applyFont="1" applyBorder="1" applyProtection="1">
      <alignment vertical="center"/>
      <protection hidden="1"/>
    </xf>
    <xf numFmtId="0" fontId="34" fillId="0" borderId="57" xfId="0" applyFont="1" applyBorder="1" applyProtection="1">
      <alignment vertical="center"/>
      <protection hidden="1"/>
    </xf>
    <xf numFmtId="0" fontId="34" fillId="0" borderId="79" xfId="0" applyFont="1" applyBorder="1" applyProtection="1">
      <alignment vertical="center"/>
      <protection hidden="1"/>
    </xf>
    <xf numFmtId="3" fontId="66" fillId="0" borderId="0" xfId="0" applyNumberFormat="1" applyFont="1" applyAlignment="1" applyProtection="1">
      <alignment horizontal="left" vertical="center"/>
      <protection locked="0"/>
    </xf>
    <xf numFmtId="0" fontId="67" fillId="0" borderId="0" xfId="0" applyFont="1" applyProtection="1">
      <alignment vertical="center"/>
      <protection hidden="1"/>
    </xf>
    <xf numFmtId="31" fontId="33" fillId="0" borderId="76" xfId="0" applyNumberFormat="1" applyFont="1" applyBorder="1" applyAlignment="1" applyProtection="1">
      <alignment horizontal="left" vertical="center" shrinkToFit="1"/>
      <protection hidden="1"/>
    </xf>
    <xf numFmtId="0" fontId="34" fillId="0" borderId="0" xfId="0" applyFont="1" applyProtection="1">
      <alignment vertical="center"/>
      <protection hidden="1"/>
    </xf>
    <xf numFmtId="3" fontId="68" fillId="0" borderId="0" xfId="0" applyNumberFormat="1" applyFont="1" applyAlignment="1" applyProtection="1">
      <alignment horizontal="left" vertical="center"/>
      <protection locked="0"/>
    </xf>
    <xf numFmtId="186" fontId="69" fillId="0" borderId="10" xfId="35" applyNumberFormat="1" applyFont="1" applyFill="1" applyBorder="1" applyAlignment="1" applyProtection="1">
      <alignment horizontal="center" vertical="center"/>
      <protection hidden="1"/>
    </xf>
    <xf numFmtId="37" fontId="34" fillId="0" borderId="0" xfId="0" applyNumberFormat="1" applyFont="1" applyAlignment="1" applyProtection="1">
      <alignment horizontal="left" vertical="center"/>
      <protection hidden="1"/>
    </xf>
    <xf numFmtId="0" fontId="53" fillId="0" borderId="76" xfId="0" applyFont="1" applyBorder="1" applyProtection="1">
      <alignment vertical="center"/>
      <protection hidden="1"/>
    </xf>
    <xf numFmtId="3" fontId="33" fillId="0" borderId="0" xfId="0" applyNumberFormat="1" applyFont="1" applyAlignment="1" applyProtection="1">
      <alignment horizontal="right" vertical="center"/>
      <protection hidden="1"/>
    </xf>
    <xf numFmtId="182" fontId="33" fillId="0" borderId="0" xfId="0" applyNumberFormat="1" applyFont="1" applyAlignment="1" applyProtection="1">
      <alignment horizontal="left" vertical="center"/>
      <protection hidden="1"/>
    </xf>
    <xf numFmtId="14" fontId="33" fillId="0" borderId="76" xfId="0" applyNumberFormat="1" applyFont="1" applyBorder="1" applyAlignment="1" applyProtection="1">
      <alignment horizontal="left" vertical="center"/>
      <protection hidden="1"/>
    </xf>
    <xf numFmtId="186" fontId="0" fillId="0" borderId="10" xfId="0" applyNumberFormat="1" applyBorder="1" applyProtection="1">
      <alignment vertical="center"/>
      <protection hidden="1"/>
    </xf>
    <xf numFmtId="37" fontId="33" fillId="0" borderId="0" xfId="0" applyNumberFormat="1" applyFont="1" applyAlignment="1" applyProtection="1">
      <alignment horizontal="right" vertical="center"/>
      <protection hidden="1"/>
    </xf>
    <xf numFmtId="0" fontId="33" fillId="0" borderId="0" xfId="0" applyFont="1" applyAlignment="1" applyProtection="1">
      <alignment horizontal="left" vertical="center"/>
      <protection hidden="1"/>
    </xf>
    <xf numFmtId="0" fontId="53" fillId="0" borderId="65" xfId="0" applyFont="1" applyBorder="1" applyProtection="1">
      <alignment vertical="center"/>
      <protection locked="0"/>
    </xf>
    <xf numFmtId="0" fontId="53" fillId="0" borderId="66" xfId="0" applyFont="1" applyBorder="1" applyProtection="1">
      <alignment vertical="center"/>
      <protection locked="0"/>
    </xf>
    <xf numFmtId="0" fontId="53" fillId="0" borderId="67" xfId="0" applyFont="1" applyBorder="1" applyProtection="1">
      <alignment vertical="center"/>
      <protection locked="0"/>
    </xf>
    <xf numFmtId="186" fontId="46" fillId="0" borderId="10" xfId="0" applyNumberFormat="1" applyFont="1" applyBorder="1" applyProtection="1">
      <alignment vertical="center"/>
      <protection hidden="1"/>
    </xf>
    <xf numFmtId="0" fontId="7" fillId="0" borderId="0" xfId="0" applyFont="1" applyProtection="1">
      <alignment vertical="center"/>
      <protection hidden="1"/>
    </xf>
    <xf numFmtId="3" fontId="70" fillId="0" borderId="64" xfId="0" applyNumberFormat="1" applyFont="1" applyBorder="1" applyAlignment="1" applyProtection="1">
      <alignment horizontal="left" vertical="center"/>
      <protection hidden="1"/>
    </xf>
    <xf numFmtId="3" fontId="70" fillId="0" borderId="17" xfId="0" applyNumberFormat="1" applyFont="1" applyBorder="1" applyAlignment="1" applyProtection="1">
      <alignment horizontal="left" vertical="center"/>
      <protection hidden="1"/>
    </xf>
    <xf numFmtId="3" fontId="71" fillId="0" borderId="0" xfId="0" applyNumberFormat="1" applyFont="1" applyAlignment="1" applyProtection="1">
      <alignment horizontal="left" vertical="center"/>
      <protection hidden="1"/>
    </xf>
    <xf numFmtId="0" fontId="72" fillId="0" borderId="64" xfId="0" applyFont="1" applyBorder="1" applyProtection="1">
      <alignment vertical="center"/>
      <protection hidden="1"/>
    </xf>
    <xf numFmtId="0" fontId="46" fillId="0" borderId="63" xfId="0" applyFont="1" applyBorder="1" applyProtection="1">
      <alignment vertical="center"/>
      <protection hidden="1"/>
    </xf>
    <xf numFmtId="0" fontId="53" fillId="0" borderId="66" xfId="0" applyFont="1" applyBorder="1" applyProtection="1">
      <alignment vertical="center"/>
      <protection hidden="1"/>
    </xf>
    <xf numFmtId="0" fontId="46" fillId="0" borderId="66" xfId="0" applyFont="1" applyBorder="1" applyProtection="1">
      <alignment vertical="center"/>
      <protection hidden="1"/>
    </xf>
    <xf numFmtId="0" fontId="72" fillId="0" borderId="83" xfId="0" applyFont="1" applyBorder="1" applyProtection="1">
      <alignment vertical="center"/>
      <protection hidden="1"/>
    </xf>
    <xf numFmtId="3" fontId="70" fillId="0" borderId="84" xfId="0" applyNumberFormat="1" applyFont="1" applyBorder="1" applyAlignment="1" applyProtection="1">
      <alignment horizontal="left" vertical="center"/>
      <protection hidden="1"/>
    </xf>
    <xf numFmtId="0" fontId="46" fillId="0" borderId="67" xfId="0" applyFont="1" applyBorder="1" applyProtection="1">
      <alignment vertical="center"/>
      <protection hidden="1"/>
    </xf>
    <xf numFmtId="0" fontId="73" fillId="0" borderId="60" xfId="0" applyFont="1" applyBorder="1" applyProtection="1">
      <alignment vertical="center"/>
      <protection hidden="1"/>
    </xf>
    <xf numFmtId="0" fontId="74" fillId="0" borderId="60" xfId="0" applyFont="1" applyBorder="1" applyProtection="1">
      <alignment vertical="center"/>
      <protection hidden="1"/>
    </xf>
    <xf numFmtId="0" fontId="53" fillId="0" borderId="60" xfId="0" applyFont="1" applyBorder="1" applyProtection="1">
      <alignment vertical="center"/>
      <protection hidden="1"/>
    </xf>
    <xf numFmtId="3" fontId="75" fillId="0" borderId="60" xfId="0" applyNumberFormat="1" applyFont="1" applyBorder="1" applyAlignment="1" applyProtection="1">
      <alignment horizontal="left" vertical="center"/>
      <protection hidden="1"/>
    </xf>
    <xf numFmtId="0" fontId="76" fillId="0" borderId="60" xfId="0" applyFont="1" applyBorder="1" applyProtection="1">
      <alignment vertical="center"/>
      <protection hidden="1"/>
    </xf>
    <xf numFmtId="37" fontId="33" fillId="0" borderId="60" xfId="0" applyNumberFormat="1" applyFont="1" applyBorder="1" applyAlignment="1" applyProtection="1">
      <alignment horizontal="left" vertical="center"/>
      <protection hidden="1"/>
    </xf>
    <xf numFmtId="0" fontId="61" fillId="30" borderId="59" xfId="0" applyFont="1" applyFill="1" applyBorder="1" applyProtection="1">
      <alignment vertical="center"/>
      <protection hidden="1"/>
    </xf>
    <xf numFmtId="0" fontId="77" fillId="30" borderId="60" xfId="0" applyFont="1" applyFill="1" applyBorder="1" applyAlignment="1" applyProtection="1">
      <alignment horizontal="right" vertical="center"/>
      <protection hidden="1"/>
    </xf>
    <xf numFmtId="0" fontId="77" fillId="30" borderId="60" xfId="0" applyFont="1" applyFill="1" applyBorder="1" applyProtection="1">
      <alignment vertical="center"/>
      <protection hidden="1"/>
    </xf>
    <xf numFmtId="0" fontId="78" fillId="30" borderId="60" xfId="0" applyFont="1" applyFill="1" applyBorder="1" applyProtection="1">
      <alignment vertical="center"/>
      <protection hidden="1"/>
    </xf>
    <xf numFmtId="56" fontId="61" fillId="30" borderId="85" xfId="0" applyNumberFormat="1" applyFont="1" applyFill="1" applyBorder="1" applyProtection="1">
      <alignment vertical="center"/>
      <protection hidden="1"/>
    </xf>
    <xf numFmtId="0" fontId="60" fillId="30" borderId="69" xfId="0" applyFont="1" applyFill="1" applyBorder="1" applyAlignment="1" applyProtection="1">
      <alignment horizontal="left" vertical="center"/>
      <protection hidden="1"/>
    </xf>
    <xf numFmtId="0" fontId="80" fillId="30" borderId="69" xfId="0" applyFont="1" applyFill="1" applyBorder="1" applyAlignment="1" applyProtection="1">
      <alignment horizontal="right" vertical="center"/>
      <protection hidden="1"/>
    </xf>
    <xf numFmtId="0" fontId="61" fillId="30" borderId="85" xfId="0" applyFont="1" applyFill="1" applyBorder="1" applyProtection="1">
      <alignment vertical="center"/>
      <protection hidden="1"/>
    </xf>
    <xf numFmtId="0" fontId="29" fillId="0" borderId="59" xfId="0" applyFont="1" applyBorder="1" applyProtection="1">
      <alignment vertical="center"/>
      <protection hidden="1"/>
    </xf>
    <xf numFmtId="0" fontId="29" fillId="0" borderId="60" xfId="0" applyFont="1" applyBorder="1" applyProtection="1">
      <alignment vertical="center"/>
      <protection hidden="1"/>
    </xf>
    <xf numFmtId="0" fontId="81" fillId="0" borderId="61" xfId="0" applyFont="1" applyBorder="1" applyAlignment="1" applyProtection="1">
      <alignment horizontal="right" vertical="center"/>
      <protection hidden="1"/>
    </xf>
    <xf numFmtId="0" fontId="53" fillId="0" borderId="59" xfId="0" applyFont="1" applyBorder="1" applyProtection="1">
      <alignment vertical="center"/>
      <protection hidden="1"/>
    </xf>
    <xf numFmtId="38" fontId="46" fillId="0" borderId="10" xfId="35" applyFont="1" applyFill="1" applyBorder="1" applyAlignment="1" applyProtection="1">
      <protection hidden="1"/>
    </xf>
    <xf numFmtId="0" fontId="45" fillId="0" borderId="62" xfId="0" applyFont="1" applyBorder="1" applyProtection="1">
      <alignment vertical="center"/>
      <protection hidden="1"/>
    </xf>
    <xf numFmtId="186" fontId="69" fillId="0" borderId="0" xfId="0" applyNumberFormat="1" applyFont="1" applyAlignment="1" applyProtection="1">
      <alignment horizontal="center" vertical="center"/>
      <protection hidden="1"/>
    </xf>
    <xf numFmtId="0" fontId="29" fillId="0" borderId="62" xfId="0" applyFont="1" applyBorder="1" applyProtection="1">
      <alignment vertical="center"/>
      <protection hidden="1"/>
    </xf>
    <xf numFmtId="0" fontId="29" fillId="0" borderId="0" xfId="0" applyFont="1" applyProtection="1">
      <alignment vertical="center"/>
      <protection hidden="1"/>
    </xf>
    <xf numFmtId="0" fontId="36" fillId="0" borderId="0" xfId="0" applyFont="1" applyAlignment="1" applyProtection="1">
      <alignment horizontal="center" vertical="center"/>
      <protection hidden="1"/>
    </xf>
    <xf numFmtId="0" fontId="36" fillId="0" borderId="63" xfId="0" applyFont="1" applyBorder="1" applyAlignment="1" applyProtection="1">
      <alignment horizontal="center" vertical="center"/>
      <protection hidden="1"/>
    </xf>
    <xf numFmtId="0" fontId="45" fillId="0" borderId="62" xfId="0" applyFont="1" applyBorder="1" applyAlignment="1" applyProtection="1">
      <alignment horizontal="right" vertical="center"/>
      <protection hidden="1"/>
    </xf>
    <xf numFmtId="38" fontId="7" fillId="0" borderId="10" xfId="0" applyNumberFormat="1" applyFont="1" applyBorder="1" applyProtection="1">
      <alignment vertical="center"/>
      <protection hidden="1"/>
    </xf>
    <xf numFmtId="0" fontId="53" fillId="0" borderId="86" xfId="0" applyFont="1" applyBorder="1" applyProtection="1">
      <alignment vertical="center"/>
      <protection hidden="1"/>
    </xf>
    <xf numFmtId="0" fontId="53" fillId="0" borderId="87" xfId="0" applyFont="1" applyBorder="1" applyProtection="1">
      <alignment vertical="center"/>
      <protection hidden="1"/>
    </xf>
    <xf numFmtId="0" fontId="29" fillId="0" borderId="86" xfId="0" applyFont="1" applyBorder="1" applyProtection="1">
      <alignment vertical="center"/>
      <protection hidden="1"/>
    </xf>
    <xf numFmtId="0" fontId="29" fillId="0" borderId="87" xfId="0" applyFont="1" applyBorder="1" applyProtection="1">
      <alignment vertical="center"/>
      <protection hidden="1"/>
    </xf>
    <xf numFmtId="0" fontId="36" fillId="0" borderId="87" xfId="0" applyFont="1" applyBorder="1" applyAlignment="1" applyProtection="1">
      <alignment horizontal="center" vertical="center"/>
      <protection hidden="1"/>
    </xf>
    <xf numFmtId="0" fontId="36" fillId="0" borderId="88" xfId="0" applyFont="1" applyBorder="1" applyAlignment="1" applyProtection="1">
      <alignment horizontal="center" vertical="center"/>
      <protection hidden="1"/>
    </xf>
    <xf numFmtId="38" fontId="7" fillId="0" borderId="10" xfId="35" applyFont="1" applyFill="1" applyBorder="1" applyProtection="1">
      <alignment vertical="center"/>
      <protection hidden="1"/>
    </xf>
    <xf numFmtId="0" fontId="81" fillId="0" borderId="62" xfId="0" applyFont="1" applyBorder="1" applyProtection="1">
      <alignment vertical="center"/>
      <protection hidden="1"/>
    </xf>
    <xf numFmtId="0" fontId="45" fillId="0" borderId="62" xfId="0" applyFont="1" applyBorder="1" applyAlignment="1" applyProtection="1">
      <alignment horizontal="left" vertical="center"/>
      <protection hidden="1"/>
    </xf>
    <xf numFmtId="0" fontId="82" fillId="0" borderId="0" xfId="0" applyFont="1" applyAlignment="1" applyProtection="1">
      <alignment horizontal="center" vertical="center"/>
      <protection hidden="1"/>
    </xf>
    <xf numFmtId="0" fontId="53" fillId="0" borderId="0" xfId="0" applyFont="1">
      <alignment vertical="center"/>
    </xf>
    <xf numFmtId="0" fontId="28" fillId="0" borderId="63" xfId="0" applyFont="1" applyBorder="1" applyAlignment="1" applyProtection="1">
      <alignment horizontal="right" vertical="center"/>
      <protection hidden="1"/>
    </xf>
    <xf numFmtId="0" fontId="7" fillId="0" borderId="10" xfId="0" applyFont="1" applyBorder="1" applyAlignment="1" applyProtection="1">
      <alignment horizontal="center"/>
      <protection hidden="1"/>
    </xf>
    <xf numFmtId="0" fontId="7" fillId="0" borderId="10" xfId="35" applyNumberFormat="1" applyFont="1" applyFill="1" applyBorder="1" applyAlignment="1" applyProtection="1">
      <protection hidden="1"/>
    </xf>
    <xf numFmtId="0" fontId="7" fillId="0" borderId="10" xfId="35" quotePrefix="1" applyNumberFormat="1" applyFont="1" applyFill="1" applyBorder="1" applyAlignment="1" applyProtection="1">
      <protection hidden="1"/>
    </xf>
    <xf numFmtId="0" fontId="45" fillId="0" borderId="86" xfId="0" applyFont="1" applyBorder="1" applyAlignment="1" applyProtection="1">
      <alignment horizontal="left" vertical="center"/>
      <protection hidden="1"/>
    </xf>
    <xf numFmtId="0" fontId="82" fillId="0" borderId="87" xfId="0" applyFont="1" applyBorder="1" applyAlignment="1" applyProtection="1">
      <alignment horizontal="center" vertical="center"/>
      <protection hidden="1"/>
    </xf>
    <xf numFmtId="0" fontId="53" fillId="0" borderId="87" xfId="0" applyFont="1" applyBorder="1">
      <alignment vertical="center"/>
    </xf>
    <xf numFmtId="0" fontId="28" fillId="0" borderId="88" xfId="0" applyFont="1" applyBorder="1" applyAlignment="1" applyProtection="1">
      <alignment horizontal="right" vertical="center"/>
      <protection hidden="1"/>
    </xf>
    <xf numFmtId="0" fontId="7" fillId="0" borderId="0" xfId="0" applyFont="1" applyAlignment="1" applyProtection="1">
      <alignment horizontal="center"/>
      <protection hidden="1"/>
    </xf>
    <xf numFmtId="0" fontId="7" fillId="0" borderId="0" xfId="35" applyNumberFormat="1" applyFont="1" applyFill="1" applyBorder="1" applyAlignment="1" applyProtection="1">
      <protection hidden="1"/>
    </xf>
    <xf numFmtId="0" fontId="64" fillId="0" borderId="62" xfId="0" applyFont="1" applyBorder="1" applyAlignment="1" applyProtection="1">
      <alignment vertical="center" wrapText="1"/>
      <protection hidden="1"/>
    </xf>
    <xf numFmtId="0" fontId="64" fillId="0" borderId="0" xfId="0" applyFont="1" applyAlignment="1" applyProtection="1">
      <alignment vertical="center" wrapText="1"/>
      <protection hidden="1"/>
    </xf>
    <xf numFmtId="0" fontId="64" fillId="0" borderId="63" xfId="0" applyFont="1" applyBorder="1" applyAlignment="1" applyProtection="1">
      <alignment vertical="center" wrapText="1"/>
      <protection hidden="1"/>
    </xf>
    <xf numFmtId="186" fontId="45" fillId="0" borderId="0" xfId="35" applyNumberFormat="1" applyFont="1" applyFill="1" applyBorder="1" applyAlignment="1" applyProtection="1">
      <alignment horizontal="right" vertical="center"/>
      <protection hidden="1"/>
    </xf>
    <xf numFmtId="0" fontId="12" fillId="0" borderId="0" xfId="0" applyFont="1" applyProtection="1">
      <alignment vertical="center"/>
      <protection hidden="1"/>
    </xf>
    <xf numFmtId="0" fontId="7" fillId="0" borderId="0" xfId="35" applyNumberFormat="1" applyFont="1" applyFill="1" applyBorder="1" applyAlignment="1" applyProtection="1">
      <alignment wrapText="1"/>
      <protection hidden="1"/>
    </xf>
    <xf numFmtId="186" fontId="45" fillId="0" borderId="0" xfId="35" applyNumberFormat="1" applyFont="1" applyFill="1" applyBorder="1" applyAlignment="1" applyProtection="1">
      <alignment horizontal="right" vertical="top"/>
      <protection hidden="1"/>
    </xf>
    <xf numFmtId="0" fontId="64" fillId="0" borderId="0" xfId="0" applyFont="1" applyAlignment="1" applyProtection="1">
      <alignment horizontal="left"/>
      <protection hidden="1"/>
    </xf>
    <xf numFmtId="0" fontId="53" fillId="0" borderId="65" xfId="0" applyFont="1" applyBorder="1" applyProtection="1">
      <alignment vertical="center"/>
      <protection hidden="1"/>
    </xf>
    <xf numFmtId="0" fontId="64" fillId="0" borderId="66" xfId="0" applyFont="1" applyBorder="1" applyAlignment="1" applyProtection="1">
      <alignment horizontal="left" vertical="top"/>
      <protection hidden="1"/>
    </xf>
    <xf numFmtId="0" fontId="53" fillId="0" borderId="67" xfId="0" applyFont="1" applyBorder="1" applyProtection="1">
      <alignment vertical="center"/>
      <protection hidden="1"/>
    </xf>
    <xf numFmtId="0" fontId="81" fillId="0" borderId="10" xfId="0" applyFont="1" applyBorder="1" applyProtection="1">
      <alignment vertical="center"/>
      <protection hidden="1"/>
    </xf>
    <xf numFmtId="0" fontId="12" fillId="0" borderId="10" xfId="0" applyFont="1" applyBorder="1" applyProtection="1">
      <alignment vertical="center"/>
      <protection hidden="1"/>
    </xf>
    <xf numFmtId="0" fontId="61" fillId="30" borderId="68" xfId="0" applyFont="1" applyFill="1" applyBorder="1" applyProtection="1">
      <alignment vertical="center"/>
      <protection hidden="1"/>
    </xf>
    <xf numFmtId="0" fontId="83" fillId="30" borderId="69" xfId="0" applyFont="1" applyFill="1" applyBorder="1" applyProtection="1">
      <alignment vertical="center"/>
      <protection hidden="1"/>
    </xf>
    <xf numFmtId="0" fontId="83" fillId="30" borderId="69" xfId="0" applyFont="1" applyFill="1" applyBorder="1" applyAlignment="1" applyProtection="1">
      <alignment horizontal="right" vertical="center"/>
      <protection hidden="1"/>
    </xf>
    <xf numFmtId="0" fontId="84" fillId="30" borderId="69" xfId="0" applyFont="1" applyFill="1" applyBorder="1" applyAlignment="1" applyProtection="1">
      <alignment horizontal="right" vertical="top"/>
      <protection hidden="1"/>
    </xf>
    <xf numFmtId="0" fontId="57" fillId="30" borderId="69" xfId="0" applyFont="1" applyFill="1" applyBorder="1" applyAlignment="1" applyProtection="1">
      <alignment horizontal="center" vertical="center"/>
      <protection hidden="1"/>
    </xf>
    <xf numFmtId="0" fontId="64" fillId="30" borderId="69" xfId="0" applyFont="1" applyFill="1" applyBorder="1" applyProtection="1">
      <alignment vertical="center"/>
      <protection hidden="1"/>
    </xf>
    <xf numFmtId="0" fontId="84" fillId="30" borderId="71" xfId="0" applyFont="1" applyFill="1" applyBorder="1" applyAlignment="1" applyProtection="1">
      <alignment horizontal="right" vertical="center"/>
      <protection hidden="1"/>
    </xf>
    <xf numFmtId="38" fontId="53" fillId="32" borderId="10" xfId="35" applyFont="1" applyFill="1" applyBorder="1" applyProtection="1">
      <alignment vertical="center"/>
      <protection hidden="1"/>
    </xf>
    <xf numFmtId="0" fontId="53" fillId="32" borderId="10" xfId="0" applyFont="1" applyFill="1" applyBorder="1" applyProtection="1">
      <alignment vertical="center"/>
      <protection hidden="1"/>
    </xf>
    <xf numFmtId="9" fontId="53" fillId="0" borderId="10" xfId="0" applyNumberFormat="1" applyFont="1" applyBorder="1" applyProtection="1">
      <alignment vertical="center"/>
      <protection hidden="1"/>
    </xf>
    <xf numFmtId="38" fontId="53" fillId="0" borderId="0" xfId="0" applyNumberFormat="1" applyFont="1" applyProtection="1">
      <alignment vertical="center"/>
      <protection hidden="1"/>
    </xf>
    <xf numFmtId="0" fontId="86" fillId="33" borderId="62" xfId="0" applyFont="1" applyFill="1" applyBorder="1" applyProtection="1">
      <alignment vertical="center"/>
      <protection hidden="1"/>
    </xf>
    <xf numFmtId="0" fontId="83" fillId="33" borderId="0" xfId="0" applyFont="1" applyFill="1" applyProtection="1">
      <alignment vertical="center"/>
      <protection hidden="1"/>
    </xf>
    <xf numFmtId="0" fontId="57" fillId="33" borderId="0" xfId="0" applyFont="1" applyFill="1" applyAlignment="1" applyProtection="1">
      <alignment horizontal="center" vertical="center"/>
      <protection hidden="1"/>
    </xf>
    <xf numFmtId="0" fontId="87" fillId="33" borderId="0" xfId="0" applyFont="1" applyFill="1" applyAlignment="1" applyProtection="1">
      <alignment horizontal="right" vertical="center"/>
      <protection hidden="1"/>
    </xf>
    <xf numFmtId="0" fontId="88" fillId="33" borderId="0" xfId="0" applyFont="1" applyFill="1" applyAlignment="1" applyProtection="1">
      <alignment horizontal="right" vertical="center"/>
      <protection hidden="1"/>
    </xf>
    <xf numFmtId="0" fontId="90" fillId="33" borderId="0" xfId="0" applyFont="1" applyFill="1" applyAlignment="1" applyProtection="1">
      <alignment horizontal="right" vertical="center"/>
      <protection hidden="1"/>
    </xf>
    <xf numFmtId="177" fontId="90" fillId="33" borderId="0" xfId="0" applyNumberFormat="1" applyFont="1" applyFill="1" applyAlignment="1" applyProtection="1">
      <alignment horizontal="right" vertical="center"/>
      <protection hidden="1"/>
    </xf>
    <xf numFmtId="0" fontId="84" fillId="33" borderId="63" xfId="0" applyFont="1" applyFill="1" applyBorder="1" applyAlignment="1" applyProtection="1">
      <alignment horizontal="right" vertical="center"/>
      <protection hidden="1"/>
    </xf>
    <xf numFmtId="182" fontId="63" fillId="0" borderId="0" xfId="0" applyNumberFormat="1" applyFont="1" applyAlignment="1" applyProtection="1">
      <alignment horizontal="left" vertical="center"/>
      <protection hidden="1"/>
    </xf>
    <xf numFmtId="0" fontId="63" fillId="0" borderId="0" xfId="0" applyFont="1" applyAlignment="1" applyProtection="1">
      <alignment horizontal="left" vertical="center"/>
      <protection hidden="1"/>
    </xf>
    <xf numFmtId="38" fontId="12" fillId="32" borderId="10" xfId="0" applyNumberFormat="1" applyFont="1" applyFill="1" applyBorder="1" applyProtection="1">
      <alignment vertical="center"/>
      <protection hidden="1"/>
    </xf>
    <xf numFmtId="0" fontId="91" fillId="0" borderId="0" xfId="0" applyFont="1" applyProtection="1">
      <alignment vertical="center"/>
      <protection hidden="1"/>
    </xf>
    <xf numFmtId="0" fontId="92" fillId="0" borderId="0" xfId="0" applyFont="1" applyAlignment="1" applyProtection="1">
      <alignment horizontal="left" vertical="center"/>
      <protection hidden="1"/>
    </xf>
    <xf numFmtId="0" fontId="93" fillId="0" borderId="0" xfId="0" applyFont="1" applyAlignment="1" applyProtection="1">
      <alignment horizontal="right" vertical="center"/>
      <protection hidden="1"/>
    </xf>
    <xf numFmtId="0" fontId="94" fillId="0" borderId="0" xfId="0" applyFont="1" applyProtection="1">
      <alignment vertical="center"/>
      <protection hidden="1"/>
    </xf>
    <xf numFmtId="182" fontId="63" fillId="0" borderId="63" xfId="0" applyNumberFormat="1" applyFont="1" applyBorder="1" applyAlignment="1" applyProtection="1">
      <alignment horizontal="center" vertical="center"/>
      <protection hidden="1"/>
    </xf>
    <xf numFmtId="38" fontId="53" fillId="32" borderId="10" xfId="0" applyNumberFormat="1" applyFont="1" applyFill="1" applyBorder="1" applyProtection="1">
      <alignment vertical="center"/>
      <protection hidden="1"/>
    </xf>
    <xf numFmtId="0" fontId="53" fillId="0" borderId="0" xfId="0" quotePrefix="1" applyFont="1" applyProtection="1">
      <alignment vertical="center"/>
      <protection hidden="1"/>
    </xf>
    <xf numFmtId="0" fontId="46" fillId="0" borderId="10" xfId="0" applyFont="1" applyBorder="1" applyAlignment="1" applyProtection="1">
      <alignment horizontal="left" vertical="center"/>
      <protection hidden="1"/>
    </xf>
    <xf numFmtId="194" fontId="46" fillId="0" borderId="10" xfId="0" applyNumberFormat="1" applyFont="1" applyBorder="1" applyAlignment="1" applyProtection="1">
      <alignment horizontal="left"/>
      <protection hidden="1"/>
    </xf>
    <xf numFmtId="177" fontId="46" fillId="0" borderId="10" xfId="0" applyNumberFormat="1" applyFont="1" applyBorder="1" applyAlignment="1" applyProtection="1">
      <alignment horizontal="right"/>
      <protection hidden="1"/>
    </xf>
    <xf numFmtId="177" fontId="46" fillId="0" borderId="10" xfId="0" applyNumberFormat="1" applyFont="1" applyBorder="1" applyProtection="1">
      <alignment vertical="center"/>
      <protection hidden="1"/>
    </xf>
    <xf numFmtId="182" fontId="27" fillId="0" borderId="0" xfId="0" applyNumberFormat="1" applyFont="1" applyAlignment="1" applyProtection="1">
      <alignment horizontal="left" vertical="center"/>
      <protection hidden="1"/>
    </xf>
    <xf numFmtId="0" fontId="7" fillId="0" borderId="10" xfId="0" applyFont="1" applyBorder="1" applyAlignment="1" applyProtection="1">
      <alignment horizontal="left" vertical="center"/>
      <protection hidden="1"/>
    </xf>
    <xf numFmtId="0" fontId="57" fillId="0" borderId="57" xfId="0" applyFont="1" applyBorder="1" applyAlignment="1" applyProtection="1">
      <alignment horizontal="center" vertical="center"/>
      <protection hidden="1"/>
    </xf>
    <xf numFmtId="0" fontId="57" fillId="0" borderId="57" xfId="0" applyFont="1" applyBorder="1" applyProtection="1">
      <alignment vertical="center"/>
      <protection hidden="1"/>
    </xf>
    <xf numFmtId="0" fontId="46" fillId="0" borderId="57" xfId="0" applyFont="1" applyBorder="1" applyProtection="1">
      <alignment vertical="center"/>
      <protection hidden="1"/>
    </xf>
    <xf numFmtId="0" fontId="46" fillId="0" borderId="79" xfId="0" applyFont="1" applyBorder="1" applyProtection="1">
      <alignment vertical="center"/>
      <protection hidden="1"/>
    </xf>
    <xf numFmtId="0" fontId="46" fillId="0" borderId="53" xfId="0" applyFont="1" applyBorder="1" applyProtection="1">
      <alignment vertical="center"/>
      <protection hidden="1"/>
    </xf>
    <xf numFmtId="0" fontId="96" fillId="33" borderId="89" xfId="0" applyFont="1" applyFill="1" applyBorder="1" applyProtection="1">
      <alignment vertical="center"/>
      <protection hidden="1"/>
    </xf>
    <xf numFmtId="0" fontId="83" fillId="33" borderId="53" xfId="0" applyFont="1" applyFill="1" applyBorder="1" applyProtection="1">
      <alignment vertical="center"/>
      <protection hidden="1"/>
    </xf>
    <xf numFmtId="0" fontId="83" fillId="33" borderId="53" xfId="0" applyFont="1" applyFill="1" applyBorder="1" applyAlignment="1" applyProtection="1">
      <alignment horizontal="right" vertical="center"/>
      <protection hidden="1"/>
    </xf>
    <xf numFmtId="182" fontId="90" fillId="33" borderId="0" xfId="0" applyNumberFormat="1" applyFont="1" applyFill="1" applyAlignment="1" applyProtection="1">
      <alignment horizontal="right" vertical="center"/>
      <protection hidden="1"/>
    </xf>
    <xf numFmtId="0" fontId="63" fillId="0" borderId="62" xfId="0" applyFont="1" applyBorder="1" applyAlignment="1" applyProtection="1">
      <alignment horizontal="left" vertical="center"/>
      <protection hidden="1"/>
    </xf>
    <xf numFmtId="1" fontId="63" fillId="0" borderId="0" xfId="0" applyNumberFormat="1" applyFont="1" applyAlignment="1" applyProtection="1">
      <alignment horizontal="left" vertical="center"/>
      <protection hidden="1"/>
    </xf>
    <xf numFmtId="0" fontId="63" fillId="0" borderId="63" xfId="0" applyFont="1" applyBorder="1" applyAlignment="1" applyProtection="1">
      <alignment horizontal="left" vertical="center"/>
      <protection hidden="1"/>
    </xf>
    <xf numFmtId="0" fontId="64" fillId="0" borderId="62" xfId="0" applyFont="1" applyBorder="1" applyProtection="1">
      <alignment vertical="center"/>
      <protection hidden="1"/>
    </xf>
    <xf numFmtId="0" fontId="97" fillId="0" borderId="0" xfId="0" applyFont="1" applyProtection="1">
      <alignment vertical="center"/>
      <protection hidden="1"/>
    </xf>
    <xf numFmtId="0" fontId="34" fillId="0" borderId="0" xfId="0" applyFont="1" applyAlignment="1" applyProtection="1">
      <alignment horizontal="right" vertical="center"/>
      <protection hidden="1"/>
    </xf>
    <xf numFmtId="1" fontId="34" fillId="0" borderId="0" xfId="0" applyNumberFormat="1" applyFont="1" applyProtection="1">
      <alignment vertical="center"/>
      <protection hidden="1"/>
    </xf>
    <xf numFmtId="0" fontId="64" fillId="0" borderId="0" xfId="0" applyFont="1" applyAlignment="1" applyProtection="1">
      <alignment horizontal="right" vertical="center"/>
      <protection hidden="1"/>
    </xf>
    <xf numFmtId="0" fontId="27" fillId="0" borderId="0" xfId="0" applyFont="1" applyAlignment="1" applyProtection="1">
      <alignment horizontal="left" vertical="center"/>
      <protection hidden="1"/>
    </xf>
    <xf numFmtId="0" fontId="46" fillId="0" borderId="10" xfId="0" applyFont="1" applyBorder="1" applyAlignment="1" applyProtection="1">
      <alignment horizontal="right"/>
      <protection hidden="1"/>
    </xf>
    <xf numFmtId="0" fontId="34" fillId="0" borderId="62" xfId="0" applyFont="1" applyBorder="1" applyProtection="1">
      <alignment vertical="center"/>
      <protection hidden="1"/>
    </xf>
    <xf numFmtId="177" fontId="53" fillId="0" borderId="0" xfId="0" applyNumberFormat="1" applyFont="1" applyProtection="1">
      <alignment vertical="center"/>
      <protection hidden="1"/>
    </xf>
    <xf numFmtId="186" fontId="46" fillId="0" borderId="10" xfId="35" applyNumberFormat="1" applyFont="1" applyFill="1" applyBorder="1" applyAlignment="1" applyProtection="1">
      <alignment horizontal="right"/>
      <protection hidden="1"/>
    </xf>
    <xf numFmtId="0" fontId="7" fillId="0" borderId="10" xfId="0" applyFont="1" applyBorder="1" applyAlignment="1" applyProtection="1">
      <alignment horizontal="left"/>
      <protection hidden="1"/>
    </xf>
    <xf numFmtId="0" fontId="34" fillId="0" borderId="65" xfId="0" applyFont="1" applyBorder="1" applyProtection="1">
      <alignment vertical="center"/>
      <protection hidden="1"/>
    </xf>
    <xf numFmtId="0" fontId="34" fillId="0" borderId="66" xfId="0" applyFont="1" applyBorder="1" applyProtection="1">
      <alignment vertical="center"/>
      <protection hidden="1"/>
    </xf>
    <xf numFmtId="0" fontId="34" fillId="0" borderId="66" xfId="0" applyFont="1" applyBorder="1" applyAlignment="1" applyProtection="1">
      <alignment horizontal="right" vertical="center"/>
      <protection hidden="1"/>
    </xf>
    <xf numFmtId="0" fontId="57" fillId="0" borderId="66" xfId="0" applyFont="1" applyBorder="1" applyProtection="1">
      <alignment vertical="center"/>
      <protection hidden="1"/>
    </xf>
    <xf numFmtId="0" fontId="27" fillId="0" borderId="66" xfId="0" applyFont="1" applyBorder="1" applyAlignment="1" applyProtection="1">
      <alignment horizontal="left" vertical="center"/>
      <protection hidden="1"/>
    </xf>
    <xf numFmtId="0" fontId="64" fillId="0" borderId="66" xfId="0" applyFont="1" applyBorder="1" applyProtection="1">
      <alignment vertical="center"/>
      <protection hidden="1"/>
    </xf>
    <xf numFmtId="0" fontId="64" fillId="0" borderId="67" xfId="0" applyFont="1" applyBorder="1" applyProtection="1">
      <alignment vertical="center"/>
      <protection hidden="1"/>
    </xf>
    <xf numFmtId="0" fontId="0" fillId="0" borderId="10" xfId="0" applyBorder="1" applyProtection="1">
      <alignment vertical="center"/>
      <protection hidden="1"/>
    </xf>
    <xf numFmtId="177" fontId="46" fillId="34" borderId="10" xfId="0" applyNumberFormat="1" applyFont="1" applyFill="1" applyBorder="1" applyAlignment="1" applyProtection="1">
      <alignment horizontal="right"/>
      <protection hidden="1"/>
    </xf>
    <xf numFmtId="0" fontId="76" fillId="0" borderId="0" xfId="0" applyFont="1" applyProtection="1">
      <alignment vertical="center"/>
      <protection hidden="1"/>
    </xf>
    <xf numFmtId="0" fontId="27" fillId="0" borderId="0" xfId="0" applyFont="1" applyAlignment="1" applyProtection="1">
      <alignment horizontal="right" vertical="center"/>
      <protection hidden="1"/>
    </xf>
    <xf numFmtId="0" fontId="46" fillId="0" borderId="0" xfId="0" applyFont="1" applyAlignment="1" applyProtection="1">
      <alignment horizontal="right"/>
      <protection hidden="1"/>
    </xf>
    <xf numFmtId="0" fontId="83" fillId="30" borderId="60" xfId="0" applyFont="1" applyFill="1" applyBorder="1" applyProtection="1">
      <alignment vertical="center"/>
      <protection hidden="1"/>
    </xf>
    <xf numFmtId="0" fontId="83" fillId="30" borderId="60" xfId="0" applyFont="1" applyFill="1" applyBorder="1" applyAlignment="1" applyProtection="1">
      <alignment horizontal="right" vertical="center"/>
      <protection hidden="1"/>
    </xf>
    <xf numFmtId="0" fontId="98" fillId="30" borderId="60" xfId="0" applyFont="1" applyFill="1" applyBorder="1" applyAlignment="1" applyProtection="1">
      <alignment horizontal="right" vertical="top"/>
      <protection hidden="1"/>
    </xf>
    <xf numFmtId="0" fontId="57" fillId="30" borderId="60" xfId="0" applyFont="1" applyFill="1" applyBorder="1" applyAlignment="1" applyProtection="1">
      <alignment horizontal="center" vertical="center"/>
      <protection hidden="1"/>
    </xf>
    <xf numFmtId="0" fontId="64" fillId="30" borderId="60" xfId="0" applyFont="1" applyFill="1" applyBorder="1" applyProtection="1">
      <alignment vertical="center"/>
      <protection hidden="1"/>
    </xf>
    <xf numFmtId="0" fontId="98" fillId="30" borderId="61" xfId="0" applyFont="1" applyFill="1" applyBorder="1" applyAlignment="1" applyProtection="1">
      <alignment horizontal="right" vertical="center"/>
      <protection hidden="1"/>
    </xf>
    <xf numFmtId="0" fontId="5" fillId="35" borderId="89" xfId="0" applyFont="1" applyFill="1" applyBorder="1" applyProtection="1">
      <alignment vertical="center"/>
      <protection hidden="1"/>
    </xf>
    <xf numFmtId="0" fontId="83" fillId="35" borderId="53" xfId="0" applyFont="1" applyFill="1" applyBorder="1" applyProtection="1">
      <alignment vertical="center"/>
      <protection hidden="1"/>
    </xf>
    <xf numFmtId="0" fontId="83" fillId="35" borderId="53" xfId="0" applyFont="1" applyFill="1" applyBorder="1" applyAlignment="1" applyProtection="1">
      <alignment horizontal="right" vertical="center"/>
      <protection hidden="1"/>
    </xf>
    <xf numFmtId="0" fontId="99" fillId="35" borderId="54" xfId="0" applyFont="1" applyFill="1" applyBorder="1" applyProtection="1">
      <alignment vertical="center"/>
      <protection hidden="1"/>
    </xf>
    <xf numFmtId="0" fontId="5" fillId="35" borderId="53" xfId="0" applyFont="1" applyFill="1" applyBorder="1" applyProtection="1">
      <alignment vertical="center"/>
      <protection hidden="1"/>
    </xf>
    <xf numFmtId="0" fontId="99" fillId="35" borderId="53" xfId="0" applyFont="1" applyFill="1" applyBorder="1" applyAlignment="1" applyProtection="1">
      <alignment horizontal="center" vertical="center"/>
      <protection hidden="1"/>
    </xf>
    <xf numFmtId="0" fontId="99" fillId="35" borderId="90" xfId="0" applyFont="1" applyFill="1" applyBorder="1" applyAlignment="1" applyProtection="1">
      <alignment horizontal="center" vertical="center"/>
      <protection hidden="1"/>
    </xf>
    <xf numFmtId="195" fontId="46" fillId="0" borderId="0" xfId="0" applyNumberFormat="1" applyFont="1" applyProtection="1">
      <alignment vertical="center"/>
      <protection hidden="1"/>
    </xf>
    <xf numFmtId="0" fontId="100" fillId="35" borderId="89" xfId="0" applyFont="1" applyFill="1" applyBorder="1" applyProtection="1">
      <alignment vertical="center"/>
      <protection hidden="1"/>
    </xf>
    <xf numFmtId="0" fontId="99" fillId="35" borderId="54" xfId="0" applyFont="1" applyFill="1" applyBorder="1" applyAlignment="1" applyProtection="1">
      <alignment horizontal="center" vertical="center"/>
      <protection hidden="1"/>
    </xf>
    <xf numFmtId="0" fontId="100" fillId="35" borderId="64" xfId="0" applyFont="1" applyFill="1" applyBorder="1">
      <alignment vertical="center"/>
    </xf>
    <xf numFmtId="0" fontId="99" fillId="35" borderId="0" xfId="0" applyFont="1" applyFill="1" applyAlignment="1" applyProtection="1">
      <alignment horizontal="center" vertical="center"/>
      <protection hidden="1"/>
    </xf>
    <xf numFmtId="0" fontId="99" fillId="35" borderId="17" xfId="0" applyFont="1" applyFill="1" applyBorder="1" applyAlignment="1" applyProtection="1">
      <alignment horizontal="center" vertical="center"/>
      <protection hidden="1"/>
    </xf>
    <xf numFmtId="0" fontId="100" fillId="35" borderId="52" xfId="0" applyFont="1" applyFill="1" applyBorder="1">
      <alignment vertical="center"/>
    </xf>
    <xf numFmtId="0" fontId="99" fillId="35" borderId="0" xfId="0" applyFont="1" applyFill="1" applyAlignment="1" applyProtection="1">
      <alignment horizontal="left" vertical="center"/>
      <protection hidden="1"/>
    </xf>
    <xf numFmtId="0" fontId="83" fillId="35" borderId="0" xfId="0" applyFont="1" applyFill="1" applyAlignment="1" applyProtection="1">
      <alignment horizontal="right" vertical="center"/>
      <protection hidden="1"/>
    </xf>
    <xf numFmtId="0" fontId="83" fillId="35" borderId="63" xfId="0" applyFont="1" applyFill="1" applyBorder="1" applyAlignment="1" applyProtection="1">
      <alignment horizontal="right" vertical="center"/>
      <protection hidden="1"/>
    </xf>
    <xf numFmtId="0" fontId="100" fillId="35" borderId="89" xfId="0" applyFont="1" applyFill="1" applyBorder="1">
      <alignment vertical="center"/>
    </xf>
    <xf numFmtId="0" fontId="99" fillId="35" borderId="53" xfId="0" applyFont="1" applyFill="1" applyBorder="1" applyAlignment="1" applyProtection="1">
      <alignment horizontal="left" vertical="center"/>
      <protection hidden="1"/>
    </xf>
    <xf numFmtId="0" fontId="83" fillId="35" borderId="54" xfId="0" applyFont="1" applyFill="1" applyBorder="1" applyAlignment="1" applyProtection="1">
      <alignment horizontal="right" vertical="center"/>
      <protection hidden="1"/>
    </xf>
    <xf numFmtId="0" fontId="100" fillId="35" borderId="0" xfId="0" applyFont="1" applyFill="1">
      <alignment vertical="center"/>
    </xf>
    <xf numFmtId="0" fontId="100" fillId="35" borderId="53" xfId="0" applyFont="1" applyFill="1" applyBorder="1">
      <alignment vertical="center"/>
    </xf>
    <xf numFmtId="0" fontId="83" fillId="35" borderId="90" xfId="0" applyFont="1" applyFill="1" applyBorder="1" applyAlignment="1" applyProtection="1">
      <alignment horizontal="right" vertical="center"/>
      <protection hidden="1"/>
    </xf>
    <xf numFmtId="0" fontId="60" fillId="36" borderId="68" xfId="0" applyFont="1" applyFill="1" applyBorder="1" applyProtection="1">
      <alignment vertical="center"/>
      <protection hidden="1"/>
    </xf>
    <xf numFmtId="0" fontId="83" fillId="36" borderId="69" xfId="0" applyFont="1" applyFill="1" applyBorder="1" applyProtection="1">
      <alignment vertical="center"/>
      <protection hidden="1"/>
    </xf>
    <xf numFmtId="0" fontId="83" fillId="36" borderId="69" xfId="0" applyFont="1" applyFill="1" applyBorder="1" applyAlignment="1" applyProtection="1">
      <alignment horizontal="right" vertical="center"/>
      <protection hidden="1"/>
    </xf>
    <xf numFmtId="0" fontId="84" fillId="36" borderId="69" xfId="0" applyFont="1" applyFill="1" applyBorder="1" applyAlignment="1" applyProtection="1">
      <alignment vertical="top"/>
      <protection hidden="1"/>
    </xf>
    <xf numFmtId="0" fontId="64" fillId="36" borderId="69" xfId="0" applyFont="1" applyFill="1" applyBorder="1" applyProtection="1">
      <alignment vertical="center"/>
      <protection hidden="1"/>
    </xf>
    <xf numFmtId="0" fontId="98" fillId="36" borderId="69" xfId="0" applyFont="1" applyFill="1" applyBorder="1" applyProtection="1">
      <alignment vertical="center"/>
      <protection hidden="1"/>
    </xf>
    <xf numFmtId="0" fontId="84" fillId="36" borderId="71" xfId="0" applyFont="1" applyFill="1" applyBorder="1" applyAlignment="1" applyProtection="1">
      <alignment horizontal="right" vertical="center"/>
      <protection hidden="1"/>
    </xf>
    <xf numFmtId="0" fontId="60" fillId="37" borderId="59" xfId="0" applyFont="1" applyFill="1" applyBorder="1" applyProtection="1">
      <alignment vertical="center"/>
      <protection hidden="1"/>
    </xf>
    <xf numFmtId="0" fontId="83" fillId="37" borderId="60" xfId="0" applyFont="1" applyFill="1" applyBorder="1" applyProtection="1">
      <alignment vertical="center"/>
      <protection hidden="1"/>
    </xf>
    <xf numFmtId="0" fontId="83" fillId="37" borderId="60" xfId="0" applyFont="1" applyFill="1" applyBorder="1" applyAlignment="1" applyProtection="1">
      <alignment horizontal="right" vertical="center"/>
      <protection hidden="1"/>
    </xf>
    <xf numFmtId="0" fontId="98" fillId="37" borderId="60" xfId="0" applyFont="1" applyFill="1" applyBorder="1" applyProtection="1">
      <alignment vertical="center"/>
      <protection hidden="1"/>
    </xf>
    <xf numFmtId="0" fontId="3" fillId="37" borderId="60" xfId="0" applyFont="1" applyFill="1" applyBorder="1" applyProtection="1">
      <alignment vertical="center"/>
      <protection hidden="1"/>
    </xf>
    <xf numFmtId="0" fontId="64" fillId="37" borderId="60" xfId="0" applyFont="1" applyFill="1" applyBorder="1" applyProtection="1">
      <alignment vertical="center"/>
      <protection hidden="1"/>
    </xf>
    <xf numFmtId="0" fontId="3" fillId="37" borderId="61" xfId="0" applyFont="1" applyFill="1" applyBorder="1" applyAlignment="1" applyProtection="1">
      <alignment horizontal="right" vertical="center"/>
      <protection hidden="1"/>
    </xf>
    <xf numFmtId="0" fontId="56" fillId="38" borderId="59" xfId="0" applyFont="1" applyFill="1" applyBorder="1" applyAlignment="1" applyProtection="1">
      <alignment horizontal="left" vertical="center"/>
      <protection hidden="1"/>
    </xf>
    <xf numFmtId="0" fontId="56" fillId="38" borderId="60" xfId="0" applyFont="1" applyFill="1" applyBorder="1" applyAlignment="1" applyProtection="1">
      <alignment horizontal="left" vertical="center"/>
      <protection hidden="1"/>
    </xf>
    <xf numFmtId="0" fontId="56" fillId="38" borderId="60" xfId="0" applyFont="1" applyFill="1" applyBorder="1" applyAlignment="1" applyProtection="1">
      <alignment horizontal="right" vertical="center"/>
      <protection hidden="1"/>
    </xf>
    <xf numFmtId="0" fontId="37" fillId="31" borderId="60" xfId="0" applyFont="1" applyFill="1" applyBorder="1" applyProtection="1">
      <alignment vertical="center"/>
      <protection hidden="1"/>
    </xf>
    <xf numFmtId="0" fontId="34" fillId="31" borderId="60" xfId="0" applyFont="1" applyFill="1" applyBorder="1" applyProtection="1">
      <alignment vertical="center"/>
      <protection hidden="1"/>
    </xf>
    <xf numFmtId="0" fontId="64" fillId="31" borderId="60" xfId="0" applyFont="1" applyFill="1" applyBorder="1" applyProtection="1">
      <alignment vertical="center"/>
      <protection hidden="1"/>
    </xf>
    <xf numFmtId="0" fontId="34" fillId="31" borderId="61" xfId="0" applyFont="1" applyFill="1" applyBorder="1" applyAlignment="1" applyProtection="1">
      <alignment horizontal="right" vertical="center"/>
      <protection hidden="1"/>
    </xf>
    <xf numFmtId="0" fontId="56" fillId="38" borderId="62" xfId="0" applyFont="1" applyFill="1" applyBorder="1" applyAlignment="1" applyProtection="1">
      <alignment horizontal="left" vertical="center"/>
      <protection hidden="1"/>
    </xf>
    <xf numFmtId="49" fontId="33" fillId="38" borderId="0" xfId="0" applyNumberFormat="1" applyFont="1" applyFill="1" applyAlignment="1" applyProtection="1">
      <alignment horizontal="left" vertical="center"/>
      <protection hidden="1"/>
    </xf>
    <xf numFmtId="49" fontId="34" fillId="38" borderId="0" xfId="0" applyNumberFormat="1" applyFont="1" applyFill="1" applyAlignment="1" applyProtection="1">
      <alignment horizontal="right" vertical="center"/>
      <protection hidden="1"/>
    </xf>
    <xf numFmtId="49" fontId="27" fillId="24" borderId="0" xfId="0" applyNumberFormat="1" applyFont="1" applyFill="1" applyAlignment="1" applyProtection="1">
      <alignment horizontal="left" vertical="center"/>
      <protection locked="0"/>
    </xf>
    <xf numFmtId="49" fontId="33" fillId="0" borderId="0" xfId="0" applyNumberFormat="1" applyFont="1" applyAlignment="1" applyProtection="1">
      <alignment horizontal="left" vertical="center"/>
      <protection hidden="1"/>
    </xf>
    <xf numFmtId="49" fontId="34" fillId="0" borderId="0" xfId="0" applyNumberFormat="1" applyFont="1" applyAlignment="1" applyProtection="1">
      <alignment horizontal="left" vertical="center"/>
      <protection hidden="1"/>
    </xf>
    <xf numFmtId="49" fontId="27" fillId="24" borderId="0" xfId="0" applyNumberFormat="1" applyFont="1" applyFill="1" applyAlignment="1" applyProtection="1">
      <alignment horizontal="right" vertical="center"/>
      <protection locked="0"/>
    </xf>
    <xf numFmtId="0" fontId="34" fillId="24" borderId="0" xfId="0" applyFont="1" applyFill="1" applyAlignment="1" applyProtection="1">
      <alignment horizontal="center" vertical="center"/>
      <protection locked="0"/>
    </xf>
    <xf numFmtId="0" fontId="34" fillId="0" borderId="0" xfId="0" applyFont="1" applyAlignment="1" applyProtection="1">
      <alignment horizontal="center" vertical="center"/>
      <protection hidden="1"/>
    </xf>
    <xf numFmtId="49" fontId="27" fillId="0" borderId="0" xfId="0" applyNumberFormat="1" applyFont="1" applyAlignment="1" applyProtection="1">
      <alignment horizontal="center" vertical="center"/>
      <protection hidden="1"/>
    </xf>
    <xf numFmtId="49" fontId="27" fillId="0" borderId="63" xfId="0" applyNumberFormat="1" applyFont="1" applyBorder="1" applyAlignment="1" applyProtection="1">
      <alignment horizontal="left" vertical="center"/>
      <protection hidden="1"/>
    </xf>
    <xf numFmtId="0" fontId="33" fillId="38" borderId="0" xfId="0" applyFont="1" applyFill="1" applyProtection="1">
      <alignment vertical="center"/>
      <protection hidden="1"/>
    </xf>
    <xf numFmtId="0" fontId="34" fillId="38" borderId="0" xfId="0" applyFont="1" applyFill="1" applyAlignment="1" applyProtection="1">
      <alignment horizontal="right" vertical="center"/>
      <protection hidden="1"/>
    </xf>
    <xf numFmtId="0" fontId="34" fillId="24" borderId="0" xfId="0" applyFont="1" applyFill="1" applyProtection="1">
      <alignment vertical="center"/>
      <protection locked="0"/>
    </xf>
    <xf numFmtId="0" fontId="34" fillId="24" borderId="0" xfId="0" applyFont="1" applyFill="1" applyAlignment="1" applyProtection="1">
      <alignment horizontal="right" vertical="center"/>
      <protection locked="0"/>
    </xf>
    <xf numFmtId="0" fontId="34" fillId="0" borderId="63" xfId="0" applyFont="1" applyBorder="1" applyProtection="1">
      <alignment vertical="center"/>
      <protection hidden="1"/>
    </xf>
    <xf numFmtId="0" fontId="80" fillId="0" borderId="0" xfId="0" applyFont="1" applyProtection="1">
      <alignment vertical="center"/>
      <protection hidden="1"/>
    </xf>
    <xf numFmtId="0" fontId="80" fillId="38" borderId="62" xfId="0" applyFont="1" applyFill="1" applyBorder="1" applyProtection="1">
      <alignment vertical="center"/>
      <protection hidden="1"/>
    </xf>
    <xf numFmtId="0" fontId="33" fillId="38" borderId="0" xfId="0" applyFont="1" applyFill="1" applyAlignment="1" applyProtection="1">
      <alignment horizontal="left" vertical="center"/>
      <protection hidden="1"/>
    </xf>
    <xf numFmtId="49" fontId="34" fillId="0" borderId="0" xfId="0" applyNumberFormat="1" applyFont="1" applyAlignment="1" applyProtection="1">
      <alignment horizontal="center" vertical="center"/>
      <protection hidden="1"/>
    </xf>
    <xf numFmtId="0" fontId="34" fillId="38" borderId="0" xfId="0" applyFont="1" applyFill="1" applyAlignment="1" applyProtection="1">
      <alignment horizontal="left" vertical="center"/>
      <protection hidden="1"/>
    </xf>
    <xf numFmtId="49" fontId="34" fillId="0" borderId="63" xfId="0" applyNumberFormat="1" applyFont="1" applyBorder="1" applyAlignment="1" applyProtection="1">
      <alignment horizontal="left" vertical="center"/>
      <protection hidden="1"/>
    </xf>
    <xf numFmtId="0" fontId="33" fillId="0" borderId="0" xfId="0" applyFont="1" applyProtection="1">
      <alignment vertical="center"/>
      <protection hidden="1"/>
    </xf>
    <xf numFmtId="0" fontId="56" fillId="38" borderId="65" xfId="0" applyFont="1" applyFill="1" applyBorder="1" applyAlignment="1" applyProtection="1">
      <alignment horizontal="left" vertical="center"/>
      <protection hidden="1"/>
    </xf>
    <xf numFmtId="0" fontId="34" fillId="24" borderId="66" xfId="0" applyFont="1" applyFill="1" applyBorder="1" applyAlignment="1" applyProtection="1">
      <alignment horizontal="left" vertical="center"/>
      <protection locked="0"/>
    </xf>
    <xf numFmtId="0" fontId="34" fillId="38" borderId="66" xfId="0" applyFont="1" applyFill="1" applyBorder="1" applyAlignment="1" applyProtection="1">
      <alignment horizontal="right" vertical="center"/>
      <protection hidden="1"/>
    </xf>
    <xf numFmtId="0" fontId="34" fillId="24" borderId="66" xfId="0" applyFont="1" applyFill="1" applyBorder="1" applyProtection="1">
      <alignment vertical="center"/>
      <protection locked="0"/>
    </xf>
    <xf numFmtId="0" fontId="33" fillId="0" borderId="66" xfId="0" applyFont="1" applyBorder="1" applyProtection="1">
      <alignment vertical="center"/>
      <protection hidden="1"/>
    </xf>
    <xf numFmtId="0" fontId="34" fillId="24" borderId="66" xfId="0" applyFont="1" applyFill="1" applyBorder="1" applyAlignment="1" applyProtection="1">
      <alignment horizontal="right" vertical="center"/>
      <protection locked="0"/>
    </xf>
    <xf numFmtId="0" fontId="34" fillId="0" borderId="66" xfId="0" applyFont="1" applyBorder="1" applyAlignment="1" applyProtection="1">
      <alignment horizontal="center" vertical="center"/>
      <protection hidden="1"/>
    </xf>
    <xf numFmtId="0" fontId="34" fillId="0" borderId="67" xfId="0" applyFont="1" applyBorder="1" applyProtection="1">
      <alignment vertical="center"/>
      <protection hidden="1"/>
    </xf>
    <xf numFmtId="0" fontId="60" fillId="37" borderId="68" xfId="0" applyFont="1" applyFill="1" applyBorder="1" applyAlignment="1" applyProtection="1">
      <alignment horizontal="left" vertical="center"/>
      <protection hidden="1"/>
    </xf>
    <xf numFmtId="0" fontId="98" fillId="37" borderId="69" xfId="0" applyFont="1" applyFill="1" applyBorder="1" applyAlignment="1" applyProtection="1">
      <alignment horizontal="left" vertical="center"/>
      <protection hidden="1"/>
    </xf>
    <xf numFmtId="0" fontId="98" fillId="37" borderId="69" xfId="0" applyFont="1" applyFill="1" applyBorder="1" applyAlignment="1" applyProtection="1">
      <alignment horizontal="right" vertical="center"/>
      <protection hidden="1"/>
    </xf>
    <xf numFmtId="0" fontId="98" fillId="37" borderId="69" xfId="0" applyFont="1" applyFill="1" applyBorder="1" applyProtection="1">
      <alignment vertical="center"/>
      <protection hidden="1"/>
    </xf>
    <xf numFmtId="0" fontId="103" fillId="37" borderId="69" xfId="0" applyFont="1" applyFill="1" applyBorder="1" applyProtection="1">
      <alignment vertical="center"/>
      <protection hidden="1"/>
    </xf>
    <xf numFmtId="0" fontId="103" fillId="37" borderId="71" xfId="0" applyFont="1" applyFill="1" applyBorder="1" applyProtection="1">
      <alignment vertical="center"/>
      <protection hidden="1"/>
    </xf>
    <xf numFmtId="0" fontId="5" fillId="33" borderId="59" xfId="0" applyFont="1" applyFill="1" applyBorder="1" applyProtection="1">
      <alignment vertical="center"/>
      <protection hidden="1"/>
    </xf>
    <xf numFmtId="0" fontId="99" fillId="33" borderId="60" xfId="0" applyFont="1" applyFill="1" applyBorder="1" applyProtection="1">
      <alignment vertical="center"/>
      <protection hidden="1"/>
    </xf>
    <xf numFmtId="0" fontId="99" fillId="33" borderId="60" xfId="0" applyFont="1" applyFill="1" applyBorder="1" applyAlignment="1" applyProtection="1">
      <alignment horizontal="right" vertical="center"/>
      <protection hidden="1"/>
    </xf>
    <xf numFmtId="182" fontId="61" fillId="33" borderId="60" xfId="0" applyNumberFormat="1" applyFont="1" applyFill="1" applyBorder="1" applyAlignment="1" applyProtection="1">
      <alignment horizontal="center" vertical="center"/>
      <protection hidden="1"/>
    </xf>
    <xf numFmtId="0" fontId="80" fillId="33" borderId="60" xfId="0" applyFont="1" applyFill="1" applyBorder="1" applyProtection="1">
      <alignment vertical="center"/>
      <protection hidden="1"/>
    </xf>
    <xf numFmtId="0" fontId="5" fillId="33" borderId="91" xfId="0" applyFont="1" applyFill="1" applyBorder="1" applyProtection="1">
      <alignment vertical="center"/>
      <protection hidden="1"/>
    </xf>
    <xf numFmtId="0" fontId="61" fillId="33" borderId="60" xfId="0" applyFont="1" applyFill="1" applyBorder="1" applyProtection="1">
      <alignment vertical="center"/>
      <protection hidden="1"/>
    </xf>
    <xf numFmtId="0" fontId="61" fillId="33" borderId="60" xfId="0" applyFont="1" applyFill="1" applyBorder="1" applyAlignment="1" applyProtection="1">
      <alignment horizontal="right" vertical="center"/>
      <protection hidden="1"/>
    </xf>
    <xf numFmtId="0" fontId="99" fillId="33" borderId="61" xfId="0" applyFont="1" applyFill="1" applyBorder="1" applyProtection="1">
      <alignment vertical="center"/>
      <protection hidden="1"/>
    </xf>
    <xf numFmtId="0" fontId="64" fillId="0" borderId="62" xfId="0" applyFont="1" applyBorder="1" applyAlignment="1" applyProtection="1">
      <alignment horizontal="left" vertical="center"/>
      <protection hidden="1"/>
    </xf>
    <xf numFmtId="0" fontId="104" fillId="24" borderId="0" xfId="0" applyFont="1" applyFill="1" applyAlignment="1" applyProtection="1">
      <alignment horizontal="left" vertical="center"/>
      <protection locked="0"/>
    </xf>
    <xf numFmtId="0" fontId="105" fillId="0" borderId="0" xfId="0" applyFont="1" applyAlignment="1" applyProtection="1">
      <alignment horizontal="right" vertical="center"/>
      <protection hidden="1"/>
    </xf>
    <xf numFmtId="0" fontId="104" fillId="24" borderId="64" xfId="0" applyFont="1" applyFill="1" applyBorder="1" applyAlignment="1" applyProtection="1">
      <alignment horizontal="left" vertical="center"/>
      <protection locked="0"/>
    </xf>
    <xf numFmtId="0" fontId="81" fillId="0" borderId="0" xfId="0" applyFont="1" applyProtection="1">
      <alignment vertical="center"/>
      <protection hidden="1"/>
    </xf>
    <xf numFmtId="0" fontId="64" fillId="0" borderId="65" xfId="0" applyFont="1" applyBorder="1" applyAlignment="1" applyProtection="1">
      <alignment horizontal="left" vertical="center"/>
      <protection hidden="1"/>
    </xf>
    <xf numFmtId="0" fontId="105" fillId="24" borderId="66" xfId="0" applyFont="1" applyFill="1" applyBorder="1" applyAlignment="1" applyProtection="1">
      <alignment horizontal="left" vertical="center"/>
      <protection locked="0"/>
    </xf>
    <xf numFmtId="0" fontId="105" fillId="0" borderId="66" xfId="0" applyFont="1" applyBorder="1" applyAlignment="1" applyProtection="1">
      <alignment horizontal="right" vertical="center"/>
      <protection hidden="1"/>
    </xf>
    <xf numFmtId="0" fontId="105" fillId="24" borderId="83" xfId="0" applyFont="1" applyFill="1" applyBorder="1" applyAlignment="1" applyProtection="1">
      <alignment horizontal="left" vertical="center"/>
      <protection locked="0"/>
    </xf>
    <xf numFmtId="0" fontId="39" fillId="0" borderId="66" xfId="0" applyFont="1" applyBorder="1" applyAlignment="1" applyProtection="1">
      <alignment horizontal="left" vertical="top"/>
      <protection hidden="1"/>
    </xf>
    <xf numFmtId="0" fontId="39" fillId="0" borderId="67" xfId="0" applyFont="1" applyBorder="1" applyAlignment="1" applyProtection="1">
      <alignment horizontal="left" vertical="top"/>
      <protection hidden="1"/>
    </xf>
    <xf numFmtId="0" fontId="106" fillId="0" borderId="52" xfId="0" quotePrefix="1" applyFont="1" applyBorder="1" applyAlignment="1" applyProtection="1">
      <alignment horizontal="left" vertical="center"/>
      <protection hidden="1"/>
    </xf>
    <xf numFmtId="0" fontId="107" fillId="0" borderId="53" xfId="0" applyFont="1" applyBorder="1" applyAlignment="1" applyProtection="1">
      <alignment horizontal="right" vertical="center"/>
      <protection hidden="1"/>
    </xf>
    <xf numFmtId="0" fontId="56" fillId="0" borderId="53" xfId="0" applyFont="1" applyBorder="1" applyAlignment="1" applyProtection="1">
      <alignment horizontal="right" vertical="center"/>
      <protection hidden="1"/>
    </xf>
    <xf numFmtId="0" fontId="107" fillId="0" borderId="53" xfId="0" quotePrefix="1" applyFont="1" applyBorder="1" applyAlignment="1" applyProtection="1">
      <alignment horizontal="left" vertical="center"/>
      <protection hidden="1"/>
    </xf>
    <xf numFmtId="0" fontId="53" fillId="0" borderId="53" xfId="0" applyFont="1" applyBorder="1" applyProtection="1">
      <alignment vertical="center"/>
      <protection hidden="1"/>
    </xf>
    <xf numFmtId="0" fontId="107" fillId="0" borderId="53" xfId="0" quotePrefix="1" applyFont="1" applyBorder="1" applyAlignment="1" applyProtection="1">
      <alignment horizontal="center" vertical="center"/>
      <protection hidden="1"/>
    </xf>
    <xf numFmtId="0" fontId="107" fillId="0" borderId="53" xfId="0" applyFont="1" applyBorder="1" applyAlignment="1" applyProtection="1">
      <alignment horizontal="center" vertical="center"/>
      <protection hidden="1"/>
    </xf>
    <xf numFmtId="0" fontId="107" fillId="0" borderId="53" xfId="0" applyFont="1" applyBorder="1" applyProtection="1">
      <alignment vertical="center"/>
      <protection hidden="1"/>
    </xf>
    <xf numFmtId="0" fontId="107" fillId="0" borderId="54" xfId="0" applyFont="1" applyBorder="1" applyProtection="1">
      <alignment vertical="center"/>
      <protection hidden="1"/>
    </xf>
    <xf numFmtId="0" fontId="106" fillId="0" borderId="64" xfId="0" quotePrefix="1" applyFont="1" applyBorder="1" applyAlignment="1" applyProtection="1">
      <alignment horizontal="left" vertical="center"/>
      <protection hidden="1"/>
    </xf>
    <xf numFmtId="0" fontId="108" fillId="0" borderId="0" xfId="0" applyFont="1" applyAlignment="1" applyProtection="1">
      <alignment horizontal="right" vertical="center"/>
      <protection hidden="1"/>
    </xf>
    <xf numFmtId="0" fontId="107" fillId="0" borderId="0" xfId="0" applyFont="1" applyAlignment="1" applyProtection="1">
      <alignment horizontal="center" vertical="center"/>
      <protection hidden="1"/>
    </xf>
    <xf numFmtId="0" fontId="107" fillId="0" borderId="0" xfId="0" applyFont="1" applyAlignment="1" applyProtection="1">
      <alignment horizontal="right" vertical="center"/>
      <protection hidden="1"/>
    </xf>
    <xf numFmtId="0" fontId="107" fillId="0" borderId="17" xfId="0" applyFont="1" applyBorder="1" applyAlignment="1" applyProtection="1">
      <alignment horizontal="right" vertical="center"/>
      <protection hidden="1"/>
    </xf>
    <xf numFmtId="0" fontId="108" fillId="0" borderId="0" xfId="0" applyFont="1" applyAlignment="1" applyProtection="1">
      <alignment horizontal="left" vertical="center"/>
      <protection hidden="1"/>
    </xf>
    <xf numFmtId="0" fontId="108" fillId="0" borderId="0" xfId="0" quotePrefix="1" applyFont="1" applyAlignment="1" applyProtection="1">
      <alignment horizontal="left" vertical="center"/>
      <protection hidden="1"/>
    </xf>
    <xf numFmtId="0" fontId="64" fillId="0" borderId="0" xfId="0" quotePrefix="1" applyFont="1" applyAlignment="1" applyProtection="1">
      <alignment horizontal="left" vertical="center"/>
      <protection hidden="1"/>
    </xf>
    <xf numFmtId="0" fontId="109" fillId="0" borderId="0" xfId="0" quotePrefix="1" applyFont="1" applyAlignment="1" applyProtection="1">
      <alignment horizontal="center" vertical="center"/>
      <protection hidden="1"/>
    </xf>
    <xf numFmtId="0" fontId="109" fillId="0" borderId="0" xfId="0" applyFont="1" applyAlignment="1" applyProtection="1">
      <alignment horizontal="center" vertical="center"/>
      <protection hidden="1"/>
    </xf>
    <xf numFmtId="0" fontId="64" fillId="0" borderId="17" xfId="0" applyFont="1" applyBorder="1" applyProtection="1">
      <alignment vertical="center"/>
      <protection hidden="1"/>
    </xf>
    <xf numFmtId="178" fontId="53" fillId="0" borderId="0" xfId="0" applyNumberFormat="1" applyFont="1" applyProtection="1">
      <alignment vertical="center"/>
      <protection hidden="1"/>
    </xf>
    <xf numFmtId="0" fontId="56" fillId="0" borderId="64" xfId="0" applyFont="1" applyBorder="1" applyAlignment="1" applyProtection="1">
      <alignment horizontal="left" vertical="center"/>
      <protection hidden="1"/>
    </xf>
    <xf numFmtId="0" fontId="109" fillId="0" borderId="0" xfId="0" applyFont="1" applyProtection="1">
      <alignment vertical="center"/>
      <protection hidden="1"/>
    </xf>
    <xf numFmtId="0" fontId="56" fillId="0" borderId="56" xfId="0" applyFont="1" applyBorder="1" applyAlignment="1" applyProtection="1">
      <alignment horizontal="left" vertical="center"/>
      <protection hidden="1"/>
    </xf>
    <xf numFmtId="0" fontId="108" fillId="0" borderId="57" xfId="0" applyFont="1" applyBorder="1" applyAlignment="1" applyProtection="1">
      <alignment horizontal="right" vertical="center"/>
      <protection hidden="1"/>
    </xf>
    <xf numFmtId="0" fontId="108" fillId="0" borderId="57" xfId="0" applyFont="1" applyBorder="1" applyAlignment="1" applyProtection="1">
      <alignment horizontal="left" vertical="center"/>
      <protection hidden="1"/>
    </xf>
    <xf numFmtId="0" fontId="56" fillId="0" borderId="57" xfId="0" applyFont="1" applyBorder="1" applyProtection="1">
      <alignment vertical="center"/>
      <protection hidden="1"/>
    </xf>
    <xf numFmtId="0" fontId="109" fillId="0" borderId="57" xfId="0" applyFont="1" applyBorder="1" applyProtection="1">
      <alignment vertical="center"/>
      <protection hidden="1"/>
    </xf>
    <xf numFmtId="0" fontId="64" fillId="0" borderId="57" xfId="0" applyFont="1" applyBorder="1" applyProtection="1">
      <alignment vertical="center"/>
      <protection hidden="1"/>
    </xf>
    <xf numFmtId="0" fontId="64" fillId="0" borderId="58" xfId="0" applyFont="1" applyBorder="1" applyProtection="1">
      <alignment vertical="center"/>
      <protection hidden="1"/>
    </xf>
    <xf numFmtId="0" fontId="64" fillId="0" borderId="0" xfId="0" applyFont="1" applyAlignment="1" applyProtection="1">
      <alignment horizontal="left" vertical="center"/>
      <protection hidden="1"/>
    </xf>
    <xf numFmtId="0" fontId="110" fillId="0" borderId="0" xfId="0" quotePrefix="1" applyFont="1" applyAlignment="1" applyProtection="1">
      <alignment horizontal="left" vertical="center"/>
      <protection hidden="1"/>
    </xf>
    <xf numFmtId="0" fontId="111" fillId="0" borderId="0" xfId="0" quotePrefix="1" applyFont="1" applyAlignment="1" applyProtection="1">
      <alignment horizontal="left" vertical="center"/>
      <protection hidden="1"/>
    </xf>
    <xf numFmtId="0" fontId="111" fillId="0" borderId="0" xfId="0" quotePrefix="1" applyFont="1" applyAlignment="1" applyProtection="1">
      <alignment horizontal="right" vertical="center"/>
      <protection hidden="1"/>
    </xf>
    <xf numFmtId="0" fontId="110" fillId="0" borderId="0" xfId="0" quotePrefix="1" applyFont="1" applyAlignment="1" applyProtection="1">
      <alignment horizontal="right" vertical="center"/>
      <protection hidden="1"/>
    </xf>
    <xf numFmtId="0" fontId="28" fillId="0" borderId="0" xfId="0" applyFont="1" applyProtection="1">
      <alignment vertical="center"/>
      <protection hidden="1"/>
    </xf>
    <xf numFmtId="0" fontId="26" fillId="0" borderId="0" xfId="0" applyFont="1" applyAlignment="1" applyProtection="1">
      <alignment horizontal="center" vertical="justify"/>
      <protection hidden="1"/>
    </xf>
    <xf numFmtId="0" fontId="24" fillId="0" borderId="0" xfId="0" applyFont="1" applyProtection="1">
      <alignment vertical="center"/>
      <protection hidden="1"/>
    </xf>
    <xf numFmtId="185" fontId="50" fillId="0" borderId="0" xfId="0" applyNumberFormat="1" applyFont="1" applyAlignment="1" applyProtection="1">
      <alignment horizontal="center"/>
      <protection hidden="1"/>
    </xf>
    <xf numFmtId="0" fontId="26" fillId="0" borderId="26" xfId="0" applyFont="1" applyBorder="1" applyAlignment="1" applyProtection="1">
      <alignment horizontal="center" vertical="justify"/>
      <protection hidden="1"/>
    </xf>
    <xf numFmtId="0" fontId="28" fillId="27" borderId="26" xfId="0" applyFont="1" applyFill="1" applyBorder="1" applyAlignment="1" applyProtection="1">
      <alignment horizontal="centerContinuous" vertical="center"/>
      <protection hidden="1"/>
    </xf>
    <xf numFmtId="0" fontId="28" fillId="0" borderId="26" xfId="0" applyFont="1" applyBorder="1" applyProtection="1">
      <alignment vertical="center"/>
      <protection hidden="1"/>
    </xf>
    <xf numFmtId="0" fontId="26" fillId="0" borderId="27" xfId="0" applyFont="1" applyBorder="1" applyAlignment="1" applyProtection="1">
      <alignment horizontal="center" vertical="justify"/>
      <protection hidden="1"/>
    </xf>
    <xf numFmtId="0" fontId="28" fillId="0" borderId="50" xfId="0" applyFont="1" applyBorder="1" applyProtection="1">
      <alignment vertical="center"/>
      <protection hidden="1"/>
    </xf>
    <xf numFmtId="0" fontId="29" fillId="0" borderId="10" xfId="0" applyFont="1" applyBorder="1" applyProtection="1">
      <alignment vertical="center"/>
      <protection hidden="1"/>
    </xf>
    <xf numFmtId="185" fontId="38" fillId="40" borderId="55" xfId="0" applyNumberFormat="1" applyFont="1" applyFill="1" applyBorder="1" applyAlignment="1" applyProtection="1">
      <alignment horizontal="left" vertical="center" wrapText="1"/>
      <protection hidden="1"/>
    </xf>
    <xf numFmtId="0" fontId="28" fillId="0" borderId="55" xfId="0" applyFont="1" applyBorder="1" applyAlignment="1" applyProtection="1">
      <alignment horizontal="center" vertical="justify"/>
      <protection hidden="1"/>
    </xf>
    <xf numFmtId="0" fontId="28" fillId="0" borderId="10" xfId="0" applyFont="1" applyBorder="1" applyAlignment="1" applyProtection="1">
      <alignment horizontal="center" vertical="justify"/>
      <protection hidden="1"/>
    </xf>
    <xf numFmtId="0" fontId="50" fillId="0" borderId="10" xfId="0" applyFont="1" applyBorder="1" applyAlignment="1" applyProtection="1">
      <alignment horizontal="center" vertical="center" wrapText="1"/>
      <protection hidden="1"/>
    </xf>
    <xf numFmtId="0" fontId="26" fillId="0" borderId="10" xfId="0" applyFont="1" applyBorder="1" applyAlignment="1" applyProtection="1">
      <alignment horizontal="center" vertical="justify"/>
      <protection hidden="1"/>
    </xf>
    <xf numFmtId="0" fontId="123" fillId="0" borderId="10" xfId="0" applyFont="1" applyBorder="1" applyAlignment="1" applyProtection="1">
      <alignment horizontal="center" vertical="center"/>
      <protection hidden="1"/>
    </xf>
    <xf numFmtId="0" fontId="29" fillId="0" borderId="51" xfId="0" applyFont="1" applyBorder="1" applyProtection="1">
      <alignment vertical="center"/>
      <protection hidden="1"/>
    </xf>
    <xf numFmtId="0" fontId="36" fillId="27" borderId="10" xfId="0" applyFont="1" applyFill="1" applyBorder="1" applyAlignment="1" applyProtection="1">
      <alignment horizontal="center" vertical="center"/>
      <protection hidden="1"/>
    </xf>
    <xf numFmtId="0" fontId="29" fillId="41" borderId="10" xfId="0" applyFont="1" applyFill="1" applyBorder="1" applyAlignment="1" applyProtection="1">
      <alignment horizontal="center" vertical="center"/>
      <protection hidden="1"/>
    </xf>
    <xf numFmtId="0" fontId="33" fillId="27" borderId="50" xfId="0" applyFont="1" applyFill="1" applyBorder="1" applyProtection="1">
      <alignment vertical="center"/>
      <protection hidden="1"/>
    </xf>
    <xf numFmtId="177" fontId="50" fillId="40" borderId="10" xfId="0" applyNumberFormat="1" applyFont="1" applyFill="1" applyBorder="1" applyAlignment="1" applyProtection="1">
      <alignment horizontal="center" vertical="center"/>
      <protection hidden="1"/>
    </xf>
    <xf numFmtId="0" fontId="50" fillId="0" borderId="10" xfId="0" applyFont="1" applyBorder="1" applyAlignment="1" applyProtection="1">
      <alignment horizontal="center" vertical="center"/>
      <protection hidden="1"/>
    </xf>
    <xf numFmtId="0" fontId="33" fillId="42" borderId="50" xfId="0" applyFont="1" applyFill="1" applyBorder="1" applyProtection="1">
      <alignment vertical="center"/>
      <protection hidden="1"/>
    </xf>
    <xf numFmtId="177" fontId="29" fillId="0" borderId="100" xfId="0" applyNumberFormat="1" applyFont="1" applyBorder="1" applyAlignment="1" applyProtection="1">
      <alignment horizontal="center" vertical="center"/>
      <protection hidden="1"/>
    </xf>
    <xf numFmtId="177" fontId="29" fillId="0" borderId="66" xfId="0" applyNumberFormat="1" applyFont="1" applyBorder="1" applyAlignment="1" applyProtection="1">
      <alignment horizontal="center" vertical="center"/>
      <protection hidden="1"/>
    </xf>
    <xf numFmtId="177" fontId="29" fillId="0" borderId="60" xfId="0" applyNumberFormat="1" applyFont="1" applyBorder="1" applyAlignment="1" applyProtection="1">
      <alignment horizontal="center" vertical="center"/>
      <protection hidden="1"/>
    </xf>
    <xf numFmtId="177" fontId="29" fillId="0" borderId="62" xfId="0" applyNumberFormat="1" applyFont="1" applyBorder="1" applyAlignment="1" applyProtection="1">
      <alignment horizontal="center" vertical="center"/>
      <protection hidden="1"/>
    </xf>
    <xf numFmtId="177" fontId="29" fillId="0" borderId="0" xfId="0" applyNumberFormat="1" applyFont="1" applyAlignment="1" applyProtection="1">
      <alignment horizontal="center" vertical="center"/>
      <protection hidden="1"/>
    </xf>
    <xf numFmtId="177" fontId="29" fillId="0" borderId="69" xfId="0" applyNumberFormat="1" applyFont="1" applyBorder="1" applyAlignment="1" applyProtection="1">
      <alignment horizontal="center" vertical="center"/>
      <protection hidden="1"/>
    </xf>
    <xf numFmtId="200" fontId="29" fillId="0" borderId="100" xfId="0" applyNumberFormat="1" applyFont="1" applyBorder="1" applyAlignment="1" applyProtection="1">
      <alignment horizontal="center" vertical="center"/>
      <protection hidden="1"/>
    </xf>
    <xf numFmtId="200" fontId="29" fillId="0" borderId="100" xfId="0" applyNumberFormat="1" applyFont="1" applyBorder="1" applyAlignment="1" applyProtection="1">
      <alignment horizontal="center" vertical="justify"/>
      <protection hidden="1"/>
    </xf>
    <xf numFmtId="200" fontId="29" fillId="0" borderId="115" xfId="0" applyNumberFormat="1" applyFont="1" applyBorder="1" applyAlignment="1" applyProtection="1">
      <alignment horizontal="center" vertical="justify"/>
      <protection hidden="1"/>
    </xf>
    <xf numFmtId="200" fontId="29" fillId="0" borderId="0" xfId="0" applyNumberFormat="1" applyFont="1" applyAlignment="1" applyProtection="1">
      <alignment horizontal="center" vertical="center"/>
      <protection hidden="1"/>
    </xf>
    <xf numFmtId="200" fontId="29" fillId="0" borderId="144" xfId="0" applyNumberFormat="1" applyFont="1" applyBorder="1" applyAlignment="1" applyProtection="1">
      <alignment horizontal="center" vertical="justify"/>
      <protection hidden="1"/>
    </xf>
    <xf numFmtId="200" fontId="29" fillId="0" borderId="66" xfId="0" applyNumberFormat="1" applyFont="1" applyBorder="1" applyAlignment="1" applyProtection="1">
      <alignment horizontal="center" vertical="center"/>
      <protection hidden="1"/>
    </xf>
    <xf numFmtId="200" fontId="29" fillId="0" borderId="69" xfId="0" applyNumberFormat="1" applyFont="1" applyBorder="1" applyAlignment="1" applyProtection="1">
      <alignment horizontal="center" vertical="center"/>
      <protection hidden="1"/>
    </xf>
    <xf numFmtId="0" fontId="33" fillId="27" borderId="26" xfId="0" applyFont="1" applyFill="1" applyBorder="1" applyAlignment="1" applyProtection="1">
      <alignment horizontal="left" vertical="center" shrinkToFit="1"/>
      <protection hidden="1"/>
    </xf>
    <xf numFmtId="0" fontId="60" fillId="37" borderId="59" xfId="0" applyFont="1" applyFill="1" applyBorder="1">
      <alignment vertical="center"/>
    </xf>
    <xf numFmtId="0" fontId="113" fillId="37" borderId="60" xfId="0" applyFont="1" applyFill="1" applyBorder="1" applyAlignment="1">
      <alignment horizontal="left" vertical="center"/>
    </xf>
    <xf numFmtId="0" fontId="113" fillId="37" borderId="60" xfId="0" applyFont="1" applyFill="1" applyBorder="1">
      <alignment vertical="center"/>
    </xf>
    <xf numFmtId="0" fontId="114" fillId="37" borderId="61" xfId="0" applyFont="1" applyFill="1" applyBorder="1">
      <alignment vertical="center"/>
    </xf>
    <xf numFmtId="0" fontId="33" fillId="0" borderId="0" xfId="0" applyFont="1">
      <alignment vertical="center"/>
    </xf>
    <xf numFmtId="0" fontId="93" fillId="0" borderId="65" xfId="0" applyFont="1" applyBorder="1">
      <alignment vertical="center"/>
    </xf>
    <xf numFmtId="0" fontId="82" fillId="0" borderId="66" xfId="0" applyFont="1" applyBorder="1" applyAlignment="1">
      <alignment horizontal="left" vertical="center"/>
    </xf>
    <xf numFmtId="0" fontId="115" fillId="0" borderId="66" xfId="0" applyFont="1" applyBorder="1">
      <alignment vertical="center"/>
    </xf>
    <xf numFmtId="0" fontId="116" fillId="0" borderId="67" xfId="0" applyFont="1" applyBorder="1">
      <alignment vertical="center"/>
    </xf>
    <xf numFmtId="184" fontId="28" fillId="0" borderId="0" xfId="0" applyNumberFormat="1" applyFont="1">
      <alignment vertical="center"/>
    </xf>
    <xf numFmtId="0" fontId="60" fillId="30" borderId="59" xfId="0" applyFont="1" applyFill="1" applyBorder="1">
      <alignment vertical="center"/>
    </xf>
    <xf numFmtId="0" fontId="32" fillId="30" borderId="60" xfId="44" applyFont="1" applyFill="1" applyBorder="1" applyAlignment="1">
      <alignment vertical="center"/>
    </xf>
    <xf numFmtId="0" fontId="32" fillId="30" borderId="60" xfId="44" applyFont="1" applyFill="1" applyBorder="1" applyAlignment="1">
      <alignment horizontal="left" vertical="center"/>
    </xf>
    <xf numFmtId="0" fontId="3" fillId="30" borderId="60" xfId="44" applyFont="1" applyFill="1" applyBorder="1" applyAlignment="1">
      <alignment vertical="center"/>
    </xf>
    <xf numFmtId="0" fontId="3" fillId="30" borderId="60" xfId="0" applyFont="1" applyFill="1" applyBorder="1" applyAlignment="1">
      <alignment horizontal="center" vertical="center"/>
    </xf>
    <xf numFmtId="0" fontId="3" fillId="30" borderId="60" xfId="0" applyFont="1" applyFill="1" applyBorder="1">
      <alignment vertical="center"/>
    </xf>
    <xf numFmtId="0" fontId="113" fillId="30" borderId="60" xfId="0" applyFont="1" applyFill="1" applyBorder="1">
      <alignment vertical="center"/>
    </xf>
    <xf numFmtId="0" fontId="32" fillId="30" borderId="61" xfId="44" applyFont="1" applyFill="1" applyBorder="1" applyAlignment="1">
      <alignment vertical="center"/>
    </xf>
    <xf numFmtId="0" fontId="60" fillId="27" borderId="62" xfId="0" applyFont="1" applyFill="1" applyBorder="1">
      <alignment vertical="center"/>
    </xf>
    <xf numFmtId="0" fontId="32" fillId="27" borderId="0" xfId="44" applyFont="1" applyFill="1" applyAlignment="1">
      <alignment vertical="center"/>
    </xf>
    <xf numFmtId="0" fontId="32" fillId="27" borderId="0" xfId="44" applyFont="1" applyFill="1" applyAlignment="1">
      <alignment horizontal="left" vertical="center"/>
    </xf>
    <xf numFmtId="0" fontId="3" fillId="27" borderId="0" xfId="44" applyFont="1" applyFill="1" applyAlignment="1">
      <alignment vertical="center"/>
    </xf>
    <xf numFmtId="0" fontId="33" fillId="27" borderId="0" xfId="0" applyFont="1" applyFill="1" applyAlignment="1">
      <alignment horizontal="center" vertical="center"/>
    </xf>
    <xf numFmtId="0" fontId="3" fillId="27" borderId="0" xfId="0" applyFont="1" applyFill="1">
      <alignment vertical="center"/>
    </xf>
    <xf numFmtId="0" fontId="113" fillId="27" borderId="0" xfId="0" applyFont="1" applyFill="1">
      <alignment vertical="center"/>
    </xf>
    <xf numFmtId="0" fontId="24" fillId="27" borderId="62" xfId="44" applyFont="1" applyFill="1" applyBorder="1" applyAlignment="1">
      <alignment vertical="center"/>
    </xf>
    <xf numFmtId="0" fontId="33" fillId="27" borderId="0" xfId="44" applyFont="1" applyFill="1" applyAlignment="1">
      <alignment horizontal="right" vertical="center"/>
    </xf>
    <xf numFmtId="0" fontId="7" fillId="27" borderId="0" xfId="44" applyFill="1" applyAlignment="1">
      <alignment vertical="center"/>
    </xf>
    <xf numFmtId="0" fontId="33" fillId="27" borderId="63" xfId="44" applyFont="1" applyFill="1" applyBorder="1" applyAlignment="1">
      <alignment horizontal="right" vertical="center"/>
    </xf>
    <xf numFmtId="0" fontId="122" fillId="27" borderId="0" xfId="44" applyFont="1" applyFill="1" applyAlignment="1">
      <alignment vertical="center"/>
    </xf>
    <xf numFmtId="0" fontId="66" fillId="27" borderId="0" xfId="44" applyFont="1" applyFill="1" applyAlignment="1">
      <alignment horizontal="left" vertical="center"/>
    </xf>
    <xf numFmtId="0" fontId="33" fillId="31" borderId="10" xfId="44" applyFont="1" applyFill="1" applyBorder="1" applyAlignment="1">
      <alignment horizontal="center" vertical="center"/>
    </xf>
    <xf numFmtId="180" fontId="33" fillId="31" borderId="10" xfId="44" applyNumberFormat="1" applyFont="1" applyFill="1" applyBorder="1" applyAlignment="1">
      <alignment horizontal="center" vertical="center"/>
    </xf>
    <xf numFmtId="0" fontId="33" fillId="31" borderId="10" xfId="44" applyFont="1" applyFill="1" applyBorder="1" applyAlignment="1">
      <alignment vertical="center"/>
    </xf>
    <xf numFmtId="0" fontId="33" fillId="27" borderId="0" xfId="44" applyFont="1" applyFill="1" applyAlignment="1">
      <alignment vertical="center"/>
    </xf>
    <xf numFmtId="0" fontId="33" fillId="31" borderId="148" xfId="44" applyFont="1" applyFill="1" applyBorder="1" applyAlignment="1">
      <alignment vertical="center"/>
    </xf>
    <xf numFmtId="0" fontId="33" fillId="27" borderId="0" xfId="44" applyFont="1" applyFill="1" applyAlignment="1">
      <alignment horizontal="left" vertical="center"/>
    </xf>
    <xf numFmtId="0" fontId="33" fillId="27" borderId="26" xfId="0" applyFont="1" applyFill="1" applyBorder="1">
      <alignment vertical="center"/>
    </xf>
    <xf numFmtId="0" fontId="7" fillId="27" borderId="63" xfId="44" applyFill="1" applyBorder="1" applyAlignment="1">
      <alignment vertical="center"/>
    </xf>
    <xf numFmtId="178" fontId="33" fillId="27" borderId="144" xfId="44" applyNumberFormat="1" applyFont="1" applyFill="1" applyBorder="1" applyAlignment="1">
      <alignment horizontal="right" vertical="center"/>
    </xf>
    <xf numFmtId="0" fontId="122" fillId="27" borderId="0" xfId="44" applyFont="1" applyFill="1" applyAlignment="1">
      <alignment horizontal="right" vertical="center"/>
    </xf>
    <xf numFmtId="178" fontId="33" fillId="27" borderId="0" xfId="44" applyNumberFormat="1" applyFont="1" applyFill="1" applyAlignment="1">
      <alignment horizontal="right" vertical="center"/>
    </xf>
    <xf numFmtId="38" fontId="33" fillId="27" borderId="10" xfId="35" applyFont="1" applyFill="1" applyBorder="1" applyAlignment="1">
      <alignment vertical="center"/>
    </xf>
    <xf numFmtId="0" fontId="33" fillId="27" borderId="10" xfId="0" applyFont="1" applyFill="1" applyBorder="1">
      <alignment vertical="center"/>
    </xf>
    <xf numFmtId="180" fontId="33" fillId="27" borderId="17" xfId="44" applyNumberFormat="1" applyFont="1" applyFill="1" applyBorder="1" applyAlignment="1">
      <alignment horizontal="center" vertical="center"/>
    </xf>
    <xf numFmtId="0" fontId="7" fillId="27" borderId="26" xfId="44" applyFill="1" applyBorder="1" applyAlignment="1">
      <alignment horizontal="left" vertical="center"/>
    </xf>
    <xf numFmtId="0" fontId="33" fillId="27" borderId="50" xfId="44" applyFont="1" applyFill="1" applyBorder="1" applyAlignment="1">
      <alignment vertical="center"/>
    </xf>
    <xf numFmtId="0" fontId="7" fillId="27" borderId="27" xfId="44" applyFill="1" applyBorder="1" applyAlignment="1">
      <alignment vertical="center"/>
    </xf>
    <xf numFmtId="179" fontId="7" fillId="27" borderId="10" xfId="44" applyNumberFormat="1" applyFill="1" applyBorder="1" applyAlignment="1">
      <alignment vertical="center"/>
    </xf>
    <xf numFmtId="179" fontId="7" fillId="27" borderId="148" xfId="44" applyNumberFormat="1" applyFill="1" applyBorder="1" applyAlignment="1">
      <alignment vertical="center"/>
    </xf>
    <xf numFmtId="179" fontId="7" fillId="27" borderId="51" xfId="44" applyNumberFormat="1" applyFill="1" applyBorder="1" applyAlignment="1">
      <alignment vertical="center"/>
    </xf>
    <xf numFmtId="179" fontId="7" fillId="27" borderId="150" xfId="44" applyNumberFormat="1" applyFill="1" applyBorder="1" applyAlignment="1">
      <alignment horizontal="right" vertical="center"/>
    </xf>
    <xf numFmtId="0" fontId="5" fillId="33" borderId="151" xfId="44" applyFont="1" applyFill="1" applyBorder="1" applyAlignment="1">
      <alignment vertical="center"/>
    </xf>
    <xf numFmtId="0" fontId="32" fillId="33" borderId="126" xfId="44" applyFont="1" applyFill="1" applyBorder="1" applyAlignment="1">
      <alignment horizontal="left" vertical="center"/>
    </xf>
    <xf numFmtId="0" fontId="32" fillId="33" borderId="126" xfId="44" applyFont="1" applyFill="1" applyBorder="1" applyAlignment="1">
      <alignment vertical="center"/>
    </xf>
    <xf numFmtId="0" fontId="3" fillId="33" borderId="152" xfId="44" applyFont="1" applyFill="1" applyBorder="1" applyAlignment="1">
      <alignment vertical="center"/>
    </xf>
    <xf numFmtId="179" fontId="5" fillId="33" borderId="136" xfId="44" applyNumberFormat="1" applyFont="1" applyFill="1" applyBorder="1" applyAlignment="1">
      <alignment horizontal="right" vertical="center"/>
    </xf>
    <xf numFmtId="0" fontId="33" fillId="27" borderId="66" xfId="44" applyFont="1" applyFill="1" applyBorder="1" applyAlignment="1">
      <alignment vertical="center"/>
    </xf>
    <xf numFmtId="179" fontId="5" fillId="33" borderId="153" xfId="44" applyNumberFormat="1" applyFont="1" applyFill="1" applyBorder="1" applyAlignment="1">
      <alignment horizontal="right" vertical="center"/>
    </xf>
    <xf numFmtId="0" fontId="143" fillId="0" borderId="0" xfId="0" applyFont="1">
      <alignment vertical="center"/>
    </xf>
    <xf numFmtId="0" fontId="144" fillId="0" borderId="0" xfId="0" applyFont="1" applyAlignment="1">
      <alignment horizontal="center" vertical="center"/>
    </xf>
    <xf numFmtId="0" fontId="33" fillId="0" borderId="126" xfId="0" applyFont="1" applyBorder="1">
      <alignment vertical="center"/>
    </xf>
    <xf numFmtId="0" fontId="33" fillId="0" borderId="126" xfId="0" applyFont="1" applyBorder="1" applyAlignment="1">
      <alignment horizontal="left" vertical="top" wrapText="1"/>
    </xf>
    <xf numFmtId="3" fontId="27" fillId="0" borderId="0" xfId="0" applyNumberFormat="1" applyFont="1" applyAlignment="1">
      <alignment horizontal="left" vertical="center"/>
    </xf>
    <xf numFmtId="0" fontId="0" fillId="31" borderId="154" xfId="0" applyFill="1" applyBorder="1" applyAlignment="1">
      <alignment horizontal="center" vertical="center"/>
    </xf>
    <xf numFmtId="0" fontId="0" fillId="31" borderId="155" xfId="0" applyFill="1" applyBorder="1" applyAlignment="1">
      <alignment horizontal="center" vertical="center"/>
    </xf>
    <xf numFmtId="0" fontId="0" fillId="31" borderId="156" xfId="0" applyFill="1" applyBorder="1">
      <alignment vertical="center"/>
    </xf>
    <xf numFmtId="0" fontId="0" fillId="27" borderId="120" xfId="0" applyFill="1" applyBorder="1" applyAlignment="1">
      <alignment horizontal="center" vertical="center"/>
    </xf>
    <xf numFmtId="0" fontId="0" fillId="27" borderId="157" xfId="0" applyFill="1" applyBorder="1" applyAlignment="1">
      <alignment horizontal="center" vertical="center" wrapText="1"/>
    </xf>
    <xf numFmtId="0" fontId="0" fillId="27" borderId="158" xfId="0" applyFill="1" applyBorder="1" applyAlignment="1">
      <alignment horizontal="center" vertical="center" wrapText="1"/>
    </xf>
    <xf numFmtId="0" fontId="0" fillId="27" borderId="116" xfId="0" applyFill="1" applyBorder="1" applyAlignment="1">
      <alignment horizontal="center" vertical="center" wrapText="1"/>
    </xf>
    <xf numFmtId="0" fontId="0" fillId="0" borderId="0" xfId="0" applyAlignment="1">
      <alignment horizontal="left" vertical="center"/>
    </xf>
    <xf numFmtId="0" fontId="45" fillId="0" borderId="0" xfId="0" applyFont="1" applyAlignment="1">
      <alignment horizontal="left" vertical="center"/>
    </xf>
    <xf numFmtId="0" fontId="28" fillId="0" borderId="0" xfId="0" applyFont="1">
      <alignment vertical="center"/>
    </xf>
    <xf numFmtId="0" fontId="33" fillId="0" borderId="57" xfId="0" applyFont="1" applyBorder="1" applyAlignment="1">
      <alignment horizontal="center" vertical="center"/>
    </xf>
    <xf numFmtId="0" fontId="33" fillId="0" borderId="57" xfId="0" applyFont="1" applyBorder="1">
      <alignment vertical="center"/>
    </xf>
    <xf numFmtId="0" fontId="45" fillId="0" borderId="0" xfId="0" applyFont="1" applyAlignment="1" applyProtection="1">
      <alignment horizontal="left" vertical="center"/>
      <protection hidden="1"/>
    </xf>
    <xf numFmtId="0" fontId="146" fillId="0" borderId="0" xfId="0" applyFont="1" applyProtection="1">
      <alignment vertical="center"/>
      <protection hidden="1"/>
    </xf>
    <xf numFmtId="0" fontId="28" fillId="41" borderId="144" xfId="0" applyFont="1" applyFill="1" applyBorder="1" applyProtection="1">
      <alignment vertical="center"/>
      <protection hidden="1"/>
    </xf>
    <xf numFmtId="0" fontId="37" fillId="0" borderId="0" xfId="0" applyFont="1" applyProtection="1">
      <alignment vertical="center"/>
      <protection hidden="1"/>
    </xf>
    <xf numFmtId="0" fontId="26" fillId="0" borderId="0" xfId="0" applyFont="1" applyProtection="1">
      <alignment vertical="center"/>
      <protection hidden="1"/>
    </xf>
    <xf numFmtId="0" fontId="42" fillId="0" borderId="0" xfId="0" applyFont="1" applyProtection="1">
      <alignment vertical="center"/>
      <protection hidden="1"/>
    </xf>
    <xf numFmtId="0" fontId="147" fillId="0" borderId="0" xfId="0" applyFont="1" applyProtection="1">
      <alignment vertical="center"/>
      <protection hidden="1"/>
    </xf>
    <xf numFmtId="0" fontId="42" fillId="0" borderId="0" xfId="0" applyFont="1" applyAlignment="1" applyProtection="1">
      <alignment horizontal="left" vertical="center"/>
      <protection hidden="1"/>
    </xf>
    <xf numFmtId="0" fontId="27" fillId="0" borderId="0" xfId="0" applyFont="1" applyAlignment="1">
      <alignment horizontal="left" vertical="center"/>
    </xf>
    <xf numFmtId="0" fontId="148" fillId="0" borderId="0" xfId="0" applyFont="1" applyProtection="1">
      <alignment vertical="center"/>
      <protection hidden="1"/>
    </xf>
    <xf numFmtId="0" fontId="24" fillId="0" borderId="0" xfId="0" applyFont="1" applyAlignment="1" applyProtection="1">
      <alignment horizontal="right" vertical="center"/>
      <protection hidden="1"/>
    </xf>
    <xf numFmtId="0" fontId="26" fillId="0" borderId="0" xfId="0" applyFont="1" applyAlignment="1" applyProtection="1">
      <alignment horizontal="right" vertical="center"/>
      <protection hidden="1"/>
    </xf>
    <xf numFmtId="179" fontId="28" fillId="31" borderId="52" xfId="0" applyNumberFormat="1" applyFont="1" applyFill="1" applyBorder="1" applyAlignment="1" applyProtection="1">
      <alignment horizontal="left" vertical="center"/>
      <protection hidden="1"/>
    </xf>
    <xf numFmtId="179" fontId="28" fillId="31" borderId="50" xfId="0" applyNumberFormat="1" applyFont="1" applyFill="1" applyBorder="1" applyAlignment="1" applyProtection="1">
      <alignment horizontal="left" vertical="center"/>
      <protection hidden="1"/>
    </xf>
    <xf numFmtId="179" fontId="28" fillId="31" borderId="50" xfId="0" applyNumberFormat="1" applyFont="1" applyFill="1" applyBorder="1" applyAlignment="1" applyProtection="1">
      <alignment horizontal="centerContinuous" vertical="center"/>
      <protection hidden="1"/>
    </xf>
    <xf numFmtId="0" fontId="37" fillId="31" borderId="50" xfId="0" applyFont="1" applyFill="1" applyBorder="1" applyAlignment="1" applyProtection="1">
      <alignment horizontal="right" vertical="center"/>
      <protection hidden="1"/>
    </xf>
    <xf numFmtId="2" fontId="28" fillId="31" borderId="50" xfId="0" applyNumberFormat="1" applyFont="1" applyFill="1" applyBorder="1" applyAlignment="1" applyProtection="1">
      <alignment horizontal="left" vertical="center"/>
      <protection hidden="1"/>
    </xf>
    <xf numFmtId="179" fontId="28" fillId="31" borderId="27" xfId="0" applyNumberFormat="1" applyFont="1" applyFill="1" applyBorder="1" applyAlignment="1" applyProtection="1">
      <alignment horizontal="left" vertical="center"/>
      <protection hidden="1"/>
    </xf>
    <xf numFmtId="2" fontId="28" fillId="31" borderId="27" xfId="0" applyNumberFormat="1" applyFont="1" applyFill="1" applyBorder="1" applyAlignment="1" applyProtection="1">
      <alignment horizontal="left" vertical="center"/>
      <protection hidden="1"/>
    </xf>
    <xf numFmtId="193" fontId="26" fillId="31" borderId="144" xfId="0" applyNumberFormat="1" applyFont="1" applyFill="1" applyBorder="1" applyAlignment="1" applyProtection="1">
      <alignment horizontal="center" vertical="center"/>
      <protection locked="0" hidden="1"/>
    </xf>
    <xf numFmtId="0" fontId="28" fillId="31" borderId="56" xfId="0" applyFont="1" applyFill="1" applyBorder="1" applyAlignment="1" applyProtection="1">
      <alignment horizontal="centerContinuous" vertical="center" wrapText="1"/>
      <protection hidden="1"/>
    </xf>
    <xf numFmtId="0" fontId="28" fillId="31" borderId="55" xfId="0" applyFont="1" applyFill="1" applyBorder="1" applyAlignment="1" applyProtection="1">
      <alignment horizontal="center" vertical="center"/>
      <protection hidden="1"/>
    </xf>
    <xf numFmtId="0" fontId="28" fillId="31" borderId="57" xfId="0" applyFont="1" applyFill="1" applyBorder="1" applyAlignment="1" applyProtection="1">
      <alignment horizontal="center" vertical="center"/>
      <protection hidden="1"/>
    </xf>
    <xf numFmtId="0" fontId="28" fillId="31" borderId="80" xfId="0" applyFont="1" applyFill="1" applyBorder="1" applyAlignment="1" applyProtection="1">
      <alignment horizontal="centerContinuous" vertical="center"/>
      <protection hidden="1"/>
    </xf>
    <xf numFmtId="0" fontId="28" fillId="31" borderId="50" xfId="0" applyFont="1" applyFill="1" applyBorder="1" applyAlignment="1" applyProtection="1">
      <alignment horizontal="centerContinuous" vertical="center"/>
      <protection hidden="1"/>
    </xf>
    <xf numFmtId="0" fontId="28" fillId="31" borderId="27" xfId="0" applyFont="1" applyFill="1" applyBorder="1" applyAlignment="1" applyProtection="1">
      <alignment horizontal="centerContinuous" vertical="center"/>
      <protection hidden="1"/>
    </xf>
    <xf numFmtId="0" fontId="26" fillId="27" borderId="159" xfId="0" applyFont="1" applyFill="1" applyBorder="1" applyAlignment="1" applyProtection="1">
      <alignment horizontal="center" vertical="center"/>
      <protection hidden="1"/>
    </xf>
    <xf numFmtId="0" fontId="28" fillId="27" borderId="160" xfId="0" applyFont="1" applyFill="1" applyBorder="1" applyAlignment="1" applyProtection="1">
      <alignment horizontal="left" vertical="center" wrapText="1"/>
      <protection hidden="1"/>
    </xf>
    <xf numFmtId="0" fontId="28" fillId="27" borderId="160" xfId="0" applyFont="1" applyFill="1" applyBorder="1" applyAlignment="1" applyProtection="1">
      <alignment horizontal="left" vertical="center"/>
      <protection hidden="1"/>
    </xf>
    <xf numFmtId="0" fontId="28" fillId="27" borderId="161" xfId="0" applyFont="1" applyFill="1" applyBorder="1" applyAlignment="1" applyProtection="1">
      <alignment horizontal="left" vertical="center"/>
      <protection hidden="1"/>
    </xf>
    <xf numFmtId="0" fontId="28" fillId="27" borderId="162" xfId="0" applyFont="1" applyFill="1" applyBorder="1" applyAlignment="1" applyProtection="1">
      <alignment horizontal="left" vertical="center"/>
      <protection hidden="1"/>
    </xf>
    <xf numFmtId="0" fontId="26" fillId="27" borderId="163" xfId="0" applyFont="1" applyFill="1" applyBorder="1" applyAlignment="1" applyProtection="1">
      <alignment horizontal="center" vertical="center"/>
      <protection hidden="1"/>
    </xf>
    <xf numFmtId="0" fontId="28" fillId="27" borderId="14" xfId="0" applyFont="1" applyFill="1" applyBorder="1" applyAlignment="1" applyProtection="1">
      <alignment vertical="center" shrinkToFit="1"/>
      <protection hidden="1"/>
    </xf>
    <xf numFmtId="0" fontId="28" fillId="27" borderId="12" xfId="0" applyFont="1" applyFill="1" applyBorder="1" applyAlignment="1" applyProtection="1">
      <alignment horizontal="left" vertical="center" wrapText="1"/>
      <protection hidden="1"/>
    </xf>
    <xf numFmtId="0" fontId="28" fillId="27" borderId="12" xfId="0" applyFont="1" applyFill="1" applyBorder="1" applyAlignment="1" applyProtection="1">
      <alignment horizontal="left" vertical="center"/>
      <protection hidden="1"/>
    </xf>
    <xf numFmtId="0" fontId="28" fillId="27" borderId="13" xfId="0" applyFont="1" applyFill="1" applyBorder="1" applyAlignment="1" applyProtection="1">
      <alignment horizontal="left" vertical="center"/>
      <protection hidden="1"/>
    </xf>
    <xf numFmtId="0" fontId="28" fillId="27" borderId="14" xfId="0" applyFont="1" applyFill="1" applyBorder="1" applyAlignment="1" applyProtection="1">
      <alignment horizontal="left" vertical="center"/>
      <protection hidden="1"/>
    </xf>
    <xf numFmtId="0" fontId="28" fillId="27" borderId="11" xfId="0" applyFont="1" applyFill="1" applyBorder="1" applyAlignment="1" applyProtection="1">
      <alignment horizontal="left" vertical="center" wrapText="1"/>
      <protection hidden="1"/>
    </xf>
    <xf numFmtId="0" fontId="28" fillId="27" borderId="12" xfId="0" applyFont="1" applyFill="1" applyBorder="1" applyAlignment="1" applyProtection="1">
      <alignment vertical="center" wrapText="1"/>
      <protection hidden="1"/>
    </xf>
    <xf numFmtId="0" fontId="28" fillId="27" borderId="11" xfId="0" applyFont="1" applyFill="1" applyBorder="1" applyAlignment="1" applyProtection="1">
      <alignment vertical="center" wrapText="1"/>
      <protection hidden="1"/>
    </xf>
    <xf numFmtId="0" fontId="28" fillId="27" borderId="14" xfId="0" applyFont="1" applyFill="1" applyBorder="1" applyAlignment="1" applyProtection="1">
      <alignment vertical="center" wrapText="1"/>
      <protection hidden="1"/>
    </xf>
    <xf numFmtId="0" fontId="26" fillId="27" borderId="164" xfId="0" applyFont="1" applyFill="1" applyBorder="1" applyAlignment="1" applyProtection="1">
      <alignment horizontal="center" vertical="center"/>
      <protection hidden="1"/>
    </xf>
    <xf numFmtId="0" fontId="28" fillId="27" borderId="165" xfId="0" applyFont="1" applyFill="1" applyBorder="1" applyAlignment="1" applyProtection="1">
      <alignment vertical="center" wrapText="1"/>
      <protection hidden="1"/>
    </xf>
    <xf numFmtId="0" fontId="28" fillId="27" borderId="164" xfId="0" applyFont="1" applyFill="1" applyBorder="1" applyAlignment="1" applyProtection="1">
      <alignment vertical="center" wrapText="1"/>
      <protection hidden="1"/>
    </xf>
    <xf numFmtId="0" fontId="28" fillId="27" borderId="166" xfId="0" applyFont="1" applyFill="1" applyBorder="1" applyAlignment="1" applyProtection="1">
      <alignment vertical="center" wrapText="1"/>
      <protection hidden="1"/>
    </xf>
    <xf numFmtId="0" fontId="28" fillId="27" borderId="165" xfId="0" applyFont="1" applyFill="1" applyBorder="1" applyAlignment="1" applyProtection="1">
      <alignment horizontal="left" vertical="center"/>
      <protection hidden="1"/>
    </xf>
    <xf numFmtId="0" fontId="28" fillId="27" borderId="167" xfId="0" applyFont="1" applyFill="1" applyBorder="1" applyAlignment="1" applyProtection="1">
      <alignment horizontal="left" vertical="center"/>
      <protection hidden="1"/>
    </xf>
    <xf numFmtId="0" fontId="28" fillId="27" borderId="166" xfId="0" applyFont="1" applyFill="1" applyBorder="1" applyAlignment="1" applyProtection="1">
      <alignment horizontal="left" vertical="center"/>
      <protection hidden="1"/>
    </xf>
    <xf numFmtId="192" fontId="28" fillId="0" borderId="10" xfId="35" applyNumberFormat="1" applyFont="1" applyFill="1" applyBorder="1" applyAlignment="1" applyProtection="1">
      <alignment horizontal="center" vertical="center"/>
      <protection hidden="1"/>
    </xf>
    <xf numFmtId="0" fontId="26" fillId="0" borderId="0" xfId="0" applyFont="1">
      <alignment vertical="center"/>
    </xf>
    <xf numFmtId="0" fontId="28" fillId="27" borderId="10" xfId="0" applyFont="1" applyFill="1" applyBorder="1">
      <alignment vertical="center"/>
    </xf>
    <xf numFmtId="0" fontId="28" fillId="27" borderId="10" xfId="0" quotePrefix="1" applyFont="1" applyFill="1" applyBorder="1" applyAlignment="1">
      <alignment horizontal="center" vertical="center"/>
    </xf>
    <xf numFmtId="0" fontId="28" fillId="27" borderId="51" xfId="0" applyFont="1" applyFill="1" applyBorder="1" applyAlignment="1">
      <alignment horizontal="center" vertical="center"/>
    </xf>
    <xf numFmtId="0" fontId="28" fillId="27" borderId="26" xfId="0" applyFont="1" applyFill="1" applyBorder="1">
      <alignment vertical="center"/>
    </xf>
    <xf numFmtId="0" fontId="37" fillId="27" borderId="26" xfId="0" applyFont="1" applyFill="1" applyBorder="1" applyAlignment="1">
      <alignment horizontal="right" vertical="center"/>
    </xf>
    <xf numFmtId="0" fontId="37" fillId="27" borderId="50" xfId="0" applyFont="1" applyFill="1" applyBorder="1">
      <alignment vertical="center"/>
    </xf>
    <xf numFmtId="0" fontId="37" fillId="27" borderId="52" xfId="0" applyFont="1" applyFill="1" applyBorder="1">
      <alignment vertical="center"/>
    </xf>
    <xf numFmtId="0" fontId="37" fillId="27" borderId="53" xfId="0" applyFont="1" applyFill="1" applyBorder="1">
      <alignment vertical="center"/>
    </xf>
    <xf numFmtId="0" fontId="37" fillId="27" borderId="53" xfId="0" applyFont="1" applyFill="1" applyBorder="1" applyAlignment="1">
      <alignment vertical="top" wrapText="1"/>
    </xf>
    <xf numFmtId="0" fontId="37" fillId="27" borderId="53" xfId="0" applyFont="1" applyFill="1" applyBorder="1" applyAlignment="1">
      <alignment horizontal="center" vertical="top"/>
    </xf>
    <xf numFmtId="0" fontId="37" fillId="27" borderId="56" xfId="0" applyFont="1" applyFill="1" applyBorder="1">
      <alignment vertical="center"/>
    </xf>
    <xf numFmtId="0" fontId="37" fillId="27" borderId="57" xfId="0" applyFont="1" applyFill="1" applyBorder="1">
      <alignment vertical="center"/>
    </xf>
    <xf numFmtId="0" fontId="37" fillId="27" borderId="57" xfId="0" applyFont="1" applyFill="1" applyBorder="1" applyAlignment="1">
      <alignment horizontal="left" vertical="center"/>
    </xf>
    <xf numFmtId="0" fontId="37" fillId="27" borderId="57" xfId="0" applyFont="1" applyFill="1" applyBorder="1" applyAlignment="1">
      <alignment vertical="center" wrapText="1"/>
    </xf>
    <xf numFmtId="0" fontId="28" fillId="27" borderId="51" xfId="0" applyFont="1" applyFill="1" applyBorder="1">
      <alignment vertical="center"/>
    </xf>
    <xf numFmtId="0" fontId="28" fillId="27" borderId="15" xfId="0" applyFont="1" applyFill="1" applyBorder="1">
      <alignment vertical="center"/>
    </xf>
    <xf numFmtId="0" fontId="37" fillId="27" borderId="0" xfId="0" applyFont="1" applyFill="1">
      <alignment vertical="center"/>
    </xf>
    <xf numFmtId="0" fontId="37" fillId="27" borderId="0" xfId="0" applyFont="1" applyFill="1" applyAlignment="1">
      <alignment horizontal="left" vertical="center"/>
    </xf>
    <xf numFmtId="0" fontId="37" fillId="27" borderId="0" xfId="0" applyFont="1" applyFill="1" applyAlignment="1">
      <alignment vertical="top" wrapText="1"/>
    </xf>
    <xf numFmtId="0" fontId="37" fillId="27" borderId="57" xfId="0" applyFont="1" applyFill="1" applyBorder="1" applyAlignment="1">
      <alignment horizontal="center" vertical="top" wrapText="1"/>
    </xf>
    <xf numFmtId="0" fontId="37" fillId="38" borderId="0" xfId="0" applyFont="1" applyFill="1">
      <alignment vertical="center"/>
    </xf>
    <xf numFmtId="0" fontId="28" fillId="38" borderId="0" xfId="0" applyFont="1" applyFill="1" applyProtection="1">
      <alignment vertical="center"/>
      <protection hidden="1"/>
    </xf>
    <xf numFmtId="0" fontId="148" fillId="38" borderId="0" xfId="0" applyFont="1" applyFill="1" applyProtection="1">
      <alignment vertical="center"/>
      <protection hidden="1"/>
    </xf>
    <xf numFmtId="0" fontId="26" fillId="38" borderId="0" xfId="0" applyFont="1" applyFill="1" applyAlignment="1" applyProtection="1">
      <alignment horizontal="right" vertical="center"/>
      <protection hidden="1"/>
    </xf>
    <xf numFmtId="0" fontId="147" fillId="38" borderId="0" xfId="0" applyFont="1" applyFill="1">
      <alignment vertical="center"/>
    </xf>
    <xf numFmtId="0" fontId="24" fillId="38" borderId="0" xfId="0" applyFont="1" applyFill="1" applyAlignment="1" applyProtection="1">
      <alignment horizontal="right" vertical="center"/>
      <protection hidden="1"/>
    </xf>
    <xf numFmtId="0" fontId="26" fillId="31" borderId="144" xfId="0" applyFont="1" applyFill="1" applyBorder="1" applyAlignment="1" applyProtection="1">
      <alignment horizontal="center" vertical="center"/>
      <protection hidden="1"/>
    </xf>
    <xf numFmtId="0" fontId="28" fillId="31" borderId="50" xfId="0" applyFont="1" applyFill="1" applyBorder="1" applyAlignment="1" applyProtection="1">
      <alignment horizontal="center" vertical="center"/>
      <protection hidden="1"/>
    </xf>
    <xf numFmtId="0" fontId="28" fillId="31" borderId="26" xfId="0" applyFont="1" applyFill="1" applyBorder="1" applyProtection="1">
      <alignment vertical="center"/>
      <protection hidden="1"/>
    </xf>
    <xf numFmtId="0" fontId="28" fillId="27" borderId="160" xfId="0" applyFont="1" applyFill="1" applyBorder="1" applyAlignment="1" applyProtection="1">
      <alignment vertical="center" wrapText="1"/>
      <protection hidden="1"/>
    </xf>
    <xf numFmtId="0" fontId="28" fillId="0" borderId="0" xfId="0" applyFont="1" applyAlignment="1" applyProtection="1">
      <alignment horizontal="left"/>
      <protection hidden="1"/>
    </xf>
    <xf numFmtId="0" fontId="28" fillId="38" borderId="0" xfId="0" applyFont="1" applyFill="1" applyAlignment="1" applyProtection="1">
      <protection hidden="1"/>
    </xf>
    <xf numFmtId="0" fontId="28" fillId="38" borderId="0" xfId="0" applyFont="1" applyFill="1" applyAlignment="1"/>
    <xf numFmtId="0" fontId="28" fillId="31" borderId="144" xfId="0" applyFont="1" applyFill="1" applyBorder="1" applyAlignment="1" applyProtection="1">
      <alignment horizontal="center"/>
      <protection locked="0"/>
    </xf>
    <xf numFmtId="0" fontId="28" fillId="38" borderId="0" xfId="0" applyFont="1" applyFill="1" applyAlignment="1" applyProtection="1">
      <alignment horizontal="right"/>
      <protection hidden="1"/>
    </xf>
    <xf numFmtId="0" fontId="45" fillId="0" borderId="0" xfId="0" applyFont="1" applyAlignment="1" applyProtection="1">
      <alignment horizontal="left"/>
      <protection hidden="1"/>
    </xf>
    <xf numFmtId="0" fontId="45" fillId="38" borderId="0" xfId="0" applyFont="1" applyFill="1" applyAlignment="1" applyProtection="1">
      <alignment horizontal="left"/>
      <protection hidden="1"/>
    </xf>
    <xf numFmtId="0" fontId="37" fillId="31" borderId="10" xfId="0" applyFont="1" applyFill="1" applyBorder="1" applyAlignment="1">
      <alignment horizontal="center"/>
    </xf>
    <xf numFmtId="0" fontId="28" fillId="31" borderId="10" xfId="0" applyFont="1" applyFill="1" applyBorder="1" applyAlignment="1">
      <alignment horizontal="center"/>
    </xf>
    <xf numFmtId="0" fontId="28" fillId="38" borderId="0" xfId="0" applyFont="1" applyFill="1" applyAlignment="1">
      <alignment horizontal="right" vertical="center"/>
    </xf>
    <xf numFmtId="0" fontId="28" fillId="27" borderId="10" xfId="0" applyFont="1" applyFill="1" applyBorder="1" applyAlignment="1" applyProtection="1">
      <alignment horizontal="left" vertical="center"/>
      <protection locked="0"/>
    </xf>
    <xf numFmtId="0" fontId="33" fillId="31" borderId="26" xfId="0" applyFont="1" applyFill="1" applyBorder="1" applyAlignment="1" applyProtection="1">
      <alignment horizontal="centerContinuous" vertical="center"/>
      <protection hidden="1"/>
    </xf>
    <xf numFmtId="0" fontId="33" fillId="31" borderId="27" xfId="0" applyFont="1" applyFill="1" applyBorder="1" applyAlignment="1" applyProtection="1">
      <alignment horizontal="centerContinuous" vertical="center"/>
      <protection hidden="1"/>
    </xf>
    <xf numFmtId="179" fontId="28" fillId="31" borderId="26" xfId="0" applyNumberFormat="1" applyFont="1" applyFill="1" applyBorder="1" applyAlignment="1" applyProtection="1">
      <alignment horizontal="right" vertical="center"/>
      <protection hidden="1"/>
    </xf>
    <xf numFmtId="190" fontId="28" fillId="31" borderId="27" xfId="0" applyNumberFormat="1" applyFont="1" applyFill="1" applyBorder="1" applyAlignment="1" applyProtection="1">
      <alignment horizontal="right" vertical="center"/>
      <protection hidden="1"/>
    </xf>
    <xf numFmtId="0" fontId="28" fillId="31" borderId="26" xfId="0" applyFont="1" applyFill="1" applyBorder="1" applyAlignment="1">
      <alignment horizontal="center" vertical="center"/>
    </xf>
    <xf numFmtId="190" fontId="28" fillId="31" borderId="27" xfId="0" applyNumberFormat="1" applyFont="1" applyFill="1" applyBorder="1" applyProtection="1">
      <alignment vertical="center"/>
      <protection hidden="1"/>
    </xf>
    <xf numFmtId="9" fontId="28" fillId="27" borderId="168" xfId="0" applyNumberFormat="1" applyFont="1" applyFill="1" applyBorder="1" applyAlignment="1" applyProtection="1">
      <alignment horizontal="center" vertical="center"/>
      <protection locked="0" hidden="1"/>
    </xf>
    <xf numFmtId="0" fontId="28" fillId="38" borderId="0" xfId="0" applyFont="1" applyFill="1">
      <alignment vertical="center"/>
    </xf>
    <xf numFmtId="9" fontId="28" fillId="27" borderId="169" xfId="0" applyNumberFormat="1" applyFont="1" applyFill="1" applyBorder="1" applyAlignment="1" applyProtection="1">
      <alignment horizontal="center" vertical="center"/>
      <protection locked="0" hidden="1"/>
    </xf>
    <xf numFmtId="0" fontId="37" fillId="27" borderId="80" xfId="0" applyFont="1" applyFill="1" applyBorder="1" applyAlignment="1" applyProtection="1">
      <alignment horizontal="left" vertical="center"/>
      <protection hidden="1"/>
    </xf>
    <xf numFmtId="0" fontId="7" fillId="27" borderId="27" xfId="0" applyFont="1" applyFill="1" applyBorder="1" applyAlignment="1">
      <alignment horizontal="left" vertical="center" wrapText="1"/>
    </xf>
    <xf numFmtId="0" fontId="37" fillId="27" borderId="26" xfId="0" applyFont="1" applyFill="1" applyBorder="1" applyAlignment="1" applyProtection="1">
      <alignment horizontal="left" vertical="center"/>
      <protection hidden="1"/>
    </xf>
    <xf numFmtId="179" fontId="28" fillId="31" borderId="27" xfId="0" applyNumberFormat="1" applyFont="1" applyFill="1" applyBorder="1" applyAlignment="1" applyProtection="1">
      <alignment horizontal="centerContinuous" vertical="center"/>
      <protection hidden="1"/>
    </xf>
    <xf numFmtId="0" fontId="33" fillId="31" borderId="56" xfId="0" applyFont="1" applyFill="1" applyBorder="1" applyAlignment="1" applyProtection="1">
      <alignment horizontal="centerContinuous" vertical="center"/>
      <protection hidden="1"/>
    </xf>
    <xf numFmtId="9" fontId="28" fillId="27" borderId="170" xfId="0" applyNumberFormat="1" applyFont="1" applyFill="1" applyBorder="1" applyAlignment="1" applyProtection="1">
      <alignment horizontal="center" vertical="center"/>
      <protection locked="0" hidden="1"/>
    </xf>
    <xf numFmtId="0" fontId="26" fillId="0" borderId="55" xfId="0" applyFont="1" applyBorder="1" applyAlignment="1" applyProtection="1">
      <alignment horizontal="center" vertical="center"/>
      <protection hidden="1"/>
    </xf>
    <xf numFmtId="0" fontId="26" fillId="38" borderId="55" xfId="0" applyFont="1" applyFill="1" applyBorder="1" applyAlignment="1" applyProtection="1">
      <alignment horizontal="center" vertical="center"/>
      <protection hidden="1"/>
    </xf>
    <xf numFmtId="0" fontId="7" fillId="38" borderId="0" xfId="0" applyFont="1" applyFill="1" applyAlignment="1">
      <alignment horizontal="left" vertical="center" wrapText="1"/>
    </xf>
    <xf numFmtId="0" fontId="26" fillId="38" borderId="0" xfId="0" applyFont="1" applyFill="1" applyAlignment="1" applyProtection="1">
      <protection hidden="1"/>
    </xf>
    <xf numFmtId="0" fontId="28" fillId="0" borderId="0" xfId="0" applyFont="1" applyAlignment="1"/>
    <xf numFmtId="0" fontId="28" fillId="31" borderId="50" xfId="0" applyFont="1" applyFill="1" applyBorder="1" applyAlignment="1" applyProtection="1">
      <alignment horizontal="right" vertical="center"/>
      <protection hidden="1"/>
    </xf>
    <xf numFmtId="0" fontId="45" fillId="38" borderId="0" xfId="0" applyFont="1" applyFill="1" applyAlignment="1" applyProtection="1">
      <alignment horizontal="left" vertical="center"/>
      <protection hidden="1"/>
    </xf>
    <xf numFmtId="0" fontId="26" fillId="0" borderId="0" xfId="0" applyFont="1" applyAlignment="1" applyProtection="1">
      <alignment horizontal="center" vertical="center"/>
      <protection hidden="1"/>
    </xf>
    <xf numFmtId="0" fontId="42" fillId="38" borderId="0" xfId="0" applyFont="1" applyFill="1" applyProtection="1">
      <alignment vertical="center"/>
      <protection hidden="1"/>
    </xf>
    <xf numFmtId="0" fontId="28" fillId="31" borderId="26" xfId="0" applyFont="1" applyFill="1" applyBorder="1" applyAlignment="1" applyProtection="1">
      <alignment horizontal="centerContinuous" vertical="center"/>
      <protection hidden="1"/>
    </xf>
    <xf numFmtId="0" fontId="28" fillId="27" borderId="10" xfId="0" applyFont="1" applyFill="1" applyBorder="1" applyProtection="1">
      <alignment vertical="center"/>
      <protection hidden="1"/>
    </xf>
    <xf numFmtId="0" fontId="28" fillId="27" borderId="51" xfId="0" applyFont="1" applyFill="1" applyBorder="1" applyProtection="1">
      <alignment vertical="center"/>
      <protection hidden="1"/>
    </xf>
    <xf numFmtId="0" fontId="26" fillId="27" borderId="16" xfId="0" applyFont="1" applyFill="1" applyBorder="1" applyAlignment="1" applyProtection="1">
      <alignment horizontal="center" vertical="center"/>
      <protection hidden="1"/>
    </xf>
    <xf numFmtId="0" fontId="28" fillId="38" borderId="0" xfId="0" applyFont="1" applyFill="1" applyAlignment="1" applyProtection="1">
      <alignment horizontal="left" vertical="center"/>
      <protection hidden="1"/>
    </xf>
    <xf numFmtId="0" fontId="28" fillId="31" borderId="58" xfId="0" applyFont="1" applyFill="1" applyBorder="1" applyAlignment="1" applyProtection="1">
      <alignment horizontal="centerContinuous" vertical="center"/>
      <protection hidden="1"/>
    </xf>
    <xf numFmtId="0" fontId="28" fillId="27" borderId="171" xfId="0" applyFont="1" applyFill="1" applyBorder="1" applyAlignment="1" applyProtection="1">
      <alignment horizontal="left" vertical="center"/>
      <protection hidden="1"/>
    </xf>
    <xf numFmtId="0" fontId="28" fillId="27" borderId="87" xfId="0" applyFont="1" applyFill="1" applyBorder="1" applyAlignment="1" applyProtection="1">
      <alignment horizontal="left" vertical="center"/>
      <protection hidden="1"/>
    </xf>
    <xf numFmtId="0" fontId="28" fillId="27" borderId="14" xfId="0" applyFont="1" applyFill="1" applyBorder="1" applyAlignment="1" applyProtection="1">
      <alignment horizontal="left" vertical="center" wrapText="1"/>
      <protection hidden="1"/>
    </xf>
    <xf numFmtId="0" fontId="28" fillId="27" borderId="13" xfId="0" applyFont="1" applyFill="1" applyBorder="1" applyAlignment="1" applyProtection="1">
      <alignment horizontal="left" vertical="center" wrapText="1"/>
      <protection hidden="1"/>
    </xf>
    <xf numFmtId="0" fontId="28" fillId="0" borderId="0" xfId="0" applyFont="1" applyAlignment="1" applyProtection="1">
      <alignment horizontal="center" vertical="center"/>
      <protection hidden="1"/>
    </xf>
    <xf numFmtId="0" fontId="27" fillId="0" borderId="0" xfId="0" applyFont="1">
      <alignment vertical="center"/>
    </xf>
    <xf numFmtId="179" fontId="28" fillId="31" borderId="26" xfId="0" applyNumberFormat="1" applyFont="1" applyFill="1" applyBorder="1" applyAlignment="1" applyProtection="1">
      <alignment horizontal="left" vertical="center"/>
      <protection hidden="1"/>
    </xf>
    <xf numFmtId="0" fontId="28" fillId="31" borderId="50" xfId="0" applyFont="1" applyFill="1" applyBorder="1">
      <alignment vertical="center"/>
    </xf>
    <xf numFmtId="179" fontId="28" fillId="31" borderId="50" xfId="0" applyNumberFormat="1" applyFont="1" applyFill="1" applyBorder="1" applyAlignment="1" applyProtection="1">
      <alignment horizontal="centerContinuous" vertical="center" wrapText="1"/>
      <protection hidden="1"/>
    </xf>
    <xf numFmtId="0" fontId="28" fillId="31" borderId="27" xfId="0" applyFont="1" applyFill="1" applyBorder="1">
      <alignment vertical="center"/>
    </xf>
    <xf numFmtId="0" fontId="28" fillId="31" borderId="151" xfId="0" applyFont="1" applyFill="1" applyBorder="1" applyAlignment="1" applyProtection="1">
      <alignment horizontal="centerContinuous" vertical="center"/>
      <protection hidden="1"/>
    </xf>
    <xf numFmtId="0" fontId="28" fillId="31" borderId="55" xfId="0" applyFont="1" applyFill="1" applyBorder="1" applyAlignment="1" applyProtection="1">
      <alignment horizontal="centerContinuous" vertical="center"/>
      <protection hidden="1"/>
    </xf>
    <xf numFmtId="0" fontId="28" fillId="31" borderId="57" xfId="0" applyFont="1" applyFill="1" applyBorder="1" applyAlignment="1" applyProtection="1">
      <alignment horizontal="centerContinuous" vertical="center"/>
      <protection hidden="1"/>
    </xf>
    <xf numFmtId="0" fontId="28" fillId="31" borderId="10" xfId="0" applyFont="1" applyFill="1" applyBorder="1" applyAlignment="1" applyProtection="1">
      <alignment horizontal="centerContinuous" vertical="center"/>
      <protection hidden="1"/>
    </xf>
    <xf numFmtId="0" fontId="28" fillId="27" borderId="160" xfId="0" applyFont="1" applyFill="1" applyBorder="1" applyAlignment="1" applyProtection="1">
      <alignment horizontal="left" vertical="center" shrinkToFit="1"/>
      <protection hidden="1"/>
    </xf>
    <xf numFmtId="0" fontId="28" fillId="27" borderId="16" xfId="0" applyFont="1" applyFill="1" applyBorder="1" applyAlignment="1" applyProtection="1">
      <alignment vertical="center" wrapText="1"/>
      <protection hidden="1"/>
    </xf>
    <xf numFmtId="0" fontId="28" fillId="27" borderId="172" xfId="0" applyFont="1" applyFill="1" applyBorder="1" applyAlignment="1" applyProtection="1">
      <alignment vertical="center" wrapText="1"/>
      <protection hidden="1"/>
    </xf>
    <xf numFmtId="0" fontId="28" fillId="27" borderId="173" xfId="0" applyFont="1" applyFill="1" applyBorder="1" applyAlignment="1" applyProtection="1">
      <alignment vertical="center" wrapText="1"/>
      <protection hidden="1"/>
    </xf>
    <xf numFmtId="0" fontId="28" fillId="27" borderId="167" xfId="0" applyFont="1" applyFill="1" applyBorder="1" applyAlignment="1" applyProtection="1">
      <alignment vertical="center" wrapText="1"/>
      <protection hidden="1"/>
    </xf>
    <xf numFmtId="0" fontId="28" fillId="38" borderId="0" xfId="0" applyFont="1" applyFill="1" applyAlignment="1" applyProtection="1">
      <alignment vertical="center" wrapText="1"/>
      <protection hidden="1"/>
    </xf>
    <xf numFmtId="0" fontId="28" fillId="38" borderId="0" xfId="0" applyFont="1" applyFill="1" applyAlignment="1" applyProtection="1">
      <alignment horizontal="left" vertical="center" wrapText="1"/>
      <protection hidden="1"/>
    </xf>
    <xf numFmtId="0" fontId="27" fillId="38" borderId="0" xfId="0" applyFont="1" applyFill="1" applyAlignment="1">
      <alignment horizontal="left" vertical="center"/>
    </xf>
    <xf numFmtId="0" fontId="28" fillId="27" borderId="174" xfId="0" applyFont="1" applyFill="1" applyBorder="1" applyProtection="1">
      <alignment vertical="center"/>
      <protection hidden="1"/>
    </xf>
    <xf numFmtId="0" fontId="28" fillId="27" borderId="13" xfId="0" applyFont="1" applyFill="1" applyBorder="1" applyAlignment="1" applyProtection="1">
      <alignment vertical="center" wrapText="1"/>
      <protection hidden="1"/>
    </xf>
    <xf numFmtId="179" fontId="28" fillId="31" borderId="27" xfId="0" applyNumberFormat="1" applyFont="1" applyFill="1" applyBorder="1" applyAlignment="1" applyProtection="1">
      <alignment horizontal="centerContinuous" vertical="center" wrapText="1"/>
      <protection hidden="1"/>
    </xf>
    <xf numFmtId="0" fontId="28" fillId="27" borderId="10" xfId="0" applyFont="1" applyFill="1" applyBorder="1" applyAlignment="1" applyProtection="1">
      <alignment horizontal="center" vertical="center"/>
      <protection hidden="1"/>
    </xf>
    <xf numFmtId="0" fontId="26" fillId="27" borderId="11" xfId="0" applyFont="1" applyFill="1" applyBorder="1" applyAlignment="1" applyProtection="1">
      <alignment horizontal="center" vertical="center"/>
      <protection hidden="1"/>
    </xf>
    <xf numFmtId="0" fontId="28" fillId="27" borderId="164" xfId="0" applyFont="1" applyFill="1" applyBorder="1" applyAlignment="1" applyProtection="1">
      <alignment horizontal="left" vertical="center" wrapText="1"/>
      <protection hidden="1"/>
    </xf>
    <xf numFmtId="179" fontId="28" fillId="31" borderId="26" xfId="0" applyNumberFormat="1" applyFont="1" applyFill="1" applyBorder="1" applyAlignment="1" applyProtection="1">
      <alignment horizontal="centerContinuous" vertical="center" wrapText="1"/>
      <protection hidden="1"/>
    </xf>
    <xf numFmtId="0" fontId="28" fillId="31" borderId="175" xfId="0" applyFont="1" applyFill="1" applyBorder="1" applyAlignment="1" applyProtection="1">
      <alignment horizontal="left" vertical="center"/>
      <protection hidden="1"/>
    </xf>
    <xf numFmtId="0" fontId="28" fillId="31" borderId="54" xfId="0" applyFont="1" applyFill="1" applyBorder="1" applyAlignment="1" applyProtection="1">
      <alignment horizontal="left" vertical="center"/>
      <protection hidden="1"/>
    </xf>
    <xf numFmtId="0" fontId="28" fillId="31" borderId="176" xfId="0" applyFont="1" applyFill="1" applyBorder="1" applyAlignment="1" applyProtection="1">
      <alignment horizontal="left" vertical="center"/>
      <protection hidden="1"/>
    </xf>
    <xf numFmtId="0" fontId="28" fillId="31" borderId="58" xfId="0" applyFont="1" applyFill="1" applyBorder="1" applyAlignment="1" applyProtection="1">
      <alignment horizontal="left" vertical="center"/>
      <protection hidden="1"/>
    </xf>
    <xf numFmtId="0" fontId="28" fillId="27" borderId="172" xfId="0" applyFont="1" applyFill="1" applyBorder="1" applyAlignment="1" applyProtection="1">
      <alignment horizontal="left" vertical="center"/>
      <protection hidden="1"/>
    </xf>
    <xf numFmtId="0" fontId="28" fillId="27" borderId="177" xfId="0" applyFont="1" applyFill="1" applyBorder="1" applyAlignment="1" applyProtection="1">
      <alignment horizontal="left" vertical="center"/>
      <protection hidden="1"/>
    </xf>
    <xf numFmtId="0" fontId="28" fillId="27" borderId="178" xfId="0" applyFont="1" applyFill="1" applyBorder="1" applyAlignment="1" applyProtection="1">
      <alignment horizontal="left" vertical="center"/>
      <protection hidden="1"/>
    </xf>
    <xf numFmtId="0" fontId="37" fillId="27" borderId="179" xfId="0" applyFont="1" applyFill="1" applyBorder="1" applyAlignment="1" applyProtection="1">
      <alignment horizontal="left" vertical="center"/>
      <protection hidden="1"/>
    </xf>
    <xf numFmtId="0" fontId="37" fillId="27" borderId="14" xfId="0" applyFont="1" applyFill="1" applyBorder="1" applyAlignment="1" applyProtection="1">
      <alignment horizontal="left" vertical="center"/>
      <protection hidden="1"/>
    </xf>
    <xf numFmtId="0" fontId="28" fillId="27" borderId="12" xfId="0" applyFont="1" applyFill="1" applyBorder="1" applyProtection="1">
      <alignment vertical="center"/>
      <protection hidden="1"/>
    </xf>
    <xf numFmtId="0" fontId="28" fillId="27" borderId="13" xfId="0" applyFont="1" applyFill="1" applyBorder="1" applyProtection="1">
      <alignment vertical="center"/>
      <protection hidden="1"/>
    </xf>
    <xf numFmtId="0" fontId="28" fillId="0" borderId="0" xfId="0" applyFont="1" applyAlignment="1" applyProtection="1">
      <alignment horizontal="left" vertical="center" wrapText="1"/>
      <protection hidden="1"/>
    </xf>
    <xf numFmtId="0" fontId="45" fillId="0" borderId="0" xfId="29" applyFont="1" applyFill="1" applyAlignment="1" applyProtection="1">
      <alignment horizontal="left" vertical="center"/>
      <protection hidden="1"/>
    </xf>
    <xf numFmtId="0" fontId="28" fillId="27" borderId="160" xfId="0" applyFont="1" applyFill="1" applyBorder="1" applyAlignment="1" applyProtection="1">
      <alignment vertical="center" shrinkToFit="1"/>
      <protection hidden="1"/>
    </xf>
    <xf numFmtId="0" fontId="28" fillId="27" borderId="52" xfId="0" applyFont="1" applyFill="1" applyBorder="1" applyProtection="1">
      <alignment vertical="center"/>
      <protection hidden="1"/>
    </xf>
    <xf numFmtId="0" fontId="28" fillId="38" borderId="0" xfId="0" applyFont="1" applyFill="1" applyAlignment="1" applyProtection="1">
      <alignment horizontal="center" vertical="center"/>
      <protection hidden="1"/>
    </xf>
    <xf numFmtId="0" fontId="7" fillId="38" borderId="0" xfId="0" applyFont="1" applyFill="1" applyProtection="1">
      <alignment vertical="center"/>
      <protection hidden="1"/>
    </xf>
    <xf numFmtId="0" fontId="0" fillId="43" borderId="0" xfId="0" applyFill="1">
      <alignment vertical="center"/>
    </xf>
    <xf numFmtId="0" fontId="26" fillId="38" borderId="0" xfId="0" applyFont="1" applyFill="1" applyProtection="1">
      <alignment vertical="center"/>
      <protection hidden="1"/>
    </xf>
    <xf numFmtId="0" fontId="28" fillId="27" borderId="26" xfId="0" applyFont="1" applyFill="1" applyBorder="1" applyProtection="1">
      <alignment vertical="center"/>
      <protection hidden="1"/>
    </xf>
    <xf numFmtId="0" fontId="28" fillId="27" borderId="50" xfId="0" applyFont="1" applyFill="1" applyBorder="1" applyProtection="1">
      <alignment vertical="center"/>
      <protection hidden="1"/>
    </xf>
    <xf numFmtId="0" fontId="28" fillId="27" borderId="27" xfId="0" applyFont="1" applyFill="1" applyBorder="1" applyProtection="1">
      <alignment vertical="center"/>
      <protection hidden="1"/>
    </xf>
    <xf numFmtId="0" fontId="28" fillId="27" borderId="51" xfId="0" applyFont="1" applyFill="1" applyBorder="1" applyAlignment="1" applyProtection="1">
      <alignment vertical="center" wrapText="1"/>
      <protection hidden="1"/>
    </xf>
    <xf numFmtId="0" fontId="28" fillId="27" borderId="16" xfId="0" applyFont="1" applyFill="1" applyBorder="1" applyAlignment="1" applyProtection="1">
      <alignment horizontal="left" vertical="center" wrapText="1"/>
      <protection hidden="1"/>
    </xf>
    <xf numFmtId="0" fontId="28" fillId="27" borderId="11" xfId="0" applyFont="1" applyFill="1" applyBorder="1" applyAlignment="1">
      <alignment vertical="center" wrapText="1"/>
    </xf>
    <xf numFmtId="0" fontId="7" fillId="38" borderId="0" xfId="0" applyFont="1" applyFill="1">
      <alignment vertical="center"/>
    </xf>
    <xf numFmtId="0" fontId="148" fillId="38" borderId="57" xfId="0" applyFont="1" applyFill="1" applyBorder="1" applyProtection="1">
      <alignment vertical="center"/>
      <protection hidden="1"/>
    </xf>
    <xf numFmtId="0" fontId="42" fillId="38" borderId="57" xfId="0" applyFont="1" applyFill="1" applyBorder="1" applyProtection="1">
      <alignment vertical="center"/>
      <protection hidden="1"/>
    </xf>
    <xf numFmtId="0" fontId="37" fillId="31" borderId="26" xfId="0" applyFont="1" applyFill="1" applyBorder="1" applyAlignment="1" applyProtection="1">
      <alignment horizontal="right" vertical="center"/>
      <protection hidden="1"/>
    </xf>
    <xf numFmtId="179" fontId="28" fillId="31" borderId="10" xfId="0" applyNumberFormat="1" applyFont="1" applyFill="1" applyBorder="1" applyAlignment="1" applyProtection="1">
      <alignment horizontal="centerContinuous" vertical="center"/>
      <protection hidden="1"/>
    </xf>
    <xf numFmtId="0" fontId="26" fillId="42" borderId="159" xfId="0" applyFont="1" applyFill="1" applyBorder="1" applyAlignment="1" applyProtection="1">
      <alignment horizontal="center" vertical="center"/>
      <protection hidden="1"/>
    </xf>
    <xf numFmtId="0" fontId="26" fillId="42" borderId="163" xfId="0" applyFont="1" applyFill="1" applyBorder="1" applyAlignment="1" applyProtection="1">
      <alignment horizontal="center" vertical="center"/>
      <protection hidden="1"/>
    </xf>
    <xf numFmtId="0" fontId="26" fillId="42" borderId="164" xfId="0" applyFont="1" applyFill="1" applyBorder="1" applyAlignment="1" applyProtection="1">
      <alignment horizontal="center" vertical="center"/>
      <protection hidden="1"/>
    </xf>
    <xf numFmtId="0" fontId="28" fillId="44" borderId="26" xfId="0" applyFont="1" applyFill="1" applyBorder="1" applyAlignment="1" applyProtection="1">
      <alignment horizontal="centerContinuous" vertical="center"/>
      <protection hidden="1"/>
    </xf>
    <xf numFmtId="0" fontId="28" fillId="44" borderId="50" xfId="0" applyFont="1" applyFill="1" applyBorder="1" applyAlignment="1" applyProtection="1">
      <alignment horizontal="centerContinuous" vertical="center"/>
      <protection hidden="1"/>
    </xf>
    <xf numFmtId="0" fontId="0" fillId="25" borderId="10" xfId="0" applyFill="1" applyBorder="1">
      <alignment vertical="center"/>
    </xf>
    <xf numFmtId="0" fontId="26" fillId="27" borderId="171" xfId="0" applyFont="1" applyFill="1" applyBorder="1" applyAlignment="1" applyProtection="1">
      <alignment horizontal="center" vertical="center"/>
      <protection hidden="1"/>
    </xf>
    <xf numFmtId="0" fontId="26" fillId="27" borderId="165" xfId="0" applyFont="1" applyFill="1" applyBorder="1" applyAlignment="1" applyProtection="1">
      <alignment horizontal="center" vertical="center"/>
      <protection hidden="1"/>
    </xf>
    <xf numFmtId="0" fontId="28" fillId="0" borderId="17" xfId="0" applyFont="1" applyBorder="1" applyAlignment="1" applyProtection="1">
      <alignment horizontal="center" vertical="center"/>
      <protection hidden="1"/>
    </xf>
    <xf numFmtId="0" fontId="28" fillId="38" borderId="0" xfId="0" applyFont="1" applyFill="1" applyAlignment="1">
      <alignment horizontal="center" vertical="center"/>
    </xf>
    <xf numFmtId="190" fontId="28" fillId="31" borderId="54" xfId="0" applyNumberFormat="1" applyFont="1" applyFill="1" applyBorder="1" applyAlignment="1" applyProtection="1">
      <alignment horizontal="center" vertical="center"/>
      <protection hidden="1"/>
    </xf>
    <xf numFmtId="0" fontId="28" fillId="31" borderId="52" xfId="0" applyFont="1" applyFill="1" applyBorder="1" applyAlignment="1" applyProtection="1">
      <alignment horizontal="centerContinuous" vertical="center"/>
      <protection hidden="1"/>
    </xf>
    <xf numFmtId="0" fontId="28" fillId="31" borderId="54" xfId="0" applyFont="1" applyFill="1" applyBorder="1" applyAlignment="1" applyProtection="1">
      <alignment horizontal="centerContinuous" vertical="center"/>
      <protection hidden="1"/>
    </xf>
    <xf numFmtId="0" fontId="28" fillId="38" borderId="0" xfId="0" applyFont="1" applyFill="1" applyAlignment="1" applyProtection="1">
      <alignment horizontal="left" vertical="top"/>
      <protection hidden="1"/>
    </xf>
    <xf numFmtId="0" fontId="28" fillId="27" borderId="180" xfId="0" applyFont="1" applyFill="1" applyBorder="1" applyProtection="1">
      <alignment vertical="center"/>
      <protection hidden="1"/>
    </xf>
    <xf numFmtId="0" fontId="28" fillId="27" borderId="161" xfId="0" applyFont="1" applyFill="1" applyBorder="1" applyProtection="1">
      <alignment vertical="center"/>
      <protection hidden="1"/>
    </xf>
    <xf numFmtId="0" fontId="28" fillId="27" borderId="162" xfId="0" applyFont="1" applyFill="1" applyBorder="1" applyProtection="1">
      <alignment vertical="center"/>
      <protection hidden="1"/>
    </xf>
    <xf numFmtId="0" fontId="28" fillId="27" borderId="181" xfId="0" applyFont="1" applyFill="1" applyBorder="1" applyProtection="1">
      <alignment vertical="center"/>
      <protection hidden="1"/>
    </xf>
    <xf numFmtId="0" fontId="28" fillId="27" borderId="14" xfId="0" applyFont="1" applyFill="1" applyBorder="1" applyProtection="1">
      <alignment vertical="center"/>
      <protection hidden="1"/>
    </xf>
    <xf numFmtId="0" fontId="28" fillId="27" borderId="182" xfId="0" applyFont="1" applyFill="1" applyBorder="1" applyProtection="1">
      <alignment vertical="center"/>
      <protection hidden="1"/>
    </xf>
    <xf numFmtId="0" fontId="28" fillId="27" borderId="167" xfId="0" applyFont="1" applyFill="1" applyBorder="1" applyProtection="1">
      <alignment vertical="center"/>
      <protection hidden="1"/>
    </xf>
    <xf numFmtId="0" fontId="28" fillId="27" borderId="166" xfId="0" applyFont="1" applyFill="1" applyBorder="1" applyProtection="1">
      <alignment vertical="center"/>
      <protection hidden="1"/>
    </xf>
    <xf numFmtId="0" fontId="28" fillId="27" borderId="50" xfId="0" applyFont="1" applyFill="1" applyBorder="1" applyAlignment="1" applyProtection="1">
      <alignment horizontal="center" vertical="center"/>
      <protection hidden="1"/>
    </xf>
    <xf numFmtId="0" fontId="26" fillId="27" borderId="50" xfId="0" applyFont="1" applyFill="1" applyBorder="1" applyAlignment="1" applyProtection="1">
      <alignment horizontal="center" vertical="center" wrapText="1"/>
      <protection hidden="1"/>
    </xf>
    <xf numFmtId="0" fontId="26" fillId="27" borderId="27" xfId="0" applyFont="1" applyFill="1" applyBorder="1" applyAlignment="1" applyProtection="1">
      <alignment horizontal="center" vertical="center" wrapText="1"/>
      <protection hidden="1"/>
    </xf>
    <xf numFmtId="0" fontId="28" fillId="27" borderId="51" xfId="0" applyFont="1" applyFill="1" applyBorder="1" applyAlignment="1" applyProtection="1">
      <alignment horizontal="center" vertical="center"/>
      <protection hidden="1"/>
    </xf>
    <xf numFmtId="0" fontId="7" fillId="27" borderId="11" xfId="0" applyFont="1" applyFill="1" applyBorder="1" applyAlignment="1" applyProtection="1">
      <alignment horizontal="center" vertical="center"/>
      <protection hidden="1"/>
    </xf>
    <xf numFmtId="178" fontId="26" fillId="27" borderId="27" xfId="0" applyNumberFormat="1" applyFont="1" applyFill="1" applyBorder="1" applyAlignment="1" applyProtection="1">
      <alignment horizontal="center" vertical="center" wrapText="1"/>
      <protection hidden="1"/>
    </xf>
    <xf numFmtId="0" fontId="28" fillId="27" borderId="181" xfId="0" applyFont="1" applyFill="1" applyBorder="1" applyAlignment="1" applyProtection="1">
      <alignment horizontal="left" vertical="center"/>
      <protection hidden="1"/>
    </xf>
    <xf numFmtId="0" fontId="28" fillId="27" borderId="13" xfId="0" applyFont="1" applyFill="1" applyBorder="1">
      <alignment vertical="center"/>
    </xf>
    <xf numFmtId="0" fontId="42" fillId="27" borderId="50" xfId="0" applyFont="1" applyFill="1" applyBorder="1" applyAlignment="1" applyProtection="1">
      <alignment vertical="center" wrapText="1"/>
      <protection hidden="1"/>
    </xf>
    <xf numFmtId="0" fontId="0" fillId="25" borderId="0" xfId="0" applyFill="1">
      <alignment vertical="center"/>
    </xf>
    <xf numFmtId="0" fontId="28" fillId="27" borderId="10" xfId="0" quotePrefix="1" applyFont="1" applyFill="1" applyBorder="1" applyAlignment="1" applyProtection="1">
      <alignment horizontal="left" vertical="center"/>
      <protection hidden="1"/>
    </xf>
    <xf numFmtId="0" fontId="7" fillId="27" borderId="51" xfId="0" quotePrefix="1" applyFont="1" applyFill="1" applyBorder="1" applyAlignment="1" applyProtection="1">
      <alignment horizontal="center" vertical="center"/>
      <protection hidden="1"/>
    </xf>
    <xf numFmtId="0" fontId="7" fillId="27" borderId="11" xfId="0" quotePrefix="1" applyFont="1" applyFill="1" applyBorder="1" applyAlignment="1" applyProtection="1">
      <alignment horizontal="center" vertical="center"/>
      <protection hidden="1"/>
    </xf>
    <xf numFmtId="0" fontId="7" fillId="27" borderId="164" xfId="0" applyFont="1" applyFill="1" applyBorder="1" applyAlignment="1" applyProtection="1">
      <alignment horizontal="center" vertical="center"/>
      <protection hidden="1"/>
    </xf>
    <xf numFmtId="0" fontId="45" fillId="0" borderId="0" xfId="29" applyFont="1" applyFill="1" applyAlignment="1" applyProtection="1">
      <alignment horizontal="left"/>
      <protection hidden="1"/>
    </xf>
    <xf numFmtId="0" fontId="28" fillId="27" borderId="161" xfId="0" applyFont="1" applyFill="1" applyBorder="1" applyAlignment="1" applyProtection="1">
      <alignment vertical="center" wrapText="1"/>
      <protection hidden="1"/>
    </xf>
    <xf numFmtId="0" fontId="28" fillId="31" borderId="27" xfId="0" applyFont="1" applyFill="1" applyBorder="1" applyAlignment="1" applyProtection="1">
      <alignment horizontal="centerContinuous" vertical="top"/>
      <protection hidden="1"/>
    </xf>
    <xf numFmtId="0" fontId="26" fillId="27" borderId="27" xfId="0" applyFont="1" applyFill="1" applyBorder="1" applyAlignment="1" applyProtection="1">
      <alignment horizontal="centerContinuous" vertical="center"/>
      <protection hidden="1"/>
    </xf>
    <xf numFmtId="0" fontId="26" fillId="27" borderId="168" xfId="0" applyFont="1" applyFill="1" applyBorder="1" applyAlignment="1" applyProtection="1">
      <alignment horizontal="center" vertical="center"/>
      <protection locked="0" hidden="1"/>
    </xf>
    <xf numFmtId="0" fontId="28" fillId="27" borderId="161" xfId="0" applyFont="1" applyFill="1" applyBorder="1" applyAlignment="1" applyProtection="1">
      <alignment horizontal="left" vertical="center" wrapText="1"/>
      <protection hidden="1"/>
    </xf>
    <xf numFmtId="0" fontId="28" fillId="27" borderId="162" xfId="0" applyFont="1" applyFill="1" applyBorder="1" applyAlignment="1" applyProtection="1">
      <alignment horizontal="left" vertical="center" wrapText="1"/>
      <protection hidden="1"/>
    </xf>
    <xf numFmtId="0" fontId="26" fillId="27" borderId="169" xfId="0" applyFont="1" applyFill="1" applyBorder="1" applyAlignment="1" applyProtection="1">
      <alignment horizontal="center" vertical="center"/>
      <protection locked="0" hidden="1"/>
    </xf>
    <xf numFmtId="0" fontId="28" fillId="27" borderId="180" xfId="0" applyFont="1" applyFill="1" applyBorder="1" applyAlignment="1" applyProtection="1">
      <alignment horizontal="left" vertical="center"/>
      <protection hidden="1"/>
    </xf>
    <xf numFmtId="0" fontId="28" fillId="31" borderId="50" xfId="0" applyFont="1" applyFill="1" applyBorder="1" applyAlignment="1" applyProtection="1">
      <alignment horizontal="centerContinuous" vertical="top"/>
      <protection hidden="1"/>
    </xf>
    <xf numFmtId="0" fontId="28" fillId="27" borderId="161" xfId="0" applyFont="1" applyFill="1" applyBorder="1" applyAlignment="1" applyProtection="1">
      <alignment horizontal="left" vertical="top"/>
      <protection hidden="1"/>
    </xf>
    <xf numFmtId="0" fontId="28" fillId="27" borderId="13" xfId="0" applyFont="1" applyFill="1" applyBorder="1" applyAlignment="1" applyProtection="1">
      <alignment horizontal="left" vertical="top"/>
      <protection hidden="1"/>
    </xf>
    <xf numFmtId="0" fontId="28" fillId="27" borderId="167" xfId="0" applyFont="1" applyFill="1" applyBorder="1" applyAlignment="1" applyProtection="1">
      <alignment horizontal="left" vertical="top"/>
      <protection hidden="1"/>
    </xf>
    <xf numFmtId="0" fontId="28" fillId="27" borderId="161" xfId="0" applyFont="1" applyFill="1" applyBorder="1">
      <alignment vertical="center"/>
    </xf>
    <xf numFmtId="0" fontId="28" fillId="27" borderId="162" xfId="0" applyFont="1" applyFill="1" applyBorder="1" applyAlignment="1" applyProtection="1">
      <alignment horizontal="left" vertical="top"/>
      <protection hidden="1"/>
    </xf>
    <xf numFmtId="0" fontId="28" fillId="27" borderId="14" xfId="0" applyFont="1" applyFill="1" applyBorder="1" applyAlignment="1" applyProtection="1">
      <alignment horizontal="left" vertical="top"/>
      <protection hidden="1"/>
    </xf>
    <xf numFmtId="0" fontId="28" fillId="27" borderId="166" xfId="0" applyFont="1" applyFill="1" applyBorder="1" applyAlignment="1" applyProtection="1">
      <alignment horizontal="left" vertical="top"/>
      <protection hidden="1"/>
    </xf>
    <xf numFmtId="0" fontId="28" fillId="0" borderId="0" xfId="0" applyFont="1" applyAlignment="1" applyProtection="1">
      <alignment horizontal="left" vertical="top"/>
      <protection hidden="1"/>
    </xf>
    <xf numFmtId="0" fontId="69" fillId="0" borderId="0" xfId="0" applyFont="1" applyAlignment="1" applyProtection="1">
      <alignment horizontal="left" vertical="center"/>
      <protection hidden="1"/>
    </xf>
    <xf numFmtId="0" fontId="145" fillId="0" borderId="0" xfId="0" applyFont="1" applyProtection="1">
      <alignment vertical="center"/>
      <protection hidden="1"/>
    </xf>
    <xf numFmtId="0" fontId="146" fillId="0" borderId="0" xfId="0" applyFont="1" applyAlignment="1" applyProtection="1">
      <alignment horizontal="left" vertical="top"/>
      <protection hidden="1"/>
    </xf>
    <xf numFmtId="0" fontId="28" fillId="31" borderId="58" xfId="0" applyFont="1" applyFill="1" applyBorder="1" applyAlignment="1" applyProtection="1">
      <alignment horizontal="center" vertical="center"/>
      <protection hidden="1"/>
    </xf>
    <xf numFmtId="0" fontId="7" fillId="27" borderId="16" xfId="0" quotePrefix="1" applyFont="1" applyFill="1" applyBorder="1" applyAlignment="1" applyProtection="1">
      <alignment horizontal="center" vertical="center" wrapText="1"/>
      <protection hidden="1"/>
    </xf>
    <xf numFmtId="0" fontId="7" fillId="27" borderId="14" xfId="0" quotePrefix="1" applyFont="1" applyFill="1" applyBorder="1" applyAlignment="1" applyProtection="1">
      <alignment horizontal="center" vertical="center" wrapText="1"/>
      <protection hidden="1"/>
    </xf>
    <xf numFmtId="0" fontId="28" fillId="27" borderId="177" xfId="0" applyFont="1" applyFill="1" applyBorder="1" applyAlignment="1" applyProtection="1">
      <alignment horizontal="left" vertical="center" wrapText="1"/>
      <protection hidden="1"/>
    </xf>
    <xf numFmtId="0" fontId="28" fillId="27" borderId="178" xfId="0" applyFont="1" applyFill="1" applyBorder="1" applyAlignment="1" applyProtection="1">
      <alignment horizontal="left" vertical="center" wrapText="1"/>
      <protection hidden="1"/>
    </xf>
    <xf numFmtId="0" fontId="28" fillId="27" borderId="167" xfId="0" applyFont="1" applyFill="1" applyBorder="1" applyAlignment="1" applyProtection="1">
      <alignment horizontal="left" vertical="center" wrapText="1"/>
      <protection hidden="1"/>
    </xf>
    <xf numFmtId="0" fontId="28" fillId="27" borderId="166" xfId="0" applyFont="1" applyFill="1" applyBorder="1" applyAlignment="1" applyProtection="1">
      <alignment horizontal="left" vertical="center" wrapText="1"/>
      <protection hidden="1"/>
    </xf>
    <xf numFmtId="0" fontId="7" fillId="27" borderId="14" xfId="0" applyFont="1" applyFill="1" applyBorder="1" applyAlignment="1" applyProtection="1">
      <alignment horizontal="center" vertical="center" wrapText="1"/>
      <protection hidden="1"/>
    </xf>
    <xf numFmtId="0" fontId="147" fillId="0" borderId="0" xfId="0" applyFont="1" applyAlignment="1" applyProtection="1">
      <alignment horizontal="left" vertical="top"/>
      <protection hidden="1"/>
    </xf>
    <xf numFmtId="0" fontId="7" fillId="27" borderId="16" xfId="0" applyFont="1" applyFill="1" applyBorder="1" applyAlignment="1" applyProtection="1">
      <alignment horizontal="center" vertical="center" wrapText="1"/>
      <protection hidden="1"/>
    </xf>
    <xf numFmtId="176" fontId="7" fillId="27" borderId="15" xfId="0" applyNumberFormat="1" applyFont="1" applyFill="1" applyBorder="1" applyAlignment="1" applyProtection="1">
      <alignment horizontal="center" vertical="center" wrapText="1"/>
      <protection hidden="1"/>
    </xf>
    <xf numFmtId="0" fontId="7" fillId="27" borderId="163" xfId="0" applyFont="1" applyFill="1" applyBorder="1" applyAlignment="1" applyProtection="1">
      <alignment horizontal="center" vertical="center"/>
      <protection hidden="1"/>
    </xf>
    <xf numFmtId="0" fontId="147" fillId="0" borderId="0" xfId="0" applyFont="1">
      <alignment vertical="center"/>
    </xf>
    <xf numFmtId="0" fontId="28" fillId="31" borderId="50" xfId="0" applyFont="1" applyFill="1" applyBorder="1" applyAlignment="1">
      <alignment horizontal="centerContinuous" vertical="center"/>
    </xf>
    <xf numFmtId="0" fontId="28" fillId="31" borderId="55" xfId="0" applyFont="1" applyFill="1" applyBorder="1">
      <alignment vertical="center"/>
    </xf>
    <xf numFmtId="0" fontId="28" fillId="31" borderId="50" xfId="0" applyFont="1" applyFill="1" applyBorder="1" applyAlignment="1" applyProtection="1">
      <alignment horizontal="left" vertical="center"/>
      <protection hidden="1"/>
    </xf>
    <xf numFmtId="0" fontId="28" fillId="31" borderId="56" xfId="0" applyFont="1" applyFill="1" applyBorder="1" applyAlignment="1" applyProtection="1">
      <alignment horizontal="left" vertical="center"/>
      <protection hidden="1"/>
    </xf>
    <xf numFmtId="0" fontId="28" fillId="31" borderId="0" xfId="0" applyFont="1" applyFill="1">
      <alignment vertical="center"/>
    </xf>
    <xf numFmtId="0" fontId="26" fillId="27" borderId="171" xfId="0" applyFont="1" applyFill="1" applyBorder="1" applyAlignment="1" applyProtection="1">
      <alignment horizontal="centerContinuous" vertical="center"/>
      <protection hidden="1"/>
    </xf>
    <xf numFmtId="0" fontId="26" fillId="27" borderId="12" xfId="0" applyFont="1" applyFill="1" applyBorder="1" applyAlignment="1" applyProtection="1">
      <alignment horizontal="centerContinuous" vertical="center"/>
      <protection hidden="1"/>
    </xf>
    <xf numFmtId="0" fontId="26" fillId="27" borderId="56" xfId="0" applyFont="1" applyFill="1" applyBorder="1" applyAlignment="1" applyProtection="1">
      <alignment horizontal="centerContinuous" vertical="center"/>
      <protection hidden="1"/>
    </xf>
    <xf numFmtId="0" fontId="24"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8" fillId="31" borderId="53" xfId="0" applyFont="1" applyFill="1" applyBorder="1" applyAlignment="1" applyProtection="1">
      <alignment horizontal="centerContinuous" vertical="center"/>
      <protection hidden="1"/>
    </xf>
    <xf numFmtId="0" fontId="24" fillId="0" borderId="0" xfId="0" applyFont="1">
      <alignment vertical="center"/>
    </xf>
    <xf numFmtId="176" fontId="28" fillId="31" borderId="26" xfId="0" applyNumberFormat="1" applyFont="1" applyFill="1" applyBorder="1" applyAlignment="1" applyProtection="1">
      <alignment horizontal="centerContinuous" vertical="center"/>
      <protection hidden="1"/>
    </xf>
    <xf numFmtId="176" fontId="28" fillId="31" borderId="53" xfId="0" applyNumberFormat="1" applyFont="1" applyFill="1" applyBorder="1" applyAlignment="1" applyProtection="1">
      <alignment horizontal="centerContinuous" vertical="center"/>
      <protection hidden="1"/>
    </xf>
    <xf numFmtId="0" fontId="28" fillId="27" borderId="26" xfId="0" applyFont="1" applyFill="1" applyBorder="1" applyAlignment="1" applyProtection="1">
      <alignment horizontal="left" vertical="center"/>
      <protection hidden="1"/>
    </xf>
    <xf numFmtId="0" fontId="45" fillId="0" borderId="0" xfId="0" applyFont="1" applyAlignment="1">
      <alignment horizontal="right" vertical="center"/>
    </xf>
    <xf numFmtId="0" fontId="26" fillId="31" borderId="10" xfId="0" applyFont="1" applyFill="1" applyBorder="1" applyAlignment="1" applyProtection="1">
      <alignment horizontal="centerContinuous" vertical="center"/>
      <protection hidden="1"/>
    </xf>
    <xf numFmtId="0" fontId="26" fillId="27" borderId="55" xfId="0" applyFont="1" applyFill="1" applyBorder="1" applyAlignment="1" applyProtection="1">
      <alignment horizontal="center" vertical="center"/>
      <protection hidden="1"/>
    </xf>
    <xf numFmtId="177" fontId="28" fillId="27" borderId="87" xfId="0" applyNumberFormat="1" applyFont="1" applyFill="1" applyBorder="1" applyAlignment="1" applyProtection="1">
      <alignment horizontal="left" vertical="center"/>
      <protection hidden="1"/>
    </xf>
    <xf numFmtId="0" fontId="26" fillId="27" borderId="163" xfId="0" applyFont="1" applyFill="1" applyBorder="1" applyAlignment="1" applyProtection="1">
      <alignment horizontal="centerContinuous" vertical="center"/>
      <protection hidden="1"/>
    </xf>
    <xf numFmtId="0" fontId="26" fillId="27" borderId="11" xfId="0" applyFont="1" applyFill="1" applyBorder="1" applyAlignment="1" applyProtection="1">
      <alignment horizontal="centerContinuous" vertical="center"/>
      <protection hidden="1"/>
    </xf>
    <xf numFmtId="0" fontId="26" fillId="27" borderId="55" xfId="0" applyFont="1" applyFill="1" applyBorder="1" applyAlignment="1" applyProtection="1">
      <alignment horizontal="centerContinuous" vertical="center"/>
      <protection hidden="1"/>
    </xf>
    <xf numFmtId="0" fontId="28" fillId="27" borderId="26" xfId="0" applyFont="1" applyFill="1" applyBorder="1" applyAlignment="1">
      <alignment horizontal="center" vertical="center"/>
    </xf>
    <xf numFmtId="0" fontId="28" fillId="27" borderId="50" xfId="0" applyFont="1" applyFill="1" applyBorder="1" applyAlignment="1">
      <alignment horizontal="center" vertical="center"/>
    </xf>
    <xf numFmtId="0" fontId="28" fillId="27" borderId="27" xfId="0" applyFont="1" applyFill="1" applyBorder="1" applyAlignment="1">
      <alignment horizontal="center" vertical="center"/>
    </xf>
    <xf numFmtId="0" fontId="28" fillId="27" borderId="26" xfId="0" applyFont="1" applyFill="1" applyBorder="1" applyAlignment="1">
      <alignment horizontal="centerContinuous" vertical="center"/>
    </xf>
    <xf numFmtId="0" fontId="28" fillId="27" borderId="27" xfId="0" applyFont="1" applyFill="1" applyBorder="1" applyAlignment="1">
      <alignment horizontal="centerContinuous" vertical="center"/>
    </xf>
    <xf numFmtId="0" fontId="28" fillId="27" borderId="10" xfId="0" applyFont="1" applyFill="1" applyBorder="1" applyAlignment="1">
      <alignment horizontal="center" vertical="center" wrapText="1"/>
    </xf>
    <xf numFmtId="0" fontId="28" fillId="27" borderId="26" xfId="0" applyFont="1" applyFill="1" applyBorder="1" applyAlignment="1">
      <alignment horizontal="left" vertical="center"/>
    </xf>
    <xf numFmtId="0" fontId="28" fillId="27" borderId="50" xfId="0" applyFont="1" applyFill="1" applyBorder="1" applyAlignment="1">
      <alignment horizontal="left" vertical="center"/>
    </xf>
    <xf numFmtId="0" fontId="28" fillId="27" borderId="27" xfId="0" applyFont="1" applyFill="1" applyBorder="1" applyAlignment="1">
      <alignment horizontal="left" vertical="center"/>
    </xf>
    <xf numFmtId="0" fontId="7" fillId="0" borderId="57" xfId="0" applyFont="1" applyBorder="1" applyAlignment="1">
      <alignment horizontal="center" vertical="center"/>
    </xf>
    <xf numFmtId="0" fontId="7" fillId="0" borderId="57" xfId="0" applyFont="1" applyBorder="1">
      <alignment vertical="center"/>
    </xf>
    <xf numFmtId="0" fontId="33" fillId="27" borderId="10" xfId="0" applyFont="1" applyFill="1" applyBorder="1" applyAlignment="1">
      <alignment horizontal="left" vertical="center" shrinkToFit="1"/>
    </xf>
    <xf numFmtId="38" fontId="7" fillId="0" borderId="0" xfId="35">
      <alignment vertical="center"/>
    </xf>
    <xf numFmtId="0" fontId="33" fillId="0" borderId="57" xfId="0" applyFont="1" applyBorder="1" applyAlignment="1">
      <alignment horizontal="center" vertical="top"/>
    </xf>
    <xf numFmtId="0" fontId="28" fillId="0" borderId="57" xfId="0" applyFont="1" applyBorder="1">
      <alignment vertical="center"/>
    </xf>
    <xf numFmtId="0" fontId="28" fillId="0" borderId="0" xfId="0" applyFont="1" applyAlignment="1">
      <alignment vertical="top"/>
    </xf>
    <xf numFmtId="0" fontId="69" fillId="0" borderId="0" xfId="0" applyFont="1" applyAlignment="1">
      <alignment horizontal="left" vertical="center"/>
    </xf>
    <xf numFmtId="0" fontId="28" fillId="0" borderId="0" xfId="0" applyFont="1" applyAlignment="1" applyProtection="1">
      <alignment vertical="top"/>
      <protection hidden="1"/>
    </xf>
    <xf numFmtId="0" fontId="147" fillId="0" borderId="0" xfId="0" applyFont="1" applyAlignment="1" applyProtection="1">
      <alignment vertical="top"/>
      <protection hidden="1"/>
    </xf>
    <xf numFmtId="0" fontId="37" fillId="27" borderId="162" xfId="0" applyFont="1" applyFill="1" applyBorder="1" applyAlignment="1" applyProtection="1">
      <alignment vertical="top"/>
      <protection hidden="1"/>
    </xf>
    <xf numFmtId="0" fontId="37" fillId="27" borderId="17" xfId="0" applyFont="1" applyFill="1" applyBorder="1" applyAlignment="1" applyProtection="1">
      <alignment vertical="top"/>
      <protection hidden="1"/>
    </xf>
    <xf numFmtId="0" fontId="37" fillId="27" borderId="178" xfId="0" applyFont="1" applyFill="1" applyBorder="1" applyAlignment="1" applyProtection="1">
      <alignment vertical="top"/>
      <protection hidden="1"/>
    </xf>
    <xf numFmtId="0" fontId="37" fillId="27" borderId="166" xfId="0" applyFont="1" applyFill="1" applyBorder="1" applyAlignment="1" applyProtection="1">
      <alignment vertical="top"/>
      <protection hidden="1"/>
    </xf>
    <xf numFmtId="0" fontId="37" fillId="0" borderId="0" xfId="0" applyFont="1" applyAlignment="1" applyProtection="1">
      <alignment horizontal="right" vertical="center"/>
      <protection hidden="1"/>
    </xf>
    <xf numFmtId="0" fontId="37" fillId="0" borderId="0" xfId="0" applyFont="1" applyAlignment="1" applyProtection="1">
      <alignment horizontal="left" vertical="center"/>
      <protection hidden="1"/>
    </xf>
    <xf numFmtId="0" fontId="148" fillId="0" borderId="0" xfId="0" applyFont="1" applyAlignment="1" applyProtection="1">
      <alignment vertical="top"/>
      <protection hidden="1"/>
    </xf>
    <xf numFmtId="0" fontId="28" fillId="31" borderId="82" xfId="0" applyFont="1" applyFill="1" applyBorder="1" applyAlignment="1" applyProtection="1">
      <alignment horizontal="centerContinuous" vertical="center"/>
      <protection hidden="1"/>
    </xf>
    <xf numFmtId="0" fontId="37" fillId="0" borderId="57" xfId="0" applyFont="1" applyBorder="1" applyAlignment="1" applyProtection="1">
      <alignment horizontal="centerContinuous" vertical="center"/>
      <protection hidden="1"/>
    </xf>
    <xf numFmtId="0" fontId="37" fillId="0" borderId="0" xfId="0" applyFont="1" applyAlignment="1" applyProtection="1">
      <alignment horizontal="left" vertical="top"/>
      <protection hidden="1"/>
    </xf>
    <xf numFmtId="0" fontId="28" fillId="44" borderId="27" xfId="0" applyFont="1" applyFill="1" applyBorder="1" applyAlignment="1" applyProtection="1">
      <alignment horizontal="centerContinuous" vertical="center"/>
      <protection hidden="1"/>
    </xf>
    <xf numFmtId="0" fontId="28" fillId="42" borderId="160" xfId="0" applyFont="1" applyFill="1" applyBorder="1" applyAlignment="1" applyProtection="1">
      <alignment horizontal="left" vertical="center"/>
      <protection hidden="1"/>
    </xf>
    <xf numFmtId="0" fontId="28" fillId="42" borderId="162" xfId="0" applyFont="1" applyFill="1" applyBorder="1" applyAlignment="1" applyProtection="1">
      <alignment horizontal="left" vertical="center" wrapText="1"/>
      <protection hidden="1"/>
    </xf>
    <xf numFmtId="0" fontId="28" fillId="42" borderId="12" xfId="0" applyFont="1" applyFill="1" applyBorder="1" applyAlignment="1" applyProtection="1">
      <alignment horizontal="left" vertical="center"/>
      <protection hidden="1"/>
    </xf>
    <xf numFmtId="0" fontId="28" fillId="42" borderId="14" xfId="0" applyFont="1" applyFill="1" applyBorder="1" applyAlignment="1" applyProtection="1">
      <alignment horizontal="left" vertical="center" wrapText="1"/>
      <protection hidden="1"/>
    </xf>
    <xf numFmtId="0" fontId="28" fillId="27" borderId="161" xfId="0" applyFont="1" applyFill="1" applyBorder="1" applyAlignment="1" applyProtection="1">
      <alignment horizontal="left" vertical="top" wrapText="1"/>
      <protection hidden="1"/>
    </xf>
    <xf numFmtId="0" fontId="28" fillId="27" borderId="13" xfId="0" applyFont="1" applyFill="1" applyBorder="1" applyAlignment="1" applyProtection="1">
      <alignment horizontal="left" vertical="top" wrapText="1"/>
      <protection hidden="1"/>
    </xf>
    <xf numFmtId="0" fontId="26" fillId="27" borderId="50" xfId="0" applyFont="1" applyFill="1" applyBorder="1" applyAlignment="1" applyProtection="1">
      <alignment horizontal="center" vertical="top" wrapText="1"/>
      <protection hidden="1"/>
    </xf>
    <xf numFmtId="0" fontId="153" fillId="0" borderId="0" xfId="0" applyFont="1" applyProtection="1">
      <alignment vertical="center"/>
      <protection hidden="1"/>
    </xf>
    <xf numFmtId="0" fontId="37" fillId="0" borderId="0" xfId="0" applyFont="1" applyAlignment="1" applyProtection="1">
      <alignment horizontal="justify"/>
      <protection hidden="1"/>
    </xf>
    <xf numFmtId="0" fontId="37" fillId="0" borderId="0" xfId="0" applyFont="1" applyAlignment="1" applyProtection="1">
      <alignment horizontal="left"/>
      <protection hidden="1"/>
    </xf>
    <xf numFmtId="0" fontId="28" fillId="27" borderId="165" xfId="0" applyFont="1" applyFill="1" applyBorder="1" applyProtection="1">
      <alignment vertical="center"/>
      <protection hidden="1"/>
    </xf>
    <xf numFmtId="0" fontId="45" fillId="0" borderId="0" xfId="0" applyFont="1" applyAlignment="1" applyProtection="1">
      <alignment horizontal="left" vertical="top"/>
      <protection hidden="1"/>
    </xf>
    <xf numFmtId="0" fontId="154" fillId="0" borderId="0" xfId="0" applyFont="1" applyAlignment="1" applyProtection="1">
      <alignment horizontal="left" vertical="center"/>
      <protection hidden="1"/>
    </xf>
    <xf numFmtId="0" fontId="28" fillId="0" borderId="0" xfId="0" applyFont="1" applyAlignment="1" applyProtection="1">
      <alignment horizontal="right"/>
      <protection hidden="1"/>
    </xf>
    <xf numFmtId="0" fontId="37" fillId="27" borderId="160" xfId="0" applyFont="1" applyFill="1" applyBorder="1" applyAlignment="1" applyProtection="1">
      <alignment horizontal="left" vertical="center"/>
      <protection hidden="1"/>
    </xf>
    <xf numFmtId="0" fontId="37" fillId="27" borderId="162" xfId="0" applyFont="1" applyFill="1" applyBorder="1" applyAlignment="1" applyProtection="1">
      <alignment horizontal="left" vertical="center"/>
      <protection hidden="1"/>
    </xf>
    <xf numFmtId="0" fontId="37" fillId="27" borderId="12" xfId="0" applyFont="1" applyFill="1" applyBorder="1" applyAlignment="1" applyProtection="1">
      <alignment horizontal="left" vertical="center"/>
      <protection hidden="1"/>
    </xf>
    <xf numFmtId="0" fontId="37" fillId="27" borderId="14" xfId="0" applyFont="1" applyFill="1" applyBorder="1" applyAlignment="1" applyProtection="1">
      <alignment horizontal="left" vertical="top"/>
      <protection hidden="1"/>
    </xf>
    <xf numFmtId="0" fontId="37" fillId="27" borderId="165" xfId="0" applyFont="1" applyFill="1" applyBorder="1" applyAlignment="1" applyProtection="1">
      <alignment horizontal="left" vertical="center"/>
      <protection hidden="1"/>
    </xf>
    <xf numFmtId="0" fontId="37" fillId="27" borderId="166" xfId="0" applyFont="1" applyFill="1" applyBorder="1" applyAlignment="1" applyProtection="1">
      <alignment horizontal="left" vertical="center"/>
      <protection hidden="1"/>
    </xf>
    <xf numFmtId="0" fontId="28" fillId="0" borderId="53" xfId="0" applyFont="1" applyBorder="1">
      <alignment vertical="center"/>
    </xf>
    <xf numFmtId="0" fontId="28" fillId="0" borderId="53" xfId="0" applyFont="1" applyBorder="1" applyAlignment="1">
      <alignment vertical="top"/>
    </xf>
    <xf numFmtId="0" fontId="0" fillId="43" borderId="10" xfId="0" applyFill="1" applyBorder="1">
      <alignment vertical="center"/>
    </xf>
    <xf numFmtId="0" fontId="28" fillId="27" borderId="50" xfId="0" applyFont="1" applyFill="1" applyBorder="1" applyAlignment="1" applyProtection="1">
      <alignment horizontal="left" vertical="center"/>
      <protection hidden="1"/>
    </xf>
    <xf numFmtId="0" fontId="28" fillId="27" borderId="27" xfId="0" applyFont="1" applyFill="1" applyBorder="1" applyAlignment="1" applyProtection="1">
      <alignment horizontal="left" vertical="center"/>
      <protection hidden="1"/>
    </xf>
    <xf numFmtId="0" fontId="28" fillId="27" borderId="53" xfId="0" applyFont="1" applyFill="1" applyBorder="1" applyAlignment="1" applyProtection="1">
      <alignment horizontal="left" vertical="center"/>
      <protection hidden="1"/>
    </xf>
    <xf numFmtId="0" fontId="28" fillId="27" borderId="54" xfId="0" applyFont="1" applyFill="1" applyBorder="1" applyAlignment="1" applyProtection="1">
      <alignment horizontal="left" vertical="center"/>
      <protection hidden="1"/>
    </xf>
    <xf numFmtId="0" fontId="28" fillId="27" borderId="57" xfId="0" applyFont="1" applyFill="1" applyBorder="1" applyAlignment="1" applyProtection="1">
      <alignment horizontal="left" vertical="center"/>
      <protection hidden="1"/>
    </xf>
    <xf numFmtId="0" fontId="28" fillId="27" borderId="58" xfId="0" applyFont="1" applyFill="1" applyBorder="1" applyAlignment="1" applyProtection="1">
      <alignment horizontal="left" vertical="center"/>
      <protection hidden="1"/>
    </xf>
    <xf numFmtId="0" fontId="28" fillId="27" borderId="0" xfId="0" applyFont="1" applyFill="1" applyAlignment="1" applyProtection="1">
      <alignment horizontal="left" vertical="center"/>
      <protection hidden="1"/>
    </xf>
    <xf numFmtId="0" fontId="28" fillId="27" borderId="17" xfId="0" applyFont="1" applyFill="1" applyBorder="1" applyAlignment="1" applyProtection="1">
      <alignment horizontal="left" vertical="center"/>
      <protection hidden="1"/>
    </xf>
    <xf numFmtId="0" fontId="33" fillId="0" borderId="57" xfId="0" applyFont="1" applyBorder="1" applyAlignment="1">
      <alignment horizontal="right" vertical="center"/>
    </xf>
    <xf numFmtId="176" fontId="28" fillId="27" borderId="12" xfId="0" applyNumberFormat="1" applyFont="1" applyFill="1" applyBorder="1" applyAlignment="1" applyProtection="1">
      <alignment horizontal="left" vertical="center"/>
      <protection hidden="1"/>
    </xf>
    <xf numFmtId="176" fontId="28" fillId="27" borderId="165" xfId="0" applyNumberFormat="1" applyFont="1" applyFill="1" applyBorder="1" applyAlignment="1" applyProtection="1">
      <alignment horizontal="left" vertical="center"/>
      <protection hidden="1"/>
    </xf>
    <xf numFmtId="0" fontId="28" fillId="0" borderId="0" xfId="0" applyFont="1" applyAlignment="1" applyProtection="1">
      <protection hidden="1"/>
    </xf>
    <xf numFmtId="0" fontId="28" fillId="31" borderId="10" xfId="0" applyFont="1" applyFill="1" applyBorder="1" applyAlignment="1">
      <alignment horizontal="center" vertical="center"/>
    </xf>
    <xf numFmtId="0" fontId="33" fillId="31" borderId="26" xfId="44" applyFont="1" applyFill="1" applyBorder="1" applyAlignment="1" applyProtection="1">
      <alignment horizontal="center" vertical="center"/>
      <protection hidden="1"/>
    </xf>
    <xf numFmtId="0" fontId="37" fillId="31" borderId="10" xfId="44" applyFont="1" applyFill="1" applyBorder="1" applyAlignment="1" applyProtection="1">
      <alignment horizontal="center" vertical="center"/>
      <protection hidden="1"/>
    </xf>
    <xf numFmtId="0" fontId="33" fillId="31" borderId="10" xfId="44" applyFont="1" applyFill="1" applyBorder="1" applyAlignment="1" applyProtection="1">
      <alignment horizontal="center" vertical="center"/>
      <protection hidden="1"/>
    </xf>
    <xf numFmtId="0" fontId="26" fillId="0" borderId="0" xfId="0" applyFont="1" applyAlignment="1">
      <alignment horizontal="right" vertical="center"/>
    </xf>
    <xf numFmtId="0" fontId="28" fillId="31" borderId="10" xfId="0" applyFont="1" applyFill="1" applyBorder="1">
      <alignment vertical="center"/>
    </xf>
    <xf numFmtId="178" fontId="28" fillId="27" borderId="10" xfId="0" applyNumberFormat="1" applyFont="1" applyFill="1" applyBorder="1">
      <alignment vertical="center"/>
    </xf>
    <xf numFmtId="178" fontId="28" fillId="27" borderId="26" xfId="0" applyNumberFormat="1" applyFont="1" applyFill="1" applyBorder="1">
      <alignment vertical="center"/>
    </xf>
    <xf numFmtId="9" fontId="28" fillId="27" borderId="10" xfId="0" applyNumberFormat="1" applyFont="1" applyFill="1" applyBorder="1">
      <alignment vertical="center"/>
    </xf>
    <xf numFmtId="177" fontId="122" fillId="27" borderId="144" xfId="0" applyNumberFormat="1" applyFont="1" applyFill="1" applyBorder="1">
      <alignment vertical="center"/>
    </xf>
    <xf numFmtId="9" fontId="26" fillId="27" borderId="10" xfId="28" applyFont="1" applyFill="1" applyBorder="1" applyAlignment="1" applyProtection="1">
      <alignment vertical="center"/>
    </xf>
    <xf numFmtId="0" fontId="42" fillId="0" borderId="0" xfId="0" applyFont="1" applyAlignment="1">
      <alignment horizontal="left" vertical="center"/>
    </xf>
    <xf numFmtId="0" fontId="64" fillId="0" borderId="0" xfId="0" applyFont="1" applyAlignment="1">
      <alignment vertical="top" wrapText="1"/>
    </xf>
    <xf numFmtId="176" fontId="28" fillId="0" borderId="0" xfId="0" applyNumberFormat="1" applyFont="1" applyAlignment="1" applyProtection="1">
      <alignment horizontal="center" vertical="center"/>
      <protection hidden="1"/>
    </xf>
    <xf numFmtId="0" fontId="28" fillId="27" borderId="87" xfId="0" applyFont="1" applyFill="1" applyBorder="1" applyAlignment="1">
      <alignment horizontal="left" vertical="center" wrapText="1"/>
    </xf>
    <xf numFmtId="0" fontId="7" fillId="43" borderId="0" xfId="0" applyFont="1" applyFill="1">
      <alignment vertical="center"/>
    </xf>
    <xf numFmtId="0" fontId="28" fillId="27" borderId="171" xfId="0" applyFont="1" applyFill="1" applyBorder="1" applyAlignment="1">
      <alignment horizontal="left" vertical="center" wrapText="1"/>
    </xf>
    <xf numFmtId="0" fontId="27" fillId="0" borderId="0" xfId="0" applyFont="1" applyProtection="1">
      <alignment vertical="center"/>
      <protection hidden="1"/>
    </xf>
    <xf numFmtId="0" fontId="28" fillId="27" borderId="167" xfId="0" applyFont="1" applyFill="1" applyBorder="1" applyAlignment="1" applyProtection="1">
      <alignment horizontal="left" vertical="top" wrapText="1"/>
      <protection hidden="1"/>
    </xf>
    <xf numFmtId="0" fontId="26" fillId="27" borderId="51" xfId="0" applyFont="1" applyFill="1" applyBorder="1" applyAlignment="1" applyProtection="1">
      <alignment horizontal="center" vertical="center"/>
      <protection hidden="1"/>
    </xf>
    <xf numFmtId="0" fontId="42" fillId="27" borderId="55" xfId="0" applyFont="1" applyFill="1" applyBorder="1" applyProtection="1">
      <alignment vertical="center"/>
      <protection hidden="1"/>
    </xf>
    <xf numFmtId="0" fontId="28" fillId="27" borderId="171" xfId="0" applyFont="1" applyFill="1" applyBorder="1" applyAlignment="1" applyProtection="1">
      <alignment horizontal="center" vertical="center"/>
      <protection hidden="1"/>
    </xf>
    <xf numFmtId="0" fontId="28" fillId="27" borderId="188" xfId="0" applyFont="1" applyFill="1" applyBorder="1" applyAlignment="1" applyProtection="1">
      <alignment horizontal="center" vertical="center"/>
      <protection hidden="1"/>
    </xf>
    <xf numFmtId="0" fontId="28" fillId="27" borderId="187" xfId="0" applyFont="1" applyFill="1" applyBorder="1" applyAlignment="1" applyProtection="1">
      <alignment horizontal="center" vertical="center"/>
      <protection hidden="1"/>
    </xf>
    <xf numFmtId="0" fontId="28" fillId="27" borderId="160" xfId="0" applyFont="1" applyFill="1" applyBorder="1" applyAlignment="1" applyProtection="1">
      <alignment horizontal="center" vertical="center" wrapText="1"/>
      <protection hidden="1"/>
    </xf>
    <xf numFmtId="0" fontId="28" fillId="27" borderId="189" xfId="0" applyFont="1" applyFill="1" applyBorder="1" applyAlignment="1" applyProtection="1">
      <alignment horizontal="center" vertical="center" wrapText="1"/>
      <protection hidden="1"/>
    </xf>
    <xf numFmtId="0" fontId="28" fillId="27" borderId="162" xfId="0" applyFont="1" applyFill="1" applyBorder="1" applyAlignment="1" applyProtection="1">
      <alignment horizontal="center" vertical="center" wrapText="1"/>
      <protection hidden="1"/>
    </xf>
    <xf numFmtId="0" fontId="28" fillId="27" borderId="12" xfId="0" applyFont="1" applyFill="1" applyBorder="1" applyAlignment="1" applyProtection="1">
      <alignment horizontal="center" vertical="center"/>
      <protection hidden="1"/>
    </xf>
    <xf numFmtId="0" fontId="28" fillId="27" borderId="14" xfId="0" applyFont="1" applyFill="1" applyBorder="1" applyAlignment="1" applyProtection="1">
      <alignment horizontal="center" vertical="center"/>
      <protection hidden="1"/>
    </xf>
    <xf numFmtId="0" fontId="28" fillId="27" borderId="165" xfId="0" applyFont="1" applyFill="1" applyBorder="1" applyAlignment="1" applyProtection="1">
      <alignment horizontal="center" vertical="center"/>
      <protection hidden="1"/>
    </xf>
    <xf numFmtId="0" fontId="28" fillId="27" borderId="190" xfId="0" applyFont="1" applyFill="1" applyBorder="1" applyAlignment="1" applyProtection="1">
      <alignment horizontal="center" vertical="center"/>
      <protection hidden="1"/>
    </xf>
    <xf numFmtId="0" fontId="28" fillId="27" borderId="166" xfId="0" applyFont="1" applyFill="1" applyBorder="1" applyAlignment="1" applyProtection="1">
      <alignment horizontal="center" vertical="center"/>
      <protection hidden="1"/>
    </xf>
    <xf numFmtId="0" fontId="42" fillId="27" borderId="51" xfId="0" applyFont="1" applyFill="1" applyBorder="1" applyProtection="1">
      <alignment vertical="center"/>
      <protection hidden="1"/>
    </xf>
    <xf numFmtId="0" fontId="28" fillId="27" borderId="162" xfId="0" applyFont="1" applyFill="1" applyBorder="1" applyAlignment="1" applyProtection="1">
      <alignment horizontal="center" vertical="center"/>
      <protection hidden="1"/>
    </xf>
    <xf numFmtId="0" fontId="28" fillId="0" borderId="0" xfId="0" applyFont="1" applyAlignment="1">
      <alignment horizontal="left" vertical="center" wrapText="1"/>
    </xf>
    <xf numFmtId="192" fontId="28" fillId="0" borderId="0" xfId="35" applyNumberFormat="1" applyFont="1" applyFill="1" applyBorder="1" applyAlignment="1" applyProtection="1">
      <alignment horizontal="center" vertical="center"/>
      <protection hidden="1"/>
    </xf>
    <xf numFmtId="0" fontId="28" fillId="0" borderId="0" xfId="0" applyFont="1" applyAlignment="1">
      <alignment horizontal="left" vertical="top" wrapText="1"/>
    </xf>
    <xf numFmtId="176" fontId="28" fillId="27" borderId="13" xfId="0" applyNumberFormat="1" applyFont="1" applyFill="1" applyBorder="1" applyAlignment="1" applyProtection="1">
      <alignment horizontal="left" vertical="center"/>
      <protection hidden="1"/>
    </xf>
    <xf numFmtId="176" fontId="28" fillId="27" borderId="167" xfId="0" applyNumberFormat="1" applyFont="1" applyFill="1" applyBorder="1" applyAlignment="1" applyProtection="1">
      <alignment horizontal="left" vertical="center"/>
      <protection hidden="1"/>
    </xf>
    <xf numFmtId="0" fontId="42" fillId="0" borderId="0" xfId="44" applyFont="1"/>
    <xf numFmtId="0" fontId="24" fillId="0" borderId="0" xfId="44" applyFont="1" applyAlignment="1">
      <alignment vertical="center"/>
    </xf>
    <xf numFmtId="0" fontId="122" fillId="0" borderId="0" xfId="44" applyFont="1" applyAlignment="1">
      <alignment vertical="center"/>
    </xf>
    <xf numFmtId="0" fontId="33" fillId="0" borderId="0" xfId="44" applyFont="1"/>
    <xf numFmtId="0" fontId="33" fillId="41" borderId="26" xfId="44" applyFont="1" applyFill="1" applyBorder="1" applyAlignment="1">
      <alignment horizontal="left"/>
    </xf>
    <xf numFmtId="0" fontId="33" fillId="41" borderId="50" xfId="44" applyFont="1" applyFill="1" applyBorder="1" applyAlignment="1">
      <alignment horizontal="center"/>
    </xf>
    <xf numFmtId="0" fontId="33" fillId="41" borderId="50" xfId="44" applyFont="1" applyFill="1" applyBorder="1" applyAlignment="1">
      <alignment horizontal="left"/>
    </xf>
    <xf numFmtId="0" fontId="33" fillId="41" borderId="27" xfId="44" applyFont="1" applyFill="1" applyBorder="1"/>
    <xf numFmtId="0" fontId="33" fillId="0" borderId="0" xfId="44" applyFont="1" applyAlignment="1">
      <alignment horizontal="left"/>
    </xf>
    <xf numFmtId="0" fontId="33" fillId="0" borderId="0" xfId="44" applyFont="1" applyAlignment="1">
      <alignment vertical="center"/>
    </xf>
    <xf numFmtId="0" fontId="33" fillId="41" borderId="26" xfId="44" applyFont="1" applyFill="1" applyBorder="1" applyAlignment="1" applyProtection="1">
      <alignment horizontal="left" vertical="center"/>
      <protection hidden="1"/>
    </xf>
    <xf numFmtId="0" fontId="33" fillId="41" borderId="27" xfId="44" applyFont="1" applyFill="1" applyBorder="1" applyAlignment="1">
      <alignment horizontal="left"/>
    </xf>
    <xf numFmtId="0" fontId="33" fillId="27" borderId="26" xfId="44" applyFont="1" applyFill="1" applyBorder="1"/>
    <xf numFmtId="0" fontId="33" fillId="27" borderId="50" xfId="44" applyFont="1" applyFill="1" applyBorder="1" applyAlignment="1">
      <alignment horizontal="left"/>
    </xf>
    <xf numFmtId="0" fontId="33" fillId="27" borderId="50" xfId="44" applyFont="1" applyFill="1" applyBorder="1"/>
    <xf numFmtId="0" fontId="33" fillId="27" borderId="27" xfId="44" applyFont="1" applyFill="1" applyBorder="1"/>
    <xf numFmtId="0" fontId="33" fillId="31" borderId="10" xfId="44" applyFont="1" applyFill="1" applyBorder="1" applyAlignment="1">
      <alignment horizontal="center"/>
    </xf>
    <xf numFmtId="0" fontId="33" fillId="41" borderId="10" xfId="44" applyFont="1" applyFill="1" applyBorder="1" applyAlignment="1">
      <alignment horizontal="center"/>
    </xf>
    <xf numFmtId="0" fontId="33" fillId="31" borderId="0" xfId="44" applyFont="1" applyFill="1" applyAlignment="1">
      <alignment horizontal="left"/>
    </xf>
    <xf numFmtId="0" fontId="33" fillId="31" borderId="0" xfId="44" applyFont="1" applyFill="1" applyAlignment="1">
      <alignment vertical="center"/>
    </xf>
    <xf numFmtId="0" fontId="33" fillId="31" borderId="26" xfId="44" applyFont="1" applyFill="1" applyBorder="1" applyAlignment="1">
      <alignment horizontal="center"/>
    </xf>
    <xf numFmtId="0" fontId="33" fillId="27" borderId="52" xfId="44" applyFont="1" applyFill="1" applyBorder="1"/>
    <xf numFmtId="0" fontId="33" fillId="27" borderId="53" xfId="44" applyFont="1" applyFill="1" applyBorder="1" applyAlignment="1">
      <alignment horizontal="left"/>
    </xf>
    <xf numFmtId="178" fontId="156" fillId="0" borderId="10" xfId="44" applyNumberFormat="1" applyFont="1" applyBorder="1"/>
    <xf numFmtId="0" fontId="33" fillId="27" borderId="64" xfId="44" applyFont="1" applyFill="1" applyBorder="1"/>
    <xf numFmtId="9" fontId="33" fillId="27" borderId="27" xfId="44" applyNumberFormat="1" applyFont="1" applyFill="1" applyBorder="1"/>
    <xf numFmtId="178" fontId="33" fillId="0" borderId="10" xfId="44" applyNumberFormat="1" applyFont="1" applyBorder="1"/>
    <xf numFmtId="0" fontId="33" fillId="31" borderId="52" xfId="44" applyFont="1" applyFill="1" applyBorder="1" applyAlignment="1">
      <alignment horizontal="center"/>
    </xf>
    <xf numFmtId="0" fontId="33" fillId="31" borderId="64" xfId="44" applyFont="1" applyFill="1" applyBorder="1"/>
    <xf numFmtId="0" fontId="33" fillId="31" borderId="17" xfId="44" applyFont="1" applyFill="1" applyBorder="1" applyAlignment="1">
      <alignment horizontal="left"/>
    </xf>
    <xf numFmtId="0" fontId="33" fillId="31" borderId="26" xfId="0" applyFont="1" applyFill="1" applyBorder="1">
      <alignment vertical="center"/>
    </xf>
    <xf numFmtId="9" fontId="33" fillId="31" borderId="27" xfId="44" applyNumberFormat="1" applyFont="1" applyFill="1" applyBorder="1"/>
    <xf numFmtId="0" fontId="33" fillId="31" borderId="15" xfId="44" applyFont="1" applyFill="1" applyBorder="1" applyAlignment="1">
      <alignment horizontal="center"/>
    </xf>
    <xf numFmtId="0" fontId="33" fillId="31" borderId="55" xfId="44" applyFont="1" applyFill="1" applyBorder="1" applyAlignment="1">
      <alignment horizontal="center"/>
    </xf>
    <xf numFmtId="0" fontId="33" fillId="31" borderId="56" xfId="44" applyFont="1" applyFill="1" applyBorder="1"/>
    <xf numFmtId="0" fontId="33" fillId="31" borderId="57" xfId="44" applyFont="1" applyFill="1" applyBorder="1" applyAlignment="1">
      <alignment horizontal="left"/>
    </xf>
    <xf numFmtId="0" fontId="33" fillId="31" borderId="0" xfId="44" applyFont="1" applyFill="1" applyAlignment="1">
      <alignment horizontal="center"/>
    </xf>
    <xf numFmtId="0" fontId="33" fillId="0" borderId="53" xfId="44" applyFont="1" applyBorder="1"/>
    <xf numFmtId="0" fontId="33" fillId="27" borderId="10" xfId="44" applyFont="1" applyFill="1" applyBorder="1" applyAlignment="1">
      <alignment horizontal="center"/>
    </xf>
    <xf numFmtId="0" fontId="33" fillId="27" borderId="53" xfId="44" applyFont="1" applyFill="1" applyBorder="1"/>
    <xf numFmtId="189" fontId="33" fillId="27" borderId="54" xfId="44" applyNumberFormat="1" applyFont="1" applyFill="1" applyBorder="1" applyAlignment="1">
      <alignment horizontal="left"/>
    </xf>
    <xf numFmtId="0" fontId="33" fillId="27" borderId="0" xfId="44" applyFont="1" applyFill="1" applyAlignment="1">
      <alignment horizontal="center"/>
    </xf>
    <xf numFmtId="40" fontId="33" fillId="0" borderId="10" xfId="35" applyNumberFormat="1" applyFont="1" applyFill="1" applyBorder="1" applyAlignment="1"/>
    <xf numFmtId="9" fontId="33" fillId="31" borderId="50" xfId="0" applyNumberFormat="1" applyFont="1" applyFill="1" applyBorder="1">
      <alignment vertical="center"/>
    </xf>
    <xf numFmtId="9" fontId="33" fillId="31" borderId="15" xfId="44" applyNumberFormat="1" applyFont="1" applyFill="1" applyBorder="1" applyAlignment="1">
      <alignment horizontal="center"/>
    </xf>
    <xf numFmtId="0" fontId="33" fillId="27" borderId="56" xfId="44" applyFont="1" applyFill="1" applyBorder="1"/>
    <xf numFmtId="40" fontId="33" fillId="0" borderId="51" xfId="35" applyNumberFormat="1" applyFont="1" applyFill="1" applyBorder="1" applyAlignment="1"/>
    <xf numFmtId="0" fontId="33" fillId="27" borderId="50" xfId="44" applyFont="1" applyFill="1" applyBorder="1" applyAlignment="1">
      <alignment horizontal="center"/>
    </xf>
    <xf numFmtId="9" fontId="33" fillId="31" borderId="53" xfId="0" applyNumberFormat="1" applyFont="1" applyFill="1" applyBorder="1">
      <alignment vertical="center"/>
    </xf>
    <xf numFmtId="40" fontId="33" fillId="25" borderId="51" xfId="35" applyNumberFormat="1" applyFont="1" applyFill="1" applyBorder="1" applyAlignment="1"/>
    <xf numFmtId="0" fontId="33" fillId="0" borderId="53" xfId="44" applyFont="1" applyBorder="1" applyAlignment="1">
      <alignment horizontal="left"/>
    </xf>
    <xf numFmtId="0" fontId="33" fillId="0" borderId="52" xfId="44" applyFont="1" applyBorder="1"/>
    <xf numFmtId="0" fontId="33" fillId="0" borderId="54" xfId="44" applyFont="1" applyBorder="1"/>
    <xf numFmtId="0" fontId="28" fillId="0" borderId="0" xfId="44" applyFont="1"/>
    <xf numFmtId="0" fontId="33" fillId="0" borderId="17" xfId="44" applyFont="1" applyBorder="1"/>
    <xf numFmtId="0" fontId="33" fillId="0" borderId="64" xfId="44" applyFont="1" applyBorder="1"/>
    <xf numFmtId="0" fontId="28" fillId="0" borderId="56" xfId="44" applyFont="1" applyBorder="1"/>
    <xf numFmtId="0" fontId="33" fillId="0" borderId="57" xfId="44" applyFont="1" applyBorder="1"/>
    <xf numFmtId="0" fontId="33" fillId="0" borderId="58" xfId="44" applyFont="1" applyBorder="1"/>
    <xf numFmtId="199" fontId="33" fillId="0" borderId="0" xfId="44" applyNumberFormat="1" applyFont="1"/>
    <xf numFmtId="0" fontId="33" fillId="0" borderId="10" xfId="44" applyFont="1" applyBorder="1"/>
    <xf numFmtId="189" fontId="33" fillId="27" borderId="27" xfId="44" applyNumberFormat="1" applyFont="1" applyFill="1" applyBorder="1" applyAlignment="1">
      <alignment horizontal="left"/>
    </xf>
    <xf numFmtId="9" fontId="33" fillId="0" borderId="10" xfId="28" applyFont="1" applyFill="1" applyBorder="1" applyAlignment="1"/>
    <xf numFmtId="0" fontId="24" fillId="0" borderId="0" xfId="44" applyFont="1"/>
    <xf numFmtId="0" fontId="33" fillId="0" borderId="0" xfId="44" applyFont="1" applyAlignment="1" applyProtection="1">
      <alignment horizontal="left" vertical="center"/>
      <protection hidden="1"/>
    </xf>
    <xf numFmtId="38" fontId="33" fillId="0" borderId="10" xfId="35" applyFont="1" applyBorder="1" applyAlignment="1"/>
    <xf numFmtId="38" fontId="33" fillId="0" borderId="0" xfId="35" applyFont="1" applyBorder="1" applyAlignment="1"/>
    <xf numFmtId="188" fontId="33" fillId="0" borderId="10" xfId="44" applyNumberFormat="1" applyFont="1" applyBorder="1"/>
    <xf numFmtId="0" fontId="42" fillId="0" borderId="57" xfId="0" applyFont="1" applyBorder="1">
      <alignment vertical="center"/>
    </xf>
    <xf numFmtId="0" fontId="0" fillId="0" borderId="57" xfId="0" applyBorder="1">
      <alignment vertical="center"/>
    </xf>
    <xf numFmtId="0" fontId="33" fillId="27" borderId="10" xfId="0" applyFont="1" applyFill="1" applyBorder="1" applyAlignment="1">
      <alignment horizontal="center" vertical="center" wrapText="1"/>
    </xf>
    <xf numFmtId="0" fontId="33" fillId="27" borderId="10" xfId="0" applyFont="1" applyFill="1" applyBorder="1" applyAlignment="1">
      <alignment horizontal="center" vertical="center"/>
    </xf>
    <xf numFmtId="0" fontId="33" fillId="27" borderId="51" xfId="0" applyFont="1" applyFill="1" applyBorder="1" applyAlignment="1">
      <alignment horizontal="center" vertical="center" wrapText="1"/>
    </xf>
    <xf numFmtId="190" fontId="33" fillId="27" borderId="10" xfId="0" applyNumberFormat="1" applyFont="1" applyFill="1" applyBorder="1" applyAlignment="1">
      <alignment horizontal="center" vertical="center"/>
    </xf>
    <xf numFmtId="0" fontId="33" fillId="27" borderId="55" xfId="0" applyFont="1" applyFill="1" applyBorder="1" applyAlignment="1">
      <alignment horizontal="center" vertical="center"/>
    </xf>
    <xf numFmtId="0" fontId="33" fillId="27" borderId="27" xfId="0" applyFont="1" applyFill="1" applyBorder="1" applyAlignment="1">
      <alignment horizontal="center" vertical="center" wrapText="1"/>
    </xf>
    <xf numFmtId="197" fontId="33" fillId="27" borderId="10" xfId="0" applyNumberFormat="1" applyFont="1" applyFill="1" applyBorder="1" applyAlignment="1">
      <alignment horizontal="center" vertical="center"/>
    </xf>
    <xf numFmtId="0" fontId="33" fillId="27" borderId="10" xfId="0" applyFont="1" applyFill="1" applyBorder="1" applyAlignment="1">
      <alignment vertical="center" wrapText="1"/>
    </xf>
    <xf numFmtId="0" fontId="33" fillId="27" borderId="15" xfId="0" applyFont="1" applyFill="1" applyBorder="1" applyAlignment="1">
      <alignment horizontal="center" vertical="center" wrapText="1"/>
    </xf>
    <xf numFmtId="179" fontId="33" fillId="27" borderId="10" xfId="0" applyNumberFormat="1" applyFont="1" applyFill="1" applyBorder="1" applyAlignment="1">
      <alignment horizontal="center" vertical="center"/>
    </xf>
    <xf numFmtId="0" fontId="33" fillId="27" borderId="10" xfId="0" applyFont="1" applyFill="1" applyBorder="1" applyAlignment="1">
      <alignment horizontal="left" vertical="center" wrapText="1"/>
    </xf>
    <xf numFmtId="0" fontId="33" fillId="27" borderId="10" xfId="0" applyFont="1" applyFill="1" applyBorder="1" applyAlignment="1">
      <alignment horizontal="left" vertical="center" wrapText="1" shrinkToFit="1"/>
    </xf>
    <xf numFmtId="0" fontId="33" fillId="27" borderId="10" xfId="0" applyFont="1" applyFill="1" applyBorder="1" applyAlignment="1">
      <alignment horizontal="center" vertical="center" wrapText="1" shrinkToFit="1"/>
    </xf>
    <xf numFmtId="0" fontId="33" fillId="27" borderId="51" xfId="0" applyFont="1" applyFill="1" applyBorder="1" applyAlignment="1">
      <alignment horizontal="left" vertical="center" wrapText="1"/>
    </xf>
    <xf numFmtId="0" fontId="33" fillId="27" borderId="51" xfId="0" applyFont="1" applyFill="1" applyBorder="1" applyAlignment="1">
      <alignment horizontal="center" vertical="center" wrapText="1" shrinkToFit="1"/>
    </xf>
    <xf numFmtId="0" fontId="33" fillId="27" borderId="51" xfId="0" applyFont="1" applyFill="1" applyBorder="1" applyAlignment="1">
      <alignment vertical="center" wrapText="1"/>
    </xf>
    <xf numFmtId="0" fontId="33" fillId="27" borderId="64" xfId="0" applyFont="1" applyFill="1" applyBorder="1" applyAlignment="1">
      <alignment horizontal="center" vertical="center" wrapText="1"/>
    </xf>
    <xf numFmtId="0" fontId="33" fillId="27" borderId="26" xfId="0" applyFont="1" applyFill="1" applyBorder="1" applyAlignment="1">
      <alignment horizontal="left" vertical="center"/>
    </xf>
    <xf numFmtId="0" fontId="33" fillId="27" borderId="50" xfId="0" applyFont="1" applyFill="1" applyBorder="1" applyAlignment="1">
      <alignment horizontal="left" vertical="center" wrapText="1"/>
    </xf>
    <xf numFmtId="0" fontId="33" fillId="27" borderId="50" xfId="0" applyFont="1" applyFill="1" applyBorder="1" applyAlignment="1">
      <alignment horizontal="left" vertical="center" wrapText="1" shrinkToFit="1"/>
    </xf>
    <xf numFmtId="0" fontId="33" fillId="27" borderId="27" xfId="0" applyFont="1" applyFill="1" applyBorder="1" applyAlignment="1">
      <alignment vertical="center" wrapText="1"/>
    </xf>
    <xf numFmtId="0" fontId="33" fillId="27" borderId="163" xfId="0" applyFont="1" applyFill="1" applyBorder="1" applyAlignment="1">
      <alignment horizontal="center" vertical="center" wrapText="1"/>
    </xf>
    <xf numFmtId="40" fontId="33" fillId="27" borderId="163" xfId="0" applyNumberFormat="1" applyFont="1" applyFill="1" applyBorder="1" applyAlignment="1">
      <alignment horizontal="center" vertical="center" wrapText="1"/>
    </xf>
    <xf numFmtId="178" fontId="33" fillId="27" borderId="163" xfId="0" applyNumberFormat="1" applyFont="1" applyFill="1" applyBorder="1" applyAlignment="1">
      <alignment horizontal="center" vertical="center" wrapText="1" shrinkToFit="1"/>
    </xf>
    <xf numFmtId="0" fontId="33" fillId="27" borderId="16" xfId="0" applyFont="1" applyFill="1" applyBorder="1" applyAlignment="1">
      <alignment vertical="center" wrapText="1"/>
    </xf>
    <xf numFmtId="0" fontId="33" fillId="27" borderId="11" xfId="0" applyFont="1" applyFill="1" applyBorder="1" applyAlignment="1">
      <alignment horizontal="center" vertical="center" wrapText="1"/>
    </xf>
    <xf numFmtId="40" fontId="33" fillId="27" borderId="11" xfId="0" applyNumberFormat="1" applyFont="1" applyFill="1" applyBorder="1" applyAlignment="1">
      <alignment horizontal="center" vertical="center" wrapText="1"/>
    </xf>
    <xf numFmtId="178" fontId="33" fillId="27" borderId="11" xfId="0" applyNumberFormat="1" applyFont="1" applyFill="1" applyBorder="1" applyAlignment="1">
      <alignment horizontal="center" vertical="center" wrapText="1" shrinkToFit="1"/>
    </xf>
    <xf numFmtId="0" fontId="33" fillId="27" borderId="163" xfId="0" applyFont="1" applyFill="1" applyBorder="1" applyAlignment="1">
      <alignment vertical="center" wrapText="1"/>
    </xf>
    <xf numFmtId="0" fontId="33" fillId="27" borderId="11" xfId="0" applyFont="1" applyFill="1" applyBorder="1" applyAlignment="1">
      <alignment vertical="center" wrapText="1"/>
    </xf>
    <xf numFmtId="0" fontId="33" fillId="27" borderId="173" xfId="0" applyFont="1" applyFill="1" applyBorder="1" applyAlignment="1">
      <alignment horizontal="center" vertical="center" wrapText="1"/>
    </xf>
    <xf numFmtId="0" fontId="33" fillId="27" borderId="173" xfId="0" applyFont="1" applyFill="1" applyBorder="1" applyAlignment="1">
      <alignment horizontal="center" vertical="center" wrapText="1" shrinkToFit="1"/>
    </xf>
    <xf numFmtId="0" fontId="33" fillId="27" borderId="173" xfId="0" applyFont="1" applyFill="1" applyBorder="1" applyAlignment="1">
      <alignment vertical="center" wrapText="1"/>
    </xf>
    <xf numFmtId="0" fontId="33" fillId="27" borderId="53" xfId="0" applyFont="1" applyFill="1" applyBorder="1" applyAlignment="1">
      <alignment horizontal="left" vertical="center" wrapText="1" shrinkToFit="1"/>
    </xf>
    <xf numFmtId="0" fontId="33" fillId="27" borderId="54" xfId="0" applyFont="1" applyFill="1" applyBorder="1">
      <alignment vertical="center"/>
    </xf>
    <xf numFmtId="9" fontId="33" fillId="27" borderId="171" xfId="0" applyNumberFormat="1" applyFont="1" applyFill="1" applyBorder="1" applyAlignment="1">
      <alignment horizontal="center" vertical="center" wrapText="1"/>
    </xf>
    <xf numFmtId="9" fontId="33" fillId="41" borderId="191" xfId="0" applyNumberFormat="1" applyFont="1" applyFill="1" applyBorder="1" applyAlignment="1" applyProtection="1">
      <alignment horizontal="center" vertical="center" wrapText="1"/>
      <protection locked="0"/>
    </xf>
    <xf numFmtId="0" fontId="33" fillId="41" borderId="192" xfId="0" applyFont="1" applyFill="1" applyBorder="1" applyProtection="1">
      <alignment vertical="center"/>
      <protection locked="0"/>
    </xf>
    <xf numFmtId="9" fontId="33" fillId="41" borderId="116" xfId="0" applyNumberFormat="1" applyFont="1" applyFill="1" applyBorder="1" applyAlignment="1" applyProtection="1">
      <alignment horizontal="center" vertical="center" wrapText="1"/>
      <protection locked="0"/>
    </xf>
    <xf numFmtId="0" fontId="33" fillId="41" borderId="117" xfId="0" applyFont="1" applyFill="1" applyBorder="1" applyProtection="1">
      <alignment vertical="center"/>
      <protection locked="0"/>
    </xf>
    <xf numFmtId="0" fontId="33" fillId="27" borderId="164" xfId="0" applyFont="1" applyFill="1" applyBorder="1" applyAlignment="1">
      <alignment horizontal="center" vertical="center" wrapText="1"/>
    </xf>
    <xf numFmtId="9" fontId="33" fillId="27" borderId="165" xfId="0" applyNumberFormat="1" applyFont="1" applyFill="1" applyBorder="1" applyAlignment="1">
      <alignment horizontal="center" vertical="center" wrapText="1" shrinkToFit="1"/>
    </xf>
    <xf numFmtId="0" fontId="33" fillId="27" borderId="15" xfId="0" applyFont="1" applyFill="1" applyBorder="1" applyAlignment="1">
      <alignment vertical="center" wrapText="1"/>
    </xf>
    <xf numFmtId="0" fontId="33" fillId="27" borderId="54" xfId="0" applyFont="1" applyFill="1" applyBorder="1" applyAlignment="1">
      <alignment horizontal="center" vertical="center" wrapText="1"/>
    </xf>
    <xf numFmtId="179" fontId="33" fillId="27" borderId="51" xfId="0" applyNumberFormat="1" applyFont="1" applyFill="1" applyBorder="1" applyAlignment="1">
      <alignment horizontal="center" vertical="center"/>
    </xf>
    <xf numFmtId="179" fontId="33" fillId="27" borderId="15" xfId="0" applyNumberFormat="1" applyFont="1" applyFill="1" applyBorder="1" applyAlignment="1">
      <alignment horizontal="center" vertical="center"/>
    </xf>
    <xf numFmtId="0" fontId="33" fillId="27" borderId="26" xfId="0" applyFont="1" applyFill="1" applyBorder="1" applyAlignment="1">
      <alignment horizontal="center" vertical="center" wrapText="1"/>
    </xf>
    <xf numFmtId="0" fontId="33" fillId="27" borderId="50" xfId="0" applyFont="1" applyFill="1" applyBorder="1" applyAlignment="1">
      <alignment horizontal="center" vertical="center"/>
    </xf>
    <xf numFmtId="0" fontId="33" fillId="27" borderId="58" xfId="0" applyFont="1" applyFill="1" applyBorder="1" applyAlignment="1">
      <alignment horizontal="center" vertical="center" wrapText="1"/>
    </xf>
    <xf numFmtId="197" fontId="33" fillId="27" borderId="15" xfId="0" applyNumberFormat="1" applyFont="1" applyFill="1" applyBorder="1" applyAlignment="1">
      <alignment horizontal="center" vertical="center"/>
    </xf>
    <xf numFmtId="197" fontId="33" fillId="27" borderId="11" xfId="0" applyNumberFormat="1" applyFont="1" applyFill="1" applyBorder="1" applyAlignment="1">
      <alignment horizontal="center" vertical="center"/>
    </xf>
    <xf numFmtId="9" fontId="33" fillId="27" borderId="15" xfId="0" applyNumberFormat="1" applyFont="1" applyFill="1" applyBorder="1" applyAlignment="1">
      <alignment horizontal="center" vertical="center"/>
    </xf>
    <xf numFmtId="0" fontId="33" fillId="27" borderId="15" xfId="0" applyFont="1" applyFill="1" applyBorder="1">
      <alignment vertical="center"/>
    </xf>
    <xf numFmtId="9" fontId="33" fillId="27" borderId="11" xfId="0" applyNumberFormat="1" applyFont="1" applyFill="1" applyBorder="1" applyAlignment="1">
      <alignment horizontal="center" vertical="center"/>
    </xf>
    <xf numFmtId="0" fontId="33" fillId="27" borderId="11" xfId="0" applyFont="1" applyFill="1" applyBorder="1">
      <alignment vertical="center"/>
    </xf>
    <xf numFmtId="9" fontId="33" fillId="27" borderId="55" xfId="0" applyNumberFormat="1" applyFont="1" applyFill="1" applyBorder="1" applyAlignment="1">
      <alignment horizontal="center" vertical="center"/>
    </xf>
    <xf numFmtId="0" fontId="33" fillId="27" borderId="55" xfId="0" applyFont="1" applyFill="1" applyBorder="1">
      <alignment vertical="center"/>
    </xf>
    <xf numFmtId="0" fontId="33" fillId="27" borderId="55" xfId="0" applyFont="1" applyFill="1" applyBorder="1" applyAlignment="1">
      <alignment horizontal="center" vertical="center" wrapText="1"/>
    </xf>
    <xf numFmtId="0" fontId="33" fillId="27" borderId="50" xfId="0" applyFont="1" applyFill="1" applyBorder="1" applyAlignment="1">
      <alignment horizontal="center" vertical="center" wrapText="1"/>
    </xf>
    <xf numFmtId="0" fontId="33" fillId="27" borderId="27" xfId="0" applyFont="1" applyFill="1" applyBorder="1">
      <alignment vertical="center"/>
    </xf>
    <xf numFmtId="179" fontId="33" fillId="27" borderId="163" xfId="0" quotePrefix="1" applyNumberFormat="1" applyFont="1" applyFill="1" applyBorder="1" applyAlignment="1">
      <alignment horizontal="center" vertical="center"/>
    </xf>
    <xf numFmtId="178" fontId="33" fillId="27" borderId="163" xfId="0" applyNumberFormat="1" applyFont="1" applyFill="1" applyBorder="1" applyAlignment="1">
      <alignment horizontal="center" vertical="center"/>
    </xf>
    <xf numFmtId="179" fontId="33" fillId="27" borderId="11" xfId="0" applyNumberFormat="1" applyFont="1" applyFill="1" applyBorder="1" applyAlignment="1">
      <alignment horizontal="center" vertical="center" wrapText="1"/>
    </xf>
    <xf numFmtId="179" fontId="33" fillId="27" borderId="11" xfId="0" applyNumberFormat="1" applyFont="1" applyFill="1" applyBorder="1" applyAlignment="1">
      <alignment horizontal="center" vertical="center"/>
    </xf>
    <xf numFmtId="0" fontId="33" fillId="27" borderId="11" xfId="0" applyFont="1" applyFill="1" applyBorder="1" applyAlignment="1" applyProtection="1">
      <alignment vertical="center" wrapText="1"/>
      <protection locked="0"/>
    </xf>
    <xf numFmtId="179" fontId="33" fillId="27" borderId="15" xfId="0" applyNumberFormat="1" applyFont="1" applyFill="1" applyBorder="1" applyAlignment="1">
      <alignment horizontal="right" vertical="center" wrapText="1"/>
    </xf>
    <xf numFmtId="179" fontId="33" fillId="27" borderId="163" xfId="0" applyNumberFormat="1" applyFont="1" applyFill="1" applyBorder="1" applyAlignment="1">
      <alignment horizontal="right" vertical="center" wrapText="1"/>
    </xf>
    <xf numFmtId="179" fontId="33" fillId="27" borderId="163" xfId="0" applyNumberFormat="1" applyFont="1" applyFill="1" applyBorder="1" applyAlignment="1">
      <alignment horizontal="center" vertical="center"/>
    </xf>
    <xf numFmtId="0" fontId="33" fillId="27" borderId="163" xfId="0" applyFont="1" applyFill="1" applyBorder="1" applyAlignment="1" applyProtection="1">
      <alignment vertical="center" wrapText="1"/>
      <protection locked="0"/>
    </xf>
    <xf numFmtId="179" fontId="33" fillId="27" borderId="55" xfId="0" applyNumberFormat="1" applyFont="1" applyFill="1" applyBorder="1" applyAlignment="1">
      <alignment horizontal="center" vertical="center"/>
    </xf>
    <xf numFmtId="179" fontId="33" fillId="27" borderId="55" xfId="0" quotePrefix="1" applyNumberFormat="1" applyFont="1" applyFill="1" applyBorder="1" applyAlignment="1">
      <alignment horizontal="center" vertical="center"/>
    </xf>
    <xf numFmtId="0" fontId="33" fillId="27" borderId="55" xfId="0" applyFont="1" applyFill="1" applyBorder="1" applyAlignment="1">
      <alignment vertical="center" wrapText="1"/>
    </xf>
    <xf numFmtId="0" fontId="33" fillId="27" borderId="16" xfId="0" applyFont="1" applyFill="1" applyBorder="1" applyAlignment="1">
      <alignment horizontal="center" vertical="center" wrapText="1"/>
    </xf>
    <xf numFmtId="179" fontId="33" fillId="27" borderId="15" xfId="0" quotePrefix="1" applyNumberFormat="1" applyFont="1" applyFill="1" applyBorder="1" applyAlignment="1">
      <alignment horizontal="center" vertical="center"/>
    </xf>
    <xf numFmtId="0" fontId="33" fillId="27" borderId="11" xfId="0" applyFont="1" applyFill="1" applyBorder="1" applyAlignment="1">
      <alignment horizontal="left" vertical="center" wrapText="1"/>
    </xf>
    <xf numFmtId="179" fontId="33" fillId="27" borderId="11" xfId="0" quotePrefix="1" applyNumberFormat="1" applyFont="1" applyFill="1" applyBorder="1" applyAlignment="1">
      <alignment horizontal="center" vertical="center"/>
    </xf>
    <xf numFmtId="179" fontId="33" fillId="27" borderId="55" xfId="0" applyNumberFormat="1" applyFont="1" applyFill="1" applyBorder="1" applyAlignment="1">
      <alignment horizontal="left" vertical="center" wrapText="1"/>
    </xf>
    <xf numFmtId="38" fontId="33" fillId="27" borderId="51" xfId="35" applyFont="1" applyFill="1" applyBorder="1" applyAlignment="1">
      <alignment horizontal="center" vertical="center" wrapText="1"/>
    </xf>
    <xf numFmtId="0" fontId="33" fillId="27" borderId="51" xfId="0" applyFont="1" applyFill="1" applyBorder="1">
      <alignment vertical="center"/>
    </xf>
    <xf numFmtId="0" fontId="33" fillId="27" borderId="187" xfId="0" applyFont="1" applyFill="1" applyBorder="1" applyAlignment="1">
      <alignment horizontal="center" vertical="center" shrinkToFit="1"/>
    </xf>
    <xf numFmtId="199" fontId="33" fillId="27" borderId="163" xfId="0" applyNumberFormat="1" applyFont="1" applyFill="1" applyBorder="1" applyAlignment="1">
      <alignment horizontal="center" vertical="center"/>
    </xf>
    <xf numFmtId="0" fontId="33" fillId="27" borderId="163" xfId="0" applyFont="1" applyFill="1" applyBorder="1" applyAlignment="1">
      <alignment horizontal="center" vertical="center"/>
    </xf>
    <xf numFmtId="0" fontId="33" fillId="27" borderId="14" xfId="0" applyFont="1" applyFill="1" applyBorder="1" applyAlignment="1">
      <alignment horizontal="center" vertical="center"/>
    </xf>
    <xf numFmtId="0" fontId="33" fillId="27" borderId="11" xfId="0" applyFont="1" applyFill="1" applyBorder="1" applyAlignment="1">
      <alignment horizontal="center" vertical="center"/>
    </xf>
    <xf numFmtId="0" fontId="33" fillId="27" borderId="166" xfId="0" applyFont="1" applyFill="1" applyBorder="1" applyAlignment="1">
      <alignment horizontal="center" vertical="center" wrapText="1"/>
    </xf>
    <xf numFmtId="0" fontId="33" fillId="27" borderId="164" xfId="0" applyFont="1" applyFill="1" applyBorder="1" applyAlignment="1">
      <alignment horizontal="center" vertical="center"/>
    </xf>
    <xf numFmtId="0" fontId="33" fillId="27" borderId="164" xfId="0" applyFont="1" applyFill="1" applyBorder="1" applyAlignment="1" applyProtection="1">
      <alignment vertical="center" wrapText="1"/>
      <protection locked="0"/>
    </xf>
    <xf numFmtId="0" fontId="33" fillId="27" borderId="0" xfId="0" applyFont="1" applyFill="1" applyAlignment="1">
      <alignment horizontal="center" vertical="center" wrapText="1"/>
    </xf>
    <xf numFmtId="0" fontId="33" fillId="41" borderId="55" xfId="0" applyFont="1" applyFill="1" applyBorder="1" applyAlignment="1" applyProtection="1">
      <alignment horizontal="center" vertical="center"/>
      <protection locked="0"/>
    </xf>
    <xf numFmtId="0" fontId="33" fillId="41" borderId="55" xfId="0" applyFont="1" applyFill="1" applyBorder="1" applyProtection="1">
      <alignment vertical="center"/>
      <protection locked="0"/>
    </xf>
    <xf numFmtId="0" fontId="33" fillId="41" borderId="10" xfId="0" applyFont="1" applyFill="1" applyBorder="1" applyAlignment="1" applyProtection="1">
      <alignment horizontal="center" vertical="center"/>
      <protection locked="0"/>
    </xf>
    <xf numFmtId="0" fontId="33" fillId="41" borderId="10" xfId="0" applyFont="1" applyFill="1" applyBorder="1" applyProtection="1">
      <alignment vertical="center"/>
      <protection locked="0"/>
    </xf>
    <xf numFmtId="197" fontId="33" fillId="41" borderId="10" xfId="0" applyNumberFormat="1" applyFont="1" applyFill="1" applyBorder="1" applyAlignment="1" applyProtection="1">
      <alignment horizontal="center" vertical="center"/>
      <protection locked="0"/>
    </xf>
    <xf numFmtId="0" fontId="33" fillId="41" borderId="10" xfId="0" applyFont="1" applyFill="1" applyBorder="1" applyAlignment="1" applyProtection="1">
      <alignment vertical="center" wrapText="1"/>
      <protection locked="0"/>
    </xf>
    <xf numFmtId="179" fontId="33" fillId="41" borderId="10" xfId="0" applyNumberFormat="1" applyFont="1" applyFill="1" applyBorder="1" applyAlignment="1" applyProtection="1">
      <alignment horizontal="center" vertical="center"/>
      <protection locked="0"/>
    </xf>
    <xf numFmtId="0" fontId="33" fillId="41" borderId="10" xfId="0" applyFont="1" applyFill="1" applyBorder="1" applyAlignment="1" applyProtection="1">
      <alignment horizontal="left" vertical="center" wrapText="1"/>
      <protection locked="0"/>
    </xf>
    <xf numFmtId="0" fontId="33" fillId="41" borderId="10" xfId="0" applyFont="1" applyFill="1" applyBorder="1" applyAlignment="1" applyProtection="1">
      <alignment horizontal="left" vertical="center" wrapText="1" shrinkToFit="1"/>
      <protection locked="0"/>
    </xf>
    <xf numFmtId="0" fontId="33" fillId="41" borderId="10" xfId="0" applyFont="1" applyFill="1" applyBorder="1" applyAlignment="1" applyProtection="1">
      <alignment horizontal="center" vertical="center" wrapText="1" shrinkToFit="1"/>
      <protection locked="0"/>
    </xf>
    <xf numFmtId="0" fontId="33" fillId="41" borderId="16" xfId="0" applyFont="1" applyFill="1" applyBorder="1" applyAlignment="1" applyProtection="1">
      <alignment horizontal="center" vertical="center" wrapText="1"/>
      <protection locked="0"/>
    </xf>
    <xf numFmtId="0" fontId="33" fillId="41" borderId="16" xfId="0" applyFont="1" applyFill="1" applyBorder="1" applyAlignment="1" applyProtection="1">
      <alignment horizontal="center" vertical="center" wrapText="1" shrinkToFit="1"/>
      <protection locked="0"/>
    </xf>
    <xf numFmtId="0" fontId="33" fillId="41" borderId="16" xfId="0" applyFont="1" applyFill="1" applyBorder="1" applyAlignment="1" applyProtection="1">
      <alignment vertical="center" wrapText="1"/>
      <protection locked="0"/>
    </xf>
    <xf numFmtId="0" fontId="33" fillId="27" borderId="11" xfId="0" applyFont="1" applyFill="1" applyBorder="1" applyAlignment="1">
      <alignment horizontal="center" vertical="center" shrinkToFit="1"/>
    </xf>
    <xf numFmtId="0" fontId="33" fillId="41" borderId="11" xfId="0" applyFont="1" applyFill="1" applyBorder="1" applyAlignment="1" applyProtection="1">
      <alignment horizontal="center" vertical="center" wrapText="1"/>
      <protection locked="0"/>
    </xf>
    <xf numFmtId="0" fontId="33" fillId="41" borderId="11" xfId="0" applyFont="1" applyFill="1" applyBorder="1" applyAlignment="1" applyProtection="1">
      <alignment horizontal="center" vertical="center" wrapText="1" shrinkToFit="1"/>
      <protection locked="0"/>
    </xf>
    <xf numFmtId="0" fontId="33" fillId="41" borderId="163" xfId="0" applyFont="1" applyFill="1" applyBorder="1" applyAlignment="1" applyProtection="1">
      <alignment vertical="center" wrapText="1"/>
      <protection locked="0"/>
    </xf>
    <xf numFmtId="0" fontId="33" fillId="41" borderId="11" xfId="0" applyFont="1" applyFill="1" applyBorder="1" applyAlignment="1" applyProtection="1">
      <alignment vertical="center" wrapText="1"/>
      <protection locked="0"/>
    </xf>
    <xf numFmtId="0" fontId="33" fillId="41" borderId="173" xfId="0" applyFont="1" applyFill="1" applyBorder="1" applyAlignment="1" applyProtection="1">
      <alignment horizontal="center" vertical="center" wrapText="1"/>
      <protection locked="0"/>
    </xf>
    <xf numFmtId="0" fontId="33" fillId="41" borderId="173" xfId="0" applyFont="1" applyFill="1" applyBorder="1" applyAlignment="1" applyProtection="1">
      <alignment horizontal="center" vertical="center" wrapText="1" shrinkToFit="1"/>
      <protection locked="0"/>
    </xf>
    <xf numFmtId="0" fontId="33" fillId="41" borderId="173" xfId="0" applyFont="1" applyFill="1" applyBorder="1" applyAlignment="1" applyProtection="1">
      <alignment vertical="center" wrapText="1"/>
      <protection locked="0"/>
    </xf>
    <xf numFmtId="0" fontId="33" fillId="41" borderId="163" xfId="0" applyFont="1" applyFill="1" applyBorder="1" applyAlignment="1" applyProtection="1">
      <alignment horizontal="center" vertical="center" wrapText="1"/>
      <protection locked="0"/>
    </xf>
    <xf numFmtId="0" fontId="33" fillId="41" borderId="163" xfId="0" applyFont="1" applyFill="1" applyBorder="1" applyAlignment="1" applyProtection="1">
      <alignment horizontal="center" vertical="center" wrapText="1" shrinkToFit="1"/>
      <protection locked="0"/>
    </xf>
    <xf numFmtId="0" fontId="33" fillId="27" borderId="11" xfId="0" applyFont="1" applyFill="1" applyBorder="1" applyAlignment="1" applyProtection="1">
      <alignment horizontal="center" vertical="center" wrapText="1"/>
      <protection locked="0"/>
    </xf>
    <xf numFmtId="9" fontId="33" fillId="41" borderId="163" xfId="0" applyNumberFormat="1" applyFont="1" applyFill="1" applyBorder="1" applyAlignment="1" applyProtection="1">
      <alignment horizontal="center" vertical="center" wrapText="1"/>
      <protection locked="0"/>
    </xf>
    <xf numFmtId="0" fontId="33" fillId="41" borderId="163" xfId="0" applyFont="1" applyFill="1" applyBorder="1" applyProtection="1">
      <alignment vertical="center"/>
      <protection locked="0"/>
    </xf>
    <xf numFmtId="0" fontId="33" fillId="41" borderId="11" xfId="0" applyFont="1" applyFill="1" applyBorder="1" applyProtection="1">
      <alignment vertical="center"/>
      <protection locked="0"/>
    </xf>
    <xf numFmtId="9" fontId="33" fillId="41" borderId="164" xfId="0" applyNumberFormat="1" applyFont="1" applyFill="1" applyBorder="1" applyAlignment="1" applyProtection="1">
      <alignment horizontal="center" vertical="center" wrapText="1" shrinkToFit="1"/>
      <protection locked="0"/>
    </xf>
    <xf numFmtId="0" fontId="33" fillId="41" borderId="164" xfId="0" applyFont="1" applyFill="1" applyBorder="1" applyProtection="1">
      <alignment vertical="center"/>
      <protection locked="0"/>
    </xf>
    <xf numFmtId="179" fontId="33" fillId="41" borderId="51" xfId="0" applyNumberFormat="1" applyFont="1" applyFill="1" applyBorder="1" applyAlignment="1" applyProtection="1">
      <alignment horizontal="center" vertical="center"/>
      <protection locked="0"/>
    </xf>
    <xf numFmtId="0" fontId="33" fillId="41" borderId="10" xfId="0" applyFont="1" applyFill="1" applyBorder="1" applyAlignment="1" applyProtection="1">
      <alignment horizontal="center" vertical="center" wrapText="1"/>
      <protection locked="0"/>
    </xf>
    <xf numFmtId="178" fontId="33" fillId="41" borderId="163" xfId="0" applyNumberFormat="1" applyFont="1" applyFill="1" applyBorder="1" applyAlignment="1" applyProtection="1">
      <alignment horizontal="center" vertical="center"/>
      <protection locked="0"/>
    </xf>
    <xf numFmtId="0" fontId="33" fillId="27" borderId="17" xfId="0" applyFont="1" applyFill="1" applyBorder="1" applyAlignment="1">
      <alignment horizontal="center" vertical="center" wrapText="1"/>
    </xf>
    <xf numFmtId="178" fontId="33" fillId="41" borderId="11" xfId="0" applyNumberFormat="1" applyFont="1" applyFill="1" applyBorder="1" applyAlignment="1" applyProtection="1">
      <alignment horizontal="center" vertical="center"/>
      <protection locked="0"/>
    </xf>
    <xf numFmtId="178" fontId="33" fillId="41" borderId="15" xfId="0" applyNumberFormat="1" applyFont="1" applyFill="1" applyBorder="1" applyAlignment="1" applyProtection="1">
      <alignment horizontal="center" vertical="center"/>
      <protection locked="0"/>
    </xf>
    <xf numFmtId="179" fontId="33" fillId="41" borderId="55" xfId="0" applyNumberFormat="1" applyFont="1" applyFill="1" applyBorder="1" applyAlignment="1" applyProtection="1">
      <alignment horizontal="center" vertical="center"/>
      <protection locked="0"/>
    </xf>
    <xf numFmtId="0" fontId="33" fillId="41" borderId="164" xfId="0" applyFont="1" applyFill="1" applyBorder="1" applyAlignment="1" applyProtection="1">
      <alignment vertical="center" wrapText="1"/>
      <protection locked="0"/>
    </xf>
    <xf numFmtId="38" fontId="33" fillId="41" borderId="51" xfId="35" applyFont="1" applyFill="1" applyBorder="1" applyAlignment="1" applyProtection="1">
      <alignment horizontal="center" vertical="center" wrapText="1"/>
      <protection locked="0"/>
    </xf>
    <xf numFmtId="0" fontId="33" fillId="41" borderId="51" xfId="0" applyFont="1" applyFill="1" applyBorder="1" applyProtection="1">
      <alignment vertical="center"/>
      <protection locked="0"/>
    </xf>
    <xf numFmtId="0" fontId="33" fillId="41" borderId="163" xfId="0" applyFont="1" applyFill="1" applyBorder="1" applyAlignment="1" applyProtection="1">
      <alignment horizontal="center" vertical="center"/>
      <protection locked="0"/>
    </xf>
    <xf numFmtId="0" fontId="33" fillId="41" borderId="11" xfId="0" applyFont="1" applyFill="1" applyBorder="1" applyAlignment="1" applyProtection="1">
      <alignment horizontal="center" vertical="center"/>
      <protection locked="0"/>
    </xf>
    <xf numFmtId="0" fontId="33" fillId="41" borderId="166" xfId="0" applyFont="1" applyFill="1" applyBorder="1" applyAlignment="1" applyProtection="1">
      <alignment horizontal="center" vertical="center" wrapText="1"/>
      <protection locked="0"/>
    </xf>
    <xf numFmtId="0" fontId="33" fillId="41" borderId="164" xfId="0" applyFont="1" applyFill="1" applyBorder="1" applyAlignment="1" applyProtection="1">
      <alignment horizontal="center" vertical="center"/>
      <protection locked="0"/>
    </xf>
    <xf numFmtId="38" fontId="33" fillId="27" borderId="11" xfId="35" applyFont="1" applyFill="1" applyBorder="1" applyAlignment="1">
      <alignment horizontal="center" vertical="center" wrapText="1" shrinkToFit="1"/>
    </xf>
    <xf numFmtId="0" fontId="33" fillId="27" borderId="173" xfId="0" applyFont="1" applyFill="1" applyBorder="1" applyAlignment="1" applyProtection="1">
      <alignment vertical="center" wrapText="1"/>
      <protection locked="0"/>
    </xf>
    <xf numFmtId="187" fontId="33" fillId="27" borderId="11" xfId="0" applyNumberFormat="1" applyFont="1" applyFill="1" applyBorder="1" applyAlignment="1">
      <alignment horizontal="center" vertical="center" wrapText="1" shrinkToFit="1"/>
    </xf>
    <xf numFmtId="0" fontId="33" fillId="27" borderId="163" xfId="0" applyFont="1" applyFill="1" applyBorder="1" applyAlignment="1">
      <alignment horizontal="left" vertical="center"/>
    </xf>
    <xf numFmtId="38" fontId="33" fillId="27" borderId="163" xfId="35" applyFont="1" applyFill="1" applyBorder="1" applyAlignment="1">
      <alignment horizontal="center" vertical="center" wrapText="1" shrinkToFit="1"/>
    </xf>
    <xf numFmtId="40" fontId="33" fillId="27" borderId="173" xfId="0" applyNumberFormat="1" applyFont="1" applyFill="1" applyBorder="1" applyAlignment="1">
      <alignment horizontal="center" vertical="center" wrapText="1"/>
    </xf>
    <xf numFmtId="38" fontId="33" fillId="27" borderId="173" xfId="35" applyFont="1" applyFill="1" applyBorder="1" applyAlignment="1">
      <alignment horizontal="center" vertical="center" wrapText="1" shrinkToFit="1"/>
    </xf>
    <xf numFmtId="40" fontId="33" fillId="27" borderId="164" xfId="0" applyNumberFormat="1" applyFont="1" applyFill="1" applyBorder="1" applyAlignment="1">
      <alignment horizontal="center" vertical="center" wrapText="1"/>
    </xf>
    <xf numFmtId="178" fontId="33" fillId="27" borderId="164" xfId="0" applyNumberFormat="1" applyFont="1" applyFill="1" applyBorder="1" applyAlignment="1">
      <alignment horizontal="center" vertical="center" wrapText="1" shrinkToFit="1"/>
    </xf>
    <xf numFmtId="0" fontId="33" fillId="0" borderId="0" xfId="0" applyFont="1" applyAlignment="1">
      <alignment horizontal="left"/>
    </xf>
    <xf numFmtId="0" fontId="33" fillId="0" borderId="0" xfId="0" applyFont="1" applyAlignment="1">
      <alignment shrinkToFit="1"/>
    </xf>
    <xf numFmtId="187" fontId="33" fillId="0" borderId="0" xfId="35" applyNumberFormat="1" applyFont="1" applyFill="1" applyBorder="1" applyAlignment="1"/>
    <xf numFmtId="178" fontId="33" fillId="0" borderId="0" xfId="35" applyNumberFormat="1" applyFont="1" applyFill="1" applyBorder="1" applyAlignment="1"/>
    <xf numFmtId="49" fontId="33" fillId="0" borderId="0" xfId="35" applyNumberFormat="1" applyFont="1" applyFill="1" applyBorder="1" applyAlignment="1">
      <alignment horizontal="center"/>
    </xf>
    <xf numFmtId="2" fontId="33" fillId="0" borderId="0" xfId="0" applyNumberFormat="1" applyFont="1" applyAlignment="1">
      <alignment horizontal="left" shrinkToFit="1"/>
    </xf>
    <xf numFmtId="2" fontId="33" fillId="0" borderId="0" xfId="0" applyNumberFormat="1" applyFont="1" applyAlignment="1">
      <alignment horizontal="center"/>
    </xf>
    <xf numFmtId="0" fontId="7" fillId="0" borderId="0" xfId="0" applyFont="1" applyAlignment="1">
      <alignment horizontal="left" vertical="center" shrinkToFit="1"/>
    </xf>
    <xf numFmtId="178" fontId="145" fillId="0" borderId="0" xfId="35" applyNumberFormat="1" applyFont="1" applyFill="1" applyBorder="1" applyAlignment="1" applyProtection="1">
      <protection hidden="1"/>
    </xf>
    <xf numFmtId="0" fontId="33" fillId="0" borderId="0" xfId="0" applyFont="1" applyAlignment="1" applyProtection="1">
      <alignment shrinkToFit="1"/>
      <protection hidden="1"/>
    </xf>
    <xf numFmtId="0" fontId="146" fillId="0" borderId="0" xfId="0" applyFont="1" applyAlignment="1" applyProtection="1">
      <alignment horizontal="left" vertical="center"/>
      <protection hidden="1"/>
    </xf>
    <xf numFmtId="178" fontId="146" fillId="0" borderId="0" xfId="35" applyNumberFormat="1" applyFont="1" applyFill="1" applyBorder="1" applyAlignment="1" applyProtection="1">
      <protection hidden="1"/>
    </xf>
    <xf numFmtId="178" fontId="33" fillId="0" borderId="0" xfId="35" applyNumberFormat="1" applyFont="1" applyFill="1" applyBorder="1" applyAlignment="1" applyProtection="1">
      <protection hidden="1"/>
    </xf>
    <xf numFmtId="2" fontId="145" fillId="0" borderId="0" xfId="0" applyNumberFormat="1" applyFont="1" applyAlignment="1" applyProtection="1">
      <alignment horizontal="left"/>
      <protection hidden="1"/>
    </xf>
    <xf numFmtId="49" fontId="145" fillId="0" borderId="0" xfId="0" applyNumberFormat="1" applyFont="1" applyProtection="1">
      <alignment vertical="center"/>
      <protection hidden="1"/>
    </xf>
    <xf numFmtId="0" fontId="146" fillId="0" borderId="0" xfId="0" applyFont="1" applyAlignment="1">
      <alignment vertical="center" shrinkToFit="1"/>
    </xf>
    <xf numFmtId="0" fontId="146" fillId="0" borderId="0" xfId="0" applyFont="1">
      <alignment vertical="center"/>
    </xf>
    <xf numFmtId="2" fontId="146" fillId="0" borderId="0" xfId="0" applyNumberFormat="1" applyFont="1" applyAlignment="1" applyProtection="1">
      <alignment horizontal="center"/>
      <protection hidden="1"/>
    </xf>
    <xf numFmtId="0" fontId="146" fillId="0" borderId="0" xfId="0" applyFont="1" applyAlignment="1">
      <alignment horizontal="left" vertical="center" shrinkToFit="1"/>
    </xf>
    <xf numFmtId="1" fontId="145" fillId="0" borderId="0" xfId="0" applyNumberFormat="1" applyFont="1" applyAlignment="1" applyProtection="1">
      <alignment horizontal="center"/>
      <protection hidden="1"/>
    </xf>
    <xf numFmtId="2" fontId="146" fillId="0" borderId="0" xfId="0" applyNumberFormat="1" applyFont="1" applyAlignment="1" applyProtection="1">
      <alignment horizontal="left" shrinkToFit="1"/>
      <protection hidden="1"/>
    </xf>
    <xf numFmtId="0" fontId="7" fillId="35" borderId="52" xfId="0" applyFont="1" applyFill="1" applyBorder="1" applyAlignment="1" applyProtection="1">
      <alignment horizontal="center" vertical="center"/>
      <protection hidden="1"/>
    </xf>
    <xf numFmtId="0" fontId="7" fillId="35" borderId="54" xfId="0" applyFont="1" applyFill="1" applyBorder="1" applyAlignment="1" applyProtection="1">
      <alignment horizontal="center" vertical="center" shrinkToFit="1"/>
      <protection hidden="1"/>
    </xf>
    <xf numFmtId="0" fontId="7" fillId="35" borderId="26" xfId="0" applyFont="1" applyFill="1" applyBorder="1" applyAlignment="1" applyProtection="1">
      <alignment horizontal="centerContinuous" vertical="center"/>
      <protection hidden="1"/>
    </xf>
    <xf numFmtId="0" fontId="7" fillId="35" borderId="27" xfId="0" applyFont="1" applyFill="1" applyBorder="1" applyAlignment="1" applyProtection="1">
      <alignment horizontal="centerContinuous" vertical="center"/>
      <protection hidden="1"/>
    </xf>
    <xf numFmtId="0" fontId="33" fillId="35" borderId="26" xfId="0" applyFont="1" applyFill="1" applyBorder="1" applyAlignment="1" applyProtection="1">
      <alignment horizontal="centerContinuous" vertical="center"/>
      <protection hidden="1"/>
    </xf>
    <xf numFmtId="0" fontId="33" fillId="35" borderId="27" xfId="0" applyFont="1" applyFill="1" applyBorder="1" applyAlignment="1" applyProtection="1">
      <alignment horizontal="centerContinuous" vertical="center"/>
      <protection hidden="1"/>
    </xf>
    <xf numFmtId="178" fontId="33" fillId="35" borderId="10" xfId="35" applyNumberFormat="1" applyFont="1" applyFill="1" applyBorder="1" applyAlignment="1" applyProtection="1">
      <alignment horizontal="centerContinuous" vertical="center"/>
      <protection hidden="1"/>
    </xf>
    <xf numFmtId="0" fontId="33" fillId="35" borderId="50" xfId="0" applyFont="1" applyFill="1" applyBorder="1" applyAlignment="1" applyProtection="1">
      <alignment horizontal="centerContinuous" vertical="center"/>
      <protection hidden="1"/>
    </xf>
    <xf numFmtId="0" fontId="7" fillId="35" borderId="10" xfId="0" applyFont="1" applyFill="1" applyBorder="1" applyAlignment="1" applyProtection="1">
      <alignment horizontal="center" vertical="center"/>
      <protection hidden="1"/>
    </xf>
    <xf numFmtId="0" fontId="7" fillId="35" borderId="10" xfId="0" applyFont="1" applyFill="1" applyBorder="1" applyAlignment="1" applyProtection="1">
      <alignment horizontal="center" vertical="center" shrinkToFit="1"/>
      <protection hidden="1"/>
    </xf>
    <xf numFmtId="2" fontId="33" fillId="35" borderId="10" xfId="0" applyNumberFormat="1" applyFont="1" applyFill="1" applyBorder="1" applyAlignment="1" applyProtection="1">
      <alignment horizontal="center"/>
      <protection hidden="1"/>
    </xf>
    <xf numFmtId="0" fontId="7" fillId="35" borderId="10" xfId="0" applyFont="1" applyFill="1" applyBorder="1" applyAlignment="1" applyProtection="1">
      <alignment horizontal="left" vertical="center" shrinkToFit="1"/>
      <protection hidden="1"/>
    </xf>
    <xf numFmtId="0" fontId="7" fillId="35" borderId="56" xfId="0" applyFont="1" applyFill="1" applyBorder="1" applyAlignment="1" applyProtection="1">
      <alignment horizontal="center" vertical="center" shrinkToFit="1"/>
      <protection hidden="1"/>
    </xf>
    <xf numFmtId="0" fontId="7" fillId="35" borderId="58" xfId="0" applyFont="1" applyFill="1" applyBorder="1" applyAlignment="1" applyProtection="1">
      <alignment horizontal="center" vertical="center" shrinkToFit="1"/>
      <protection hidden="1"/>
    </xf>
    <xf numFmtId="178" fontId="33" fillId="35" borderId="10" xfId="35" applyNumberFormat="1" applyFont="1" applyFill="1" applyBorder="1" applyAlignment="1" applyProtection="1">
      <alignment horizontal="center" shrinkToFit="1"/>
      <protection hidden="1"/>
    </xf>
    <xf numFmtId="2" fontId="33" fillId="35" borderId="10" xfId="0" applyNumberFormat="1" applyFont="1" applyFill="1" applyBorder="1" applyAlignment="1" applyProtection="1">
      <alignment horizontal="center" vertical="top" shrinkToFit="1"/>
      <protection hidden="1"/>
    </xf>
    <xf numFmtId="2" fontId="33" fillId="35" borderId="26" xfId="0" applyNumberFormat="1" applyFont="1" applyFill="1" applyBorder="1" applyAlignment="1" applyProtection="1">
      <alignment horizontal="center" vertical="top" shrinkToFit="1"/>
      <protection hidden="1"/>
    </xf>
    <xf numFmtId="2" fontId="33" fillId="35" borderId="27" xfId="0" applyNumberFormat="1" applyFont="1" applyFill="1" applyBorder="1" applyAlignment="1" applyProtection="1">
      <alignment horizontal="center" vertical="top" shrinkToFit="1"/>
      <protection hidden="1"/>
    </xf>
    <xf numFmtId="0" fontId="7" fillId="35" borderId="56" xfId="0" applyFont="1" applyFill="1" applyBorder="1" applyAlignment="1" applyProtection="1">
      <alignment horizontal="center" vertical="center"/>
      <protection hidden="1"/>
    </xf>
    <xf numFmtId="0" fontId="33" fillId="35" borderId="58" xfId="0" applyFont="1" applyFill="1" applyBorder="1" applyAlignment="1" applyProtection="1">
      <alignment horizontal="center" vertical="center" shrinkToFit="1"/>
      <protection hidden="1"/>
    </xf>
    <xf numFmtId="187" fontId="33" fillId="35" borderId="27" xfId="35" applyNumberFormat="1" applyFont="1" applyFill="1" applyBorder="1" applyAlignment="1" applyProtection="1">
      <protection hidden="1"/>
    </xf>
    <xf numFmtId="178" fontId="33" fillId="35" borderId="10" xfId="35" applyNumberFormat="1" applyFont="1" applyFill="1" applyBorder="1" applyAlignment="1" applyProtection="1">
      <alignment horizontal="center"/>
      <protection hidden="1"/>
    </xf>
    <xf numFmtId="40" fontId="33" fillId="35" borderId="10" xfId="35" applyNumberFormat="1" applyFont="1" applyFill="1" applyBorder="1" applyAlignment="1" applyProtection="1">
      <alignment horizontal="center" vertical="top"/>
      <protection hidden="1"/>
    </xf>
    <xf numFmtId="40" fontId="33" fillId="35" borderId="26" xfId="35" applyNumberFormat="1" applyFont="1" applyFill="1" applyBorder="1" applyAlignment="1" applyProtection="1">
      <alignment horizontal="center" vertical="top"/>
      <protection hidden="1"/>
    </xf>
    <xf numFmtId="0" fontId="24" fillId="35" borderId="10" xfId="0" applyFont="1" applyFill="1" applyBorder="1" applyAlignment="1" applyProtection="1">
      <alignment horizontal="center" vertical="center"/>
      <protection hidden="1"/>
    </xf>
    <xf numFmtId="0" fontId="42" fillId="35" borderId="58" xfId="0" applyFont="1" applyFill="1" applyBorder="1" applyAlignment="1" applyProtection="1">
      <alignment horizontal="left" vertical="center" shrinkToFit="1"/>
      <protection hidden="1"/>
    </xf>
    <xf numFmtId="187" fontId="122" fillId="35" borderId="27" xfId="35" applyNumberFormat="1" applyFont="1" applyFill="1" applyBorder="1" applyAlignment="1" applyProtection="1">
      <protection hidden="1"/>
    </xf>
    <xf numFmtId="178" fontId="122" fillId="35" borderId="10" xfId="35" applyNumberFormat="1" applyFont="1" applyFill="1" applyBorder="1" applyAlignment="1" applyProtection="1">
      <alignment horizontal="center"/>
      <protection hidden="1"/>
    </xf>
    <xf numFmtId="0" fontId="24" fillId="35" borderId="10" xfId="0" applyFont="1" applyFill="1" applyBorder="1" applyAlignment="1" applyProtection="1">
      <alignment horizontal="left" vertical="center" shrinkToFit="1"/>
      <protection hidden="1"/>
    </xf>
    <xf numFmtId="40" fontId="122" fillId="35" borderId="10" xfId="35" applyNumberFormat="1" applyFont="1" applyFill="1" applyBorder="1" applyAlignment="1" applyProtection="1">
      <alignment horizontal="center" vertical="top"/>
      <protection hidden="1"/>
    </xf>
    <xf numFmtId="40" fontId="122" fillId="35" borderId="26" xfId="35" applyNumberFormat="1" applyFont="1" applyFill="1" applyBorder="1" applyAlignment="1" applyProtection="1">
      <alignment horizontal="center" vertical="top"/>
      <protection hidden="1"/>
    </xf>
    <xf numFmtId="2" fontId="122" fillId="35" borderId="27" xfId="0" applyNumberFormat="1" applyFont="1" applyFill="1" applyBorder="1" applyAlignment="1" applyProtection="1">
      <alignment horizontal="center" vertical="top"/>
      <protection hidden="1"/>
    </xf>
    <xf numFmtId="2" fontId="122" fillId="35" borderId="10" xfId="0" applyNumberFormat="1" applyFont="1" applyFill="1" applyBorder="1" applyAlignment="1" applyProtection="1">
      <alignment horizontal="center" vertical="top"/>
      <protection hidden="1"/>
    </xf>
    <xf numFmtId="0" fontId="122" fillId="31" borderId="10" xfId="0" applyFont="1" applyFill="1" applyBorder="1" applyAlignment="1" applyProtection="1">
      <alignment horizontal="left" vertical="center"/>
      <protection hidden="1"/>
    </xf>
    <xf numFmtId="187" fontId="122" fillId="31" borderId="10" xfId="35" applyNumberFormat="1" applyFont="1" applyFill="1" applyBorder="1" applyAlignment="1" applyProtection="1">
      <alignment horizontal="right"/>
      <protection hidden="1"/>
    </xf>
    <xf numFmtId="188" fontId="122" fillId="31" borderId="10" xfId="35" applyNumberFormat="1" applyFont="1" applyFill="1" applyBorder="1" applyAlignment="1" applyProtection="1">
      <protection hidden="1"/>
    </xf>
    <xf numFmtId="0" fontId="122" fillId="31" borderId="10" xfId="0" applyFont="1" applyFill="1" applyBorder="1" applyAlignment="1" applyProtection="1">
      <alignment horizontal="left" vertical="center" shrinkToFit="1"/>
      <protection hidden="1"/>
    </xf>
    <xf numFmtId="38" fontId="122" fillId="31" borderId="10" xfId="35" applyFont="1" applyFill="1" applyBorder="1" applyAlignment="1" applyProtection="1">
      <alignment horizontal="center" vertical="center"/>
      <protection hidden="1"/>
    </xf>
    <xf numFmtId="49" fontId="122" fillId="31" borderId="10" xfId="0" applyNumberFormat="1" applyFont="1" applyFill="1" applyBorder="1" applyAlignment="1" applyProtection="1">
      <alignment horizontal="left" vertical="center"/>
      <protection hidden="1"/>
    </xf>
    <xf numFmtId="2" fontId="122" fillId="31" borderId="10" xfId="35" applyNumberFormat="1" applyFont="1" applyFill="1" applyBorder="1" applyAlignment="1" applyProtection="1">
      <alignment horizontal="center" vertical="center"/>
      <protection hidden="1"/>
    </xf>
    <xf numFmtId="2" fontId="122" fillId="31" borderId="27" xfId="35" applyNumberFormat="1" applyFont="1" applyFill="1" applyBorder="1" applyAlignment="1" applyProtection="1">
      <alignment horizontal="center" vertical="center"/>
      <protection hidden="1"/>
    </xf>
    <xf numFmtId="187" fontId="122" fillId="27" borderId="10" xfId="35" applyNumberFormat="1" applyFont="1" applyFill="1" applyBorder="1" applyAlignment="1" applyProtection="1">
      <alignment horizontal="right"/>
      <protection hidden="1"/>
    </xf>
    <xf numFmtId="188" fontId="122" fillId="27" borderId="10" xfId="35" applyNumberFormat="1" applyFont="1" applyFill="1" applyBorder="1" applyAlignment="1" applyProtection="1">
      <protection hidden="1"/>
    </xf>
    <xf numFmtId="187" fontId="33" fillId="27" borderId="10" xfId="0" applyNumberFormat="1" applyFont="1" applyFill="1" applyBorder="1" applyProtection="1">
      <alignment vertical="center"/>
      <protection hidden="1"/>
    </xf>
    <xf numFmtId="0" fontId="122" fillId="27" borderId="10" xfId="0" applyFont="1" applyFill="1" applyBorder="1" applyAlignment="1" applyProtection="1">
      <alignment horizontal="left" vertical="center"/>
      <protection hidden="1"/>
    </xf>
    <xf numFmtId="0" fontId="122" fillId="27" borderId="10" xfId="0" applyFont="1" applyFill="1" applyBorder="1" applyAlignment="1" applyProtection="1">
      <alignment horizontal="left" vertical="center" shrinkToFit="1"/>
      <protection hidden="1"/>
    </xf>
    <xf numFmtId="38" fontId="122" fillId="27" borderId="10" xfId="35" applyFont="1" applyFill="1" applyBorder="1" applyAlignment="1" applyProtection="1">
      <alignment horizontal="center"/>
      <protection hidden="1"/>
    </xf>
    <xf numFmtId="38" fontId="122" fillId="27" borderId="26" xfId="35" applyFont="1" applyFill="1" applyBorder="1" applyAlignment="1" applyProtection="1">
      <alignment horizontal="center" vertical="center"/>
      <protection hidden="1"/>
    </xf>
    <xf numFmtId="49" fontId="122" fillId="27" borderId="10" xfId="0" applyNumberFormat="1" applyFont="1" applyFill="1" applyBorder="1" applyAlignment="1" applyProtection="1">
      <alignment horizontal="left" vertical="center"/>
      <protection hidden="1"/>
    </xf>
    <xf numFmtId="2" fontId="122" fillId="27" borderId="10" xfId="35" applyNumberFormat="1" applyFont="1" applyFill="1" applyBorder="1" applyAlignment="1" applyProtection="1">
      <alignment horizontal="center"/>
      <protection hidden="1"/>
    </xf>
    <xf numFmtId="2" fontId="122" fillId="27" borderId="27" xfId="35" applyNumberFormat="1" applyFont="1" applyFill="1" applyBorder="1" applyAlignment="1" applyProtection="1">
      <alignment horizontal="center"/>
      <protection hidden="1"/>
    </xf>
    <xf numFmtId="2" fontId="122" fillId="27" borderId="26" xfId="35" applyNumberFormat="1" applyFont="1" applyFill="1" applyBorder="1" applyAlignment="1" applyProtection="1">
      <alignment horizontal="center" vertical="center"/>
      <protection hidden="1"/>
    </xf>
    <xf numFmtId="187" fontId="33" fillId="27" borderId="10" xfId="35" applyNumberFormat="1" applyFont="1" applyFill="1" applyBorder="1" applyAlignment="1" applyProtection="1">
      <alignment horizontal="right"/>
      <protection hidden="1"/>
    </xf>
    <xf numFmtId="188" fontId="33" fillId="27" borderId="10" xfId="35" applyNumberFormat="1" applyFont="1" applyFill="1" applyBorder="1" applyAlignment="1" applyProtection="1">
      <protection hidden="1"/>
    </xf>
    <xf numFmtId="0" fontId="33" fillId="27" borderId="10" xfId="0" applyFont="1" applyFill="1" applyBorder="1" applyAlignment="1" applyProtection="1">
      <alignment horizontal="left" vertical="center"/>
      <protection hidden="1"/>
    </xf>
    <xf numFmtId="0" fontId="33" fillId="27" borderId="10" xfId="0" applyFont="1" applyFill="1" applyBorder="1" applyAlignment="1" applyProtection="1">
      <alignment horizontal="left" vertical="center" shrinkToFit="1"/>
      <protection hidden="1"/>
    </xf>
    <xf numFmtId="38" fontId="33" fillId="27" borderId="10" xfId="35" applyFont="1" applyFill="1" applyBorder="1" applyAlignment="1" applyProtection="1">
      <alignment horizontal="center" vertical="center"/>
      <protection hidden="1"/>
    </xf>
    <xf numFmtId="38" fontId="33" fillId="27" borderId="27" xfId="35" applyFont="1" applyFill="1" applyBorder="1" applyAlignment="1" applyProtection="1">
      <alignment horizontal="center" vertical="center"/>
      <protection hidden="1"/>
    </xf>
    <xf numFmtId="49" fontId="33" fillId="27" borderId="10" xfId="0" applyNumberFormat="1" applyFont="1" applyFill="1" applyBorder="1" applyAlignment="1" applyProtection="1">
      <alignment horizontal="left" vertical="center"/>
      <protection hidden="1"/>
    </xf>
    <xf numFmtId="38" fontId="33" fillId="45" borderId="10" xfId="35" applyFont="1" applyFill="1" applyBorder="1" applyAlignment="1" applyProtection="1">
      <alignment horizontal="center" vertical="center"/>
      <protection hidden="1"/>
    </xf>
    <xf numFmtId="2" fontId="33" fillId="27" borderId="10" xfId="35" applyNumberFormat="1" applyFont="1" applyFill="1" applyBorder="1" applyAlignment="1" applyProtection="1">
      <alignment horizontal="center" vertical="center"/>
      <protection hidden="1"/>
    </xf>
    <xf numFmtId="2" fontId="33" fillId="27" borderId="27" xfId="35" applyNumberFormat="1" applyFont="1" applyFill="1" applyBorder="1" applyAlignment="1" applyProtection="1">
      <alignment horizontal="center" vertical="center"/>
      <protection hidden="1"/>
    </xf>
    <xf numFmtId="178" fontId="33" fillId="27" borderId="26" xfId="0" applyNumberFormat="1" applyFont="1" applyFill="1" applyBorder="1" applyAlignment="1" applyProtection="1">
      <alignment horizontal="center" vertical="center"/>
      <protection hidden="1"/>
    </xf>
    <xf numFmtId="2" fontId="33" fillId="45" borderId="10" xfId="35" applyNumberFormat="1" applyFont="1" applyFill="1" applyBorder="1" applyAlignment="1" applyProtection="1">
      <alignment horizontal="center" vertical="center"/>
      <protection hidden="1"/>
    </xf>
    <xf numFmtId="38" fontId="33" fillId="27" borderId="26" xfId="35" applyFont="1" applyFill="1" applyBorder="1" applyAlignment="1" applyProtection="1">
      <alignment horizontal="center" vertical="center"/>
      <protection hidden="1"/>
    </xf>
    <xf numFmtId="38" fontId="33" fillId="42" borderId="10" xfId="35" applyFont="1" applyFill="1" applyBorder="1" applyAlignment="1" applyProtection="1">
      <alignment horizontal="center" vertical="center"/>
      <protection hidden="1"/>
    </xf>
    <xf numFmtId="2" fontId="33" fillId="46" borderId="10" xfId="35" applyNumberFormat="1" applyFont="1" applyFill="1" applyBorder="1" applyAlignment="1" applyProtection="1">
      <alignment horizontal="center" vertical="center"/>
      <protection hidden="1"/>
    </xf>
    <xf numFmtId="2" fontId="33" fillId="27" borderId="26" xfId="35" applyNumberFormat="1" applyFont="1" applyFill="1" applyBorder="1" applyAlignment="1" applyProtection="1">
      <alignment horizontal="center" vertical="center"/>
      <protection hidden="1"/>
    </xf>
    <xf numFmtId="0" fontId="122" fillId="27" borderId="26" xfId="0" applyFont="1" applyFill="1" applyBorder="1" applyAlignment="1" applyProtection="1">
      <alignment horizontal="center" vertical="center"/>
      <protection hidden="1"/>
    </xf>
    <xf numFmtId="178" fontId="122" fillId="27" borderId="26" xfId="0" applyNumberFormat="1" applyFont="1" applyFill="1" applyBorder="1" applyAlignment="1" applyProtection="1">
      <alignment horizontal="center" vertical="center"/>
      <protection hidden="1"/>
    </xf>
    <xf numFmtId="0" fontId="33" fillId="27" borderId="26" xfId="0" applyFont="1" applyFill="1" applyBorder="1" applyAlignment="1" applyProtection="1">
      <alignment horizontal="center" vertical="center"/>
      <protection hidden="1"/>
    </xf>
    <xf numFmtId="0" fontId="33" fillId="42" borderId="26" xfId="0" applyFont="1" applyFill="1" applyBorder="1" applyAlignment="1" applyProtection="1">
      <alignment horizontal="center" vertical="center"/>
      <protection hidden="1"/>
    </xf>
    <xf numFmtId="2" fontId="33" fillId="27" borderId="10" xfId="0" applyNumberFormat="1" applyFont="1" applyFill="1" applyBorder="1" applyAlignment="1" applyProtection="1">
      <alignment horizontal="center"/>
      <protection hidden="1"/>
    </xf>
    <xf numFmtId="2" fontId="33" fillId="25" borderId="10" xfId="35" applyNumberFormat="1" applyFont="1" applyFill="1" applyBorder="1" applyAlignment="1" applyProtection="1">
      <alignment horizontal="center" vertical="center"/>
      <protection hidden="1"/>
    </xf>
    <xf numFmtId="187" fontId="33" fillId="42" borderId="10" xfId="0" applyNumberFormat="1" applyFont="1" applyFill="1" applyBorder="1" applyProtection="1">
      <alignment vertical="center"/>
      <protection hidden="1"/>
    </xf>
    <xf numFmtId="188" fontId="33" fillId="42" borderId="10" xfId="35" applyNumberFormat="1" applyFont="1" applyFill="1" applyBorder="1" applyAlignment="1" applyProtection="1">
      <protection hidden="1"/>
    </xf>
    <xf numFmtId="0" fontId="33" fillId="42" borderId="10" xfId="0" applyFont="1" applyFill="1" applyBorder="1" applyAlignment="1" applyProtection="1">
      <alignment horizontal="left" vertical="center"/>
      <protection hidden="1"/>
    </xf>
    <xf numFmtId="0" fontId="33" fillId="42" borderId="10" xfId="0" applyFont="1" applyFill="1" applyBorder="1" applyAlignment="1" applyProtection="1">
      <alignment horizontal="left" vertical="center" shrinkToFit="1"/>
      <protection hidden="1"/>
    </xf>
    <xf numFmtId="38" fontId="33" fillId="42" borderId="26" xfId="35" applyFont="1" applyFill="1" applyBorder="1" applyAlignment="1" applyProtection="1">
      <alignment horizontal="center" vertical="center"/>
      <protection hidden="1"/>
    </xf>
    <xf numFmtId="49" fontId="33" fillId="42" borderId="10" xfId="0" applyNumberFormat="1" applyFont="1" applyFill="1" applyBorder="1" applyAlignment="1" applyProtection="1">
      <alignment horizontal="left" vertical="center"/>
      <protection hidden="1"/>
    </xf>
    <xf numFmtId="2" fontId="33" fillId="42" borderId="10" xfId="35" applyNumberFormat="1" applyFont="1" applyFill="1" applyBorder="1" applyAlignment="1" applyProtection="1">
      <alignment horizontal="center" vertical="center"/>
      <protection hidden="1"/>
    </xf>
    <xf numFmtId="2" fontId="33" fillId="42" borderId="26" xfId="35" applyNumberFormat="1" applyFont="1" applyFill="1" applyBorder="1" applyAlignment="1" applyProtection="1">
      <alignment horizontal="center" vertical="center"/>
      <protection hidden="1"/>
    </xf>
    <xf numFmtId="2" fontId="33" fillId="42" borderId="27" xfId="35" applyNumberFormat="1" applyFont="1" applyFill="1" applyBorder="1" applyAlignment="1" applyProtection="1">
      <alignment horizontal="center" vertical="center"/>
      <protection hidden="1"/>
    </xf>
    <xf numFmtId="178" fontId="33" fillId="42" borderId="10" xfId="35" applyNumberFormat="1" applyFont="1" applyFill="1" applyBorder="1" applyAlignment="1" applyProtection="1">
      <alignment horizontal="center" vertical="center"/>
      <protection hidden="1"/>
    </xf>
    <xf numFmtId="178" fontId="33" fillId="42" borderId="26" xfId="35" applyNumberFormat="1" applyFont="1" applyFill="1" applyBorder="1" applyAlignment="1" applyProtection="1">
      <alignment horizontal="center" vertical="center"/>
      <protection hidden="1"/>
    </xf>
    <xf numFmtId="178" fontId="33" fillId="42" borderId="27" xfId="35" applyNumberFormat="1" applyFont="1" applyFill="1" applyBorder="1" applyAlignment="1" applyProtection="1">
      <alignment horizontal="center" vertical="center"/>
      <protection hidden="1"/>
    </xf>
    <xf numFmtId="178" fontId="122" fillId="27" borderId="10" xfId="35" applyNumberFormat="1" applyFont="1" applyFill="1" applyBorder="1" applyAlignment="1" applyProtection="1">
      <alignment horizontal="center"/>
      <protection hidden="1"/>
    </xf>
    <xf numFmtId="178" fontId="122" fillId="27" borderId="27" xfId="35" applyNumberFormat="1" applyFont="1" applyFill="1" applyBorder="1" applyAlignment="1" applyProtection="1">
      <alignment horizontal="center"/>
      <protection hidden="1"/>
    </xf>
    <xf numFmtId="178" fontId="33" fillId="27" borderId="10" xfId="35" applyNumberFormat="1" applyFont="1" applyFill="1" applyBorder="1" applyAlignment="1" applyProtection="1">
      <alignment horizontal="center" vertical="center"/>
      <protection hidden="1"/>
    </xf>
    <xf numFmtId="178" fontId="33" fillId="27" borderId="26" xfId="35" applyNumberFormat="1" applyFont="1" applyFill="1" applyBorder="1" applyAlignment="1" applyProtection="1">
      <alignment horizontal="center" vertical="center"/>
      <protection hidden="1"/>
    </xf>
    <xf numFmtId="178" fontId="33" fillId="27" borderId="27" xfId="35" applyNumberFormat="1" applyFont="1" applyFill="1" applyBorder="1" applyAlignment="1" applyProtection="1">
      <alignment horizontal="center" vertical="center"/>
      <protection hidden="1"/>
    </xf>
    <xf numFmtId="178" fontId="152" fillId="27" borderId="10" xfId="35" applyNumberFormat="1" applyFont="1" applyFill="1" applyBorder="1" applyAlignment="1" applyProtection="1">
      <alignment horizontal="center" vertical="center"/>
      <protection hidden="1"/>
    </xf>
    <xf numFmtId="178" fontId="152" fillId="42" borderId="10" xfId="35" applyNumberFormat="1" applyFont="1" applyFill="1" applyBorder="1" applyAlignment="1" applyProtection="1">
      <alignment horizontal="center" vertical="center"/>
      <protection hidden="1"/>
    </xf>
    <xf numFmtId="38" fontId="122" fillId="27" borderId="10" xfId="35" applyFont="1" applyFill="1" applyBorder="1" applyAlignment="1" applyProtection="1">
      <alignment horizontal="center" vertical="center"/>
      <protection hidden="1"/>
    </xf>
    <xf numFmtId="2" fontId="122" fillId="27" borderId="10" xfId="35" applyNumberFormat="1" applyFont="1" applyFill="1" applyBorder="1" applyAlignment="1" applyProtection="1">
      <alignment horizontal="center" vertical="center"/>
      <protection hidden="1"/>
    </xf>
    <xf numFmtId="2" fontId="122" fillId="27" borderId="27" xfId="35" applyNumberFormat="1" applyFont="1" applyFill="1" applyBorder="1" applyAlignment="1" applyProtection="1">
      <alignment horizontal="center" vertical="center"/>
      <protection hidden="1"/>
    </xf>
    <xf numFmtId="179" fontId="122" fillId="27" borderId="26" xfId="0" applyNumberFormat="1" applyFont="1" applyFill="1" applyBorder="1" applyAlignment="1" applyProtection="1">
      <alignment horizontal="center" vertical="center"/>
      <protection hidden="1"/>
    </xf>
    <xf numFmtId="179" fontId="33" fillId="27" borderId="26" xfId="0" applyNumberFormat="1" applyFont="1" applyFill="1" applyBorder="1" applyAlignment="1" applyProtection="1">
      <alignment horizontal="center" vertical="center"/>
      <protection hidden="1"/>
    </xf>
    <xf numFmtId="38" fontId="122" fillId="27" borderId="26" xfId="35" applyFont="1" applyFill="1" applyBorder="1" applyAlignment="1" applyProtection="1">
      <alignment horizontal="center"/>
      <protection hidden="1"/>
    </xf>
    <xf numFmtId="2" fontId="122" fillId="27" borderId="26" xfId="35" applyNumberFormat="1" applyFont="1" applyFill="1" applyBorder="1" applyAlignment="1" applyProtection="1">
      <alignment horizontal="center"/>
      <protection hidden="1"/>
    </xf>
    <xf numFmtId="0" fontId="33" fillId="42" borderId="53" xfId="0" applyFont="1" applyFill="1" applyBorder="1" applyAlignment="1" applyProtection="1">
      <alignment horizontal="left" vertical="center"/>
      <protection hidden="1"/>
    </xf>
    <xf numFmtId="188" fontId="122" fillId="27" borderId="10" xfId="0" applyNumberFormat="1" applyFont="1" applyFill="1" applyBorder="1">
      <alignment vertical="center"/>
    </xf>
    <xf numFmtId="2" fontId="33" fillId="27" borderId="10" xfId="0" applyNumberFormat="1" applyFont="1" applyFill="1" applyBorder="1" applyAlignment="1" applyProtection="1">
      <alignment horizontal="left" vertical="center" shrinkToFit="1"/>
      <protection hidden="1"/>
    </xf>
    <xf numFmtId="38" fontId="33" fillId="27" borderId="10" xfId="35" applyFont="1" applyFill="1" applyBorder="1" applyAlignment="1" applyProtection="1">
      <alignment horizontal="center"/>
      <protection hidden="1"/>
    </xf>
    <xf numFmtId="2" fontId="33" fillId="27" borderId="10" xfId="35" applyNumberFormat="1" applyFont="1" applyFill="1" applyBorder="1" applyAlignment="1" applyProtection="1">
      <alignment horizontal="center"/>
      <protection hidden="1"/>
    </xf>
    <xf numFmtId="2" fontId="33" fillId="27" borderId="27" xfId="35" applyNumberFormat="1" applyFont="1" applyFill="1" applyBorder="1" applyAlignment="1" applyProtection="1">
      <alignment horizontal="center"/>
      <protection hidden="1"/>
    </xf>
    <xf numFmtId="0" fontId="24" fillId="31" borderId="10" xfId="0" applyFont="1" applyFill="1" applyBorder="1" applyAlignment="1" applyProtection="1">
      <alignment horizontal="center" vertical="center"/>
      <protection hidden="1"/>
    </xf>
    <xf numFmtId="0" fontId="24" fillId="35" borderId="10" xfId="0" applyFont="1" applyFill="1" applyBorder="1" applyAlignment="1" applyProtection="1">
      <alignment horizontal="center" vertical="center" shrinkToFit="1"/>
      <protection hidden="1"/>
    </xf>
    <xf numFmtId="187" fontId="122" fillId="31" borderId="10" xfId="35" applyNumberFormat="1" applyFont="1" applyFill="1" applyBorder="1" applyAlignment="1" applyProtection="1">
      <alignment horizontal="right" vertical="center"/>
      <protection hidden="1"/>
    </xf>
    <xf numFmtId="0" fontId="122" fillId="27" borderId="10" xfId="0" quotePrefix="1" applyFont="1" applyFill="1" applyBorder="1" applyAlignment="1" applyProtection="1">
      <alignment horizontal="left" vertical="center"/>
      <protection hidden="1"/>
    </xf>
    <xf numFmtId="188" fontId="33" fillId="27" borderId="10" xfId="0" applyNumberFormat="1" applyFont="1" applyFill="1" applyBorder="1">
      <alignment vertical="center"/>
    </xf>
    <xf numFmtId="0" fontId="33" fillId="27" borderId="10" xfId="0" quotePrefix="1" applyFont="1" applyFill="1" applyBorder="1" applyAlignment="1" applyProtection="1">
      <alignment horizontal="left" vertical="center"/>
      <protection hidden="1"/>
    </xf>
    <xf numFmtId="49" fontId="33" fillId="27" borderId="10" xfId="0" quotePrefix="1" applyNumberFormat="1" applyFont="1" applyFill="1" applyBorder="1" applyAlignment="1" applyProtection="1">
      <alignment horizontal="left" vertical="center"/>
      <protection hidden="1"/>
    </xf>
    <xf numFmtId="0" fontId="122" fillId="31" borderId="10" xfId="0" applyFont="1" applyFill="1" applyBorder="1" applyProtection="1">
      <alignment vertical="center"/>
      <protection hidden="1"/>
    </xf>
    <xf numFmtId="49" fontId="122" fillId="31" borderId="10" xfId="0" applyNumberFormat="1" applyFont="1" applyFill="1" applyBorder="1" applyProtection="1">
      <alignment vertical="center"/>
      <protection hidden="1"/>
    </xf>
    <xf numFmtId="2" fontId="122" fillId="31" borderId="26" xfId="35" applyNumberFormat="1" applyFont="1" applyFill="1" applyBorder="1" applyAlignment="1" applyProtection="1">
      <alignment horizontal="center" vertical="center"/>
      <protection hidden="1"/>
    </xf>
    <xf numFmtId="2" fontId="122" fillId="31" borderId="27" xfId="0" applyNumberFormat="1" applyFont="1" applyFill="1" applyBorder="1" applyAlignment="1" applyProtection="1">
      <alignment horizontal="center"/>
      <protection hidden="1"/>
    </xf>
    <xf numFmtId="2" fontId="122" fillId="31" borderId="10" xfId="0" applyNumberFormat="1" applyFont="1" applyFill="1" applyBorder="1" applyAlignment="1" applyProtection="1">
      <alignment horizontal="center"/>
      <protection hidden="1"/>
    </xf>
    <xf numFmtId="2" fontId="122" fillId="27" borderId="27" xfId="0" applyNumberFormat="1" applyFont="1" applyFill="1" applyBorder="1" applyAlignment="1" applyProtection="1">
      <alignment horizontal="center"/>
      <protection hidden="1"/>
    </xf>
    <xf numFmtId="2" fontId="122" fillId="27" borderId="10" xfId="0" applyNumberFormat="1" applyFont="1" applyFill="1" applyBorder="1" applyAlignment="1" applyProtection="1">
      <alignment horizontal="center"/>
      <protection hidden="1"/>
    </xf>
    <xf numFmtId="2" fontId="33" fillId="27" borderId="27" xfId="0" applyNumberFormat="1" applyFont="1" applyFill="1" applyBorder="1" applyAlignment="1" applyProtection="1">
      <alignment horizontal="center"/>
      <protection hidden="1"/>
    </xf>
    <xf numFmtId="196" fontId="122" fillId="27" borderId="27" xfId="0" applyNumberFormat="1" applyFont="1" applyFill="1" applyBorder="1" applyAlignment="1" applyProtection="1">
      <alignment horizontal="center"/>
      <protection hidden="1"/>
    </xf>
    <xf numFmtId="49" fontId="122" fillId="27" borderId="10" xfId="0" applyNumberFormat="1" applyFont="1" applyFill="1" applyBorder="1" applyProtection="1">
      <alignment vertical="center"/>
      <protection hidden="1"/>
    </xf>
    <xf numFmtId="49" fontId="33" fillId="27" borderId="10" xfId="0" applyNumberFormat="1" applyFont="1" applyFill="1" applyBorder="1" applyProtection="1">
      <alignment vertical="center"/>
      <protection hidden="1"/>
    </xf>
    <xf numFmtId="0" fontId="33" fillId="27" borderId="10" xfId="0" applyFont="1" applyFill="1" applyBorder="1" applyProtection="1">
      <alignment vertical="center"/>
      <protection hidden="1"/>
    </xf>
    <xf numFmtId="0" fontId="33" fillId="27" borderId="50" xfId="0" applyFont="1" applyFill="1" applyBorder="1" applyAlignment="1" applyProtection="1">
      <alignment horizontal="left" vertical="center" shrinkToFit="1"/>
      <protection hidden="1"/>
    </xf>
    <xf numFmtId="0" fontId="0" fillId="0" borderId="0" xfId="0" applyProtection="1">
      <alignment vertical="center"/>
      <protection hidden="1"/>
    </xf>
    <xf numFmtId="0" fontId="143" fillId="0" borderId="0" xfId="46" applyFont="1" applyProtection="1">
      <protection hidden="1"/>
    </xf>
    <xf numFmtId="0" fontId="160" fillId="0" borderId="0" xfId="0" applyFont="1">
      <alignment vertical="center"/>
    </xf>
    <xf numFmtId="0" fontId="160" fillId="0" borderId="0" xfId="0" applyFont="1" applyAlignment="1">
      <alignment horizontal="left" vertical="center" wrapText="1"/>
    </xf>
    <xf numFmtId="0" fontId="160" fillId="0" borderId="0" xfId="0" applyFont="1" applyProtection="1">
      <alignment vertical="center"/>
      <protection hidden="1"/>
    </xf>
    <xf numFmtId="0" fontId="160" fillId="0" borderId="0" xfId="0" applyFont="1" applyAlignment="1">
      <alignment vertical="top"/>
    </xf>
    <xf numFmtId="0" fontId="160" fillId="27" borderId="161" xfId="0" applyFont="1" applyFill="1" applyBorder="1">
      <alignment vertical="center"/>
    </xf>
    <xf numFmtId="0" fontId="160" fillId="27" borderId="161" xfId="0" applyFont="1" applyFill="1" applyBorder="1" applyAlignment="1">
      <alignment vertical="top"/>
    </xf>
    <xf numFmtId="0" fontId="160" fillId="27" borderId="13" xfId="0" applyFont="1" applyFill="1" applyBorder="1">
      <alignment vertical="center"/>
    </xf>
    <xf numFmtId="0" fontId="160" fillId="27" borderId="13" xfId="0" applyFont="1" applyFill="1" applyBorder="1" applyAlignment="1">
      <alignment vertical="top"/>
    </xf>
    <xf numFmtId="0" fontId="160" fillId="27" borderId="167" xfId="0" applyFont="1" applyFill="1" applyBorder="1">
      <alignment vertical="center"/>
    </xf>
    <xf numFmtId="0" fontId="160" fillId="27" borderId="167" xfId="0" applyFont="1" applyFill="1" applyBorder="1" applyAlignment="1">
      <alignment vertical="top"/>
    </xf>
    <xf numFmtId="0" fontId="45" fillId="0" borderId="0" xfId="0" applyFont="1" applyAlignment="1" applyProtection="1">
      <alignment horizontal="right" vertical="center"/>
      <protection hidden="1"/>
    </xf>
    <xf numFmtId="0" fontId="160" fillId="27" borderId="13" xfId="0" applyFont="1" applyFill="1" applyBorder="1" applyAlignment="1">
      <alignment horizontal="left" vertical="center"/>
    </xf>
    <xf numFmtId="0" fontId="160" fillId="27" borderId="167" xfId="0" applyFont="1" applyFill="1" applyBorder="1" applyAlignment="1">
      <alignment horizontal="left" vertical="center"/>
    </xf>
    <xf numFmtId="0" fontId="160" fillId="0" borderId="57" xfId="0" applyFont="1" applyBorder="1" applyAlignment="1">
      <alignment horizontal="left" vertical="center" wrapText="1"/>
    </xf>
    <xf numFmtId="0" fontId="160" fillId="27" borderId="16" xfId="0" applyFont="1" applyFill="1" applyBorder="1" applyAlignment="1">
      <alignment horizontal="center" vertical="center" wrapText="1"/>
    </xf>
    <xf numFmtId="0" fontId="160" fillId="27" borderId="11" xfId="0" applyFont="1" applyFill="1" applyBorder="1" applyAlignment="1">
      <alignment horizontal="center" vertical="center" wrapText="1"/>
    </xf>
    <xf numFmtId="0" fontId="160" fillId="27" borderId="164" xfId="0" applyFont="1" applyFill="1" applyBorder="1" applyAlignment="1">
      <alignment horizontal="center" vertical="center" wrapText="1"/>
    </xf>
    <xf numFmtId="193" fontId="26" fillId="44" borderId="144" xfId="0" applyNumberFormat="1" applyFont="1" applyFill="1" applyBorder="1" applyAlignment="1" applyProtection="1">
      <alignment horizontal="center" vertical="center"/>
      <protection hidden="1"/>
    </xf>
    <xf numFmtId="38" fontId="161" fillId="27" borderId="10" xfId="35" applyFont="1" applyFill="1" applyBorder="1" applyAlignment="1" applyProtection="1">
      <alignment horizontal="center" vertical="center"/>
      <protection hidden="1"/>
    </xf>
    <xf numFmtId="2" fontId="161" fillId="27" borderId="27" xfId="35" applyNumberFormat="1" applyFont="1" applyFill="1" applyBorder="1" applyAlignment="1" applyProtection="1">
      <alignment horizontal="center" vertical="center"/>
      <protection hidden="1"/>
    </xf>
    <xf numFmtId="2" fontId="161" fillId="27" borderId="10" xfId="35" applyNumberFormat="1" applyFont="1" applyFill="1" applyBorder="1" applyAlignment="1" applyProtection="1">
      <alignment horizontal="center" vertical="center"/>
      <protection hidden="1"/>
    </xf>
    <xf numFmtId="0" fontId="42" fillId="27" borderId="73" xfId="0" applyFont="1" applyFill="1" applyBorder="1" applyAlignment="1"/>
    <xf numFmtId="0" fontId="33" fillId="27" borderId="73" xfId="0" applyFont="1" applyFill="1" applyBorder="1">
      <alignment vertical="center"/>
    </xf>
    <xf numFmtId="0" fontId="0" fillId="27" borderId="73" xfId="0" applyFill="1" applyBorder="1">
      <alignment vertical="center"/>
    </xf>
    <xf numFmtId="0" fontId="33" fillId="27" borderId="73" xfId="0" applyFont="1" applyFill="1" applyBorder="1" applyAlignment="1">
      <alignment horizontal="right" vertical="center"/>
    </xf>
    <xf numFmtId="0" fontId="7" fillId="27" borderId="73" xfId="0" applyFont="1" applyFill="1" applyBorder="1" applyAlignment="1">
      <alignment horizontal="right"/>
    </xf>
    <xf numFmtId="0" fontId="7" fillId="27" borderId="73" xfId="0" applyFont="1" applyFill="1" applyBorder="1" applyAlignment="1"/>
    <xf numFmtId="0" fontId="0" fillId="27" borderId="61" xfId="0" applyFill="1" applyBorder="1">
      <alignment vertical="center"/>
    </xf>
    <xf numFmtId="0" fontId="122" fillId="27" borderId="0" xfId="0" applyFont="1" applyFill="1">
      <alignment vertical="center"/>
    </xf>
    <xf numFmtId="38" fontId="33" fillId="41" borderId="144" xfId="35" applyFont="1" applyFill="1" applyBorder="1" applyAlignment="1" applyProtection="1">
      <alignment horizontal="center" vertical="center"/>
      <protection locked="0"/>
    </xf>
    <xf numFmtId="0" fontId="33" fillId="27" borderId="63" xfId="0" applyFont="1" applyFill="1" applyBorder="1" applyAlignment="1">
      <alignment horizontal="right" vertical="center"/>
    </xf>
    <xf numFmtId="0" fontId="33" fillId="27" borderId="62" xfId="0" applyFont="1" applyFill="1" applyBorder="1">
      <alignment vertical="center"/>
    </xf>
    <xf numFmtId="0" fontId="33" fillId="27" borderId="0" xfId="44" applyFont="1" applyFill="1" applyAlignment="1">
      <alignment horizontal="right"/>
    </xf>
    <xf numFmtId="0" fontId="33" fillId="27" borderId="0" xfId="44" applyFont="1" applyFill="1"/>
    <xf numFmtId="0" fontId="33" fillId="27" borderId="62" xfId="44" applyFont="1" applyFill="1" applyBorder="1" applyAlignment="1">
      <alignment vertical="center"/>
    </xf>
    <xf numFmtId="0" fontId="33" fillId="27" borderId="0" xfId="0" applyFont="1" applyFill="1" applyAlignment="1">
      <alignment horizontal="right" vertical="center"/>
    </xf>
    <xf numFmtId="0" fontId="33" fillId="27" borderId="0" xfId="0" applyFont="1" applyFill="1" applyAlignment="1">
      <alignment horizontal="left" vertical="center"/>
    </xf>
    <xf numFmtId="178" fontId="33" fillId="27" borderId="10" xfId="28" applyNumberFormat="1" applyFont="1" applyFill="1" applyBorder="1" applyProtection="1">
      <alignment vertical="center"/>
    </xf>
    <xf numFmtId="40" fontId="33" fillId="27" borderId="10" xfId="0" applyNumberFormat="1" applyFont="1" applyFill="1" applyBorder="1">
      <alignment vertical="center"/>
    </xf>
    <xf numFmtId="178" fontId="33" fillId="27" borderId="0" xfId="0" applyNumberFormat="1" applyFont="1" applyFill="1" applyAlignment="1">
      <alignment horizontal="left" vertical="center"/>
    </xf>
    <xf numFmtId="38" fontId="33" fillId="27" borderId="10" xfId="35" applyFont="1" applyFill="1" applyBorder="1" applyProtection="1">
      <alignment vertical="center"/>
    </xf>
    <xf numFmtId="40" fontId="33" fillId="27" borderId="62" xfId="0" applyNumberFormat="1" applyFont="1" applyFill="1" applyBorder="1">
      <alignment vertical="center"/>
    </xf>
    <xf numFmtId="199" fontId="33" fillId="27" borderId="0" xfId="0" applyNumberFormat="1" applyFont="1" applyFill="1">
      <alignment vertical="center"/>
    </xf>
    <xf numFmtId="40" fontId="33" fillId="27" borderId="0" xfId="0" applyNumberFormat="1" applyFont="1" applyFill="1">
      <alignment vertical="center"/>
    </xf>
    <xf numFmtId="178" fontId="33" fillId="27" borderId="63" xfId="0" applyNumberFormat="1" applyFont="1" applyFill="1" applyBorder="1" applyAlignment="1">
      <alignment horizontal="right" vertical="center"/>
    </xf>
    <xf numFmtId="177" fontId="33" fillId="27" borderId="10" xfId="44" applyNumberFormat="1" applyFont="1" applyFill="1" applyBorder="1" applyAlignment="1">
      <alignment horizontal="center" vertical="center"/>
    </xf>
    <xf numFmtId="187" fontId="33" fillId="27" borderId="10" xfId="28" applyNumberFormat="1" applyFont="1" applyFill="1" applyBorder="1" applyAlignment="1" applyProtection="1">
      <alignment horizontal="center" vertical="center"/>
    </xf>
    <xf numFmtId="0" fontId="39" fillId="27" borderId="0" xfId="44" applyFont="1" applyFill="1" applyAlignment="1">
      <alignment horizontal="left" vertical="center"/>
    </xf>
    <xf numFmtId="0" fontId="28" fillId="27" borderId="160" xfId="0" applyFont="1" applyFill="1" applyBorder="1" applyProtection="1">
      <alignment vertical="center"/>
      <protection hidden="1"/>
    </xf>
    <xf numFmtId="179" fontId="28" fillId="31" borderId="53" xfId="0" applyNumberFormat="1" applyFont="1" applyFill="1" applyBorder="1" applyAlignment="1" applyProtection="1">
      <alignment horizontal="left" vertical="center"/>
      <protection hidden="1"/>
    </xf>
    <xf numFmtId="0" fontId="26" fillId="27" borderId="184" xfId="0" applyFont="1" applyFill="1" applyBorder="1" applyAlignment="1" applyProtection="1">
      <alignment horizontal="center" vertical="center"/>
      <protection locked="0" hidden="1"/>
    </xf>
    <xf numFmtId="0" fontId="26" fillId="27" borderId="26" xfId="0" applyFont="1" applyFill="1" applyBorder="1" applyAlignment="1" applyProtection="1">
      <alignment horizontal="centerContinuous" vertical="center"/>
      <protection hidden="1"/>
    </xf>
    <xf numFmtId="0" fontId="28" fillId="27" borderId="55" xfId="0" applyFont="1" applyFill="1" applyBorder="1" applyAlignment="1" applyProtection="1">
      <alignment horizontal="centerContinuous" vertical="center"/>
      <protection hidden="1"/>
    </xf>
    <xf numFmtId="0" fontId="28" fillId="27" borderId="193" xfId="0" applyFont="1" applyFill="1" applyBorder="1" applyAlignment="1" applyProtection="1">
      <alignment horizontal="left" vertical="center"/>
      <protection hidden="1"/>
    </xf>
    <xf numFmtId="0" fontId="160" fillId="27" borderId="177" xfId="0" applyFont="1" applyFill="1" applyBorder="1">
      <alignment vertical="center"/>
    </xf>
    <xf numFmtId="0" fontId="160" fillId="27" borderId="177" xfId="0" applyFont="1" applyFill="1" applyBorder="1" applyAlignment="1">
      <alignment vertical="top"/>
    </xf>
    <xf numFmtId="0" fontId="162" fillId="27" borderId="0" xfId="0" applyFont="1" applyFill="1">
      <alignment vertical="center"/>
    </xf>
    <xf numFmtId="177" fontId="28" fillId="27" borderId="161" xfId="0" applyNumberFormat="1" applyFont="1" applyFill="1" applyBorder="1" applyAlignment="1" applyProtection="1">
      <alignment vertical="center" wrapText="1"/>
      <protection hidden="1"/>
    </xf>
    <xf numFmtId="190" fontId="28" fillId="31" borderId="27" xfId="0" applyNumberFormat="1" applyFont="1" applyFill="1" applyBorder="1" applyAlignment="1" applyProtection="1">
      <alignment horizontal="center" vertical="center"/>
      <protection hidden="1"/>
    </xf>
    <xf numFmtId="0" fontId="42" fillId="29" borderId="0" xfId="0" applyFont="1" applyFill="1" applyProtection="1">
      <alignment vertical="center"/>
      <protection hidden="1"/>
    </xf>
    <xf numFmtId="0" fontId="42" fillId="29" borderId="0" xfId="0" applyFont="1" applyFill="1" applyAlignment="1" applyProtection="1">
      <alignment horizontal="left" vertical="center"/>
      <protection hidden="1"/>
    </xf>
    <xf numFmtId="0" fontId="147" fillId="29" borderId="0" xfId="0" applyFont="1" applyFill="1">
      <alignment vertical="center"/>
    </xf>
    <xf numFmtId="0" fontId="28" fillId="27" borderId="187" xfId="0" applyFont="1" applyFill="1" applyBorder="1" applyAlignment="1" applyProtection="1">
      <alignment horizontal="left" vertical="center"/>
      <protection hidden="1"/>
    </xf>
    <xf numFmtId="0" fontId="147" fillId="29" borderId="0" xfId="0" applyFont="1" applyFill="1" applyAlignment="1" applyProtection="1">
      <alignment horizontal="left" vertical="center"/>
      <protection hidden="1"/>
    </xf>
    <xf numFmtId="0" fontId="26" fillId="29" borderId="0" xfId="0" applyFont="1" applyFill="1">
      <alignment vertical="center"/>
    </xf>
    <xf numFmtId="0" fontId="28" fillId="29" borderId="0" xfId="0" applyFont="1" applyFill="1">
      <alignment vertical="center"/>
    </xf>
    <xf numFmtId="0" fontId="37" fillId="29" borderId="0" xfId="0" applyFont="1" applyFill="1" applyAlignment="1" applyProtection="1">
      <alignment horizontal="justify"/>
      <protection hidden="1"/>
    </xf>
    <xf numFmtId="204" fontId="122" fillId="27" borderId="10" xfId="35" applyNumberFormat="1" applyFont="1" applyFill="1" applyBorder="1" applyAlignment="1" applyProtection="1">
      <alignment horizontal="center" vertical="center"/>
      <protection hidden="1"/>
    </xf>
    <xf numFmtId="2" fontId="33" fillId="47" borderId="10" xfId="35" applyNumberFormat="1" applyFont="1" applyFill="1" applyBorder="1" applyAlignment="1" applyProtection="1">
      <alignment horizontal="center" vertical="center"/>
      <protection hidden="1"/>
    </xf>
    <xf numFmtId="0" fontId="28" fillId="31" borderId="89" xfId="0" applyFont="1" applyFill="1" applyBorder="1" applyAlignment="1" applyProtection="1">
      <alignment horizontal="centerContinuous" vertical="center"/>
      <protection hidden="1"/>
    </xf>
    <xf numFmtId="178" fontId="33" fillId="27" borderId="10" xfId="44" applyNumberFormat="1" applyFont="1" applyFill="1" applyBorder="1" applyAlignment="1">
      <alignment horizontal="right" vertical="center"/>
    </xf>
    <xf numFmtId="0" fontId="122" fillId="27" borderId="0" xfId="0" applyFont="1" applyFill="1" applyAlignment="1">
      <alignment horizontal="center" vertical="center"/>
    </xf>
    <xf numFmtId="179" fontId="28" fillId="31" borderId="10" xfId="0" applyNumberFormat="1" applyFont="1" applyFill="1" applyBorder="1" applyAlignment="1" applyProtection="1">
      <alignment horizontal="center" vertical="center"/>
      <protection hidden="1"/>
    </xf>
    <xf numFmtId="199" fontId="33" fillId="0" borderId="26" xfId="44" applyNumberFormat="1" applyFont="1" applyBorder="1"/>
    <xf numFmtId="0" fontId="28" fillId="0" borderId="64" xfId="44" applyFont="1" applyBorder="1"/>
    <xf numFmtId="0" fontId="0" fillId="0" borderId="52" xfId="0" applyBorder="1" applyAlignment="1">
      <alignment vertical="top"/>
    </xf>
    <xf numFmtId="0" fontId="0" fillId="0" borderId="57" xfId="0" applyBorder="1" applyAlignment="1">
      <alignment vertical="top"/>
    </xf>
    <xf numFmtId="0" fontId="0" fillId="0" borderId="51" xfId="0" applyBorder="1" applyAlignment="1">
      <alignment vertical="top"/>
    </xf>
    <xf numFmtId="0" fontId="0" fillId="0" borderId="26" xfId="0" applyBorder="1" applyAlignment="1">
      <alignment vertical="top"/>
    </xf>
    <xf numFmtId="0" fontId="0" fillId="0" borderId="55" xfId="0" applyBorder="1" applyAlignment="1">
      <alignment vertical="top"/>
    </xf>
    <xf numFmtId="0" fontId="0" fillId="0" borderId="50" xfId="0" applyBorder="1" applyAlignment="1">
      <alignment vertical="top"/>
    </xf>
    <xf numFmtId="0" fontId="0" fillId="0" borderId="15" xfId="0" applyBorder="1" applyAlignment="1">
      <alignment vertical="top"/>
    </xf>
    <xf numFmtId="0" fontId="0" fillId="0" borderId="56" xfId="0" applyBorder="1" applyAlignment="1">
      <alignment vertical="top"/>
    </xf>
    <xf numFmtId="0" fontId="0" fillId="0" borderId="55" xfId="0" applyBorder="1">
      <alignment vertical="center"/>
    </xf>
    <xf numFmtId="0" fontId="33" fillId="0" borderId="0" xfId="44" applyFont="1" applyAlignment="1">
      <alignment horizontal="right"/>
    </xf>
    <xf numFmtId="0" fontId="0" fillId="0" borderId="64" xfId="0" applyBorder="1" applyAlignment="1">
      <alignment vertical="top"/>
    </xf>
    <xf numFmtId="179" fontId="0" fillId="0" borderId="10" xfId="0" applyNumberFormat="1" applyBorder="1" applyAlignment="1">
      <alignment vertical="top"/>
    </xf>
    <xf numFmtId="0" fontId="33" fillId="0" borderId="52" xfId="0" applyFont="1" applyBorder="1" applyAlignment="1">
      <alignment vertical="top"/>
    </xf>
    <xf numFmtId="0" fontId="33" fillId="0" borderId="53" xfId="0" applyFont="1" applyBorder="1" applyAlignment="1">
      <alignment vertical="top"/>
    </xf>
    <xf numFmtId="0" fontId="33" fillId="0" borderId="54" xfId="0" applyFont="1" applyBorder="1" applyAlignment="1">
      <alignment vertical="top"/>
    </xf>
    <xf numFmtId="0" fontId="33" fillId="0" borderId="10" xfId="0" applyFont="1" applyBorder="1">
      <alignment vertical="center"/>
    </xf>
    <xf numFmtId="0" fontId="33" fillId="0" borderId="26" xfId="0" applyFont="1" applyBorder="1" applyAlignment="1">
      <alignment vertical="top" wrapText="1"/>
    </xf>
    <xf numFmtId="0" fontId="33" fillId="0" borderId="50" xfId="0" applyFont="1" applyBorder="1" applyAlignment="1">
      <alignment vertical="top" wrapText="1"/>
    </xf>
    <xf numFmtId="0" fontId="33" fillId="0" borderId="27" xfId="0" applyFont="1" applyBorder="1" applyAlignment="1">
      <alignment vertical="top" wrapText="1"/>
    </xf>
    <xf numFmtId="0" fontId="33" fillId="0" borderId="26" xfId="0" applyFont="1" applyBorder="1" applyAlignment="1">
      <alignment vertical="top"/>
    </xf>
    <xf numFmtId="0" fontId="33" fillId="0" borderId="50" xfId="0" applyFont="1" applyBorder="1" applyAlignment="1">
      <alignment vertical="top"/>
    </xf>
    <xf numFmtId="0" fontId="33" fillId="0" borderId="27" xfId="0" applyFont="1" applyBorder="1">
      <alignment vertical="center"/>
    </xf>
    <xf numFmtId="0" fontId="33" fillId="0" borderId="51" xfId="0" applyFont="1" applyBorder="1">
      <alignment vertical="center"/>
    </xf>
    <xf numFmtId="0" fontId="33" fillId="0" borderId="64" xfId="0" applyFont="1" applyBorder="1" applyAlignment="1">
      <alignment vertical="top"/>
    </xf>
    <xf numFmtId="0" fontId="33" fillId="0" borderId="0" xfId="0" applyFont="1" applyAlignment="1">
      <alignment vertical="top"/>
    </xf>
    <xf numFmtId="0" fontId="33" fillId="0" borderId="17" xfId="0" applyFont="1" applyBorder="1" applyAlignment="1">
      <alignment vertical="top"/>
    </xf>
    <xf numFmtId="199" fontId="33" fillId="0" borderId="26" xfId="0" applyNumberFormat="1" applyFont="1" applyBorder="1" applyAlignment="1">
      <alignment vertical="top"/>
    </xf>
    <xf numFmtId="199" fontId="33" fillId="0" borderId="50" xfId="0" applyNumberFormat="1" applyFont="1" applyBorder="1" applyAlignment="1">
      <alignment vertical="top"/>
    </xf>
    <xf numFmtId="199" fontId="33" fillId="0" borderId="27" xfId="0" applyNumberFormat="1" applyFont="1" applyBorder="1">
      <alignment vertical="center"/>
    </xf>
    <xf numFmtId="0" fontId="33" fillId="0" borderId="15" xfId="0" applyFont="1" applyBorder="1">
      <alignment vertical="center"/>
    </xf>
    <xf numFmtId="0" fontId="33" fillId="0" borderId="56" xfId="0" applyFont="1" applyBorder="1" applyAlignment="1">
      <alignment vertical="top"/>
    </xf>
    <xf numFmtId="0" fontId="33" fillId="0" borderId="57" xfId="0" applyFont="1" applyBorder="1" applyAlignment="1">
      <alignment vertical="top"/>
    </xf>
    <xf numFmtId="0" fontId="33" fillId="0" borderId="58" xfId="0" applyFont="1" applyBorder="1" applyAlignment="1">
      <alignment vertical="top"/>
    </xf>
    <xf numFmtId="0" fontId="33" fillId="0" borderId="10" xfId="0" applyFont="1" applyBorder="1" applyAlignment="1">
      <alignment vertical="top"/>
    </xf>
    <xf numFmtId="0" fontId="33" fillId="0" borderId="10" xfId="0" applyFont="1" applyBorder="1" applyAlignment="1">
      <alignment vertical="top" wrapText="1"/>
    </xf>
    <xf numFmtId="0" fontId="33" fillId="0" borderId="51" xfId="0" applyFont="1" applyBorder="1" applyAlignment="1">
      <alignment vertical="top"/>
    </xf>
    <xf numFmtId="0" fontId="33" fillId="0" borderId="27" xfId="0" applyFont="1" applyBorder="1" applyAlignment="1">
      <alignment vertical="top"/>
    </xf>
    <xf numFmtId="38" fontId="33" fillId="0" borderId="10" xfId="35" applyFont="1" applyBorder="1" applyAlignment="1">
      <alignment vertical="top"/>
    </xf>
    <xf numFmtId="9" fontId="33" fillId="0" borderId="10" xfId="0" applyNumberFormat="1" applyFont="1" applyBorder="1" applyAlignment="1">
      <alignment vertical="top"/>
    </xf>
    <xf numFmtId="0" fontId="33" fillId="0" borderId="10" xfId="0" applyFont="1" applyBorder="1" applyAlignment="1">
      <alignment horizontal="center"/>
    </xf>
    <xf numFmtId="199" fontId="33" fillId="0" borderId="10" xfId="0" applyNumberFormat="1" applyFont="1" applyBorder="1">
      <alignment vertical="center"/>
    </xf>
    <xf numFmtId="0" fontId="33" fillId="0" borderId="55" xfId="0" applyFont="1" applyBorder="1" applyAlignment="1">
      <alignment vertical="top"/>
    </xf>
    <xf numFmtId="0" fontId="33" fillId="0" borderId="15" xfId="0" applyFont="1" applyBorder="1" applyAlignment="1">
      <alignment vertical="top"/>
    </xf>
    <xf numFmtId="0" fontId="33" fillId="26" borderId="0" xfId="0" applyFont="1" applyFill="1">
      <alignment vertical="center"/>
    </xf>
    <xf numFmtId="0" fontId="33" fillId="0" borderId="55" xfId="0" applyFont="1" applyBorder="1">
      <alignment vertical="center"/>
    </xf>
    <xf numFmtId="0" fontId="33" fillId="0" borderId="26" xfId="0" applyFont="1" applyBorder="1">
      <alignment vertical="center"/>
    </xf>
    <xf numFmtId="0" fontId="33" fillId="0" borderId="50" xfId="0" applyFont="1" applyBorder="1">
      <alignment vertical="center"/>
    </xf>
    <xf numFmtId="38" fontId="33" fillId="0" borderId="10" xfId="35" applyFont="1" applyBorder="1">
      <alignment vertical="center"/>
    </xf>
    <xf numFmtId="38" fontId="33" fillId="0" borderId="0" xfId="0" applyNumberFormat="1" applyFont="1">
      <alignment vertical="center"/>
    </xf>
    <xf numFmtId="0" fontId="33" fillId="27" borderId="63" xfId="44" applyFont="1" applyFill="1" applyBorder="1" applyAlignment="1">
      <alignment horizontal="left"/>
    </xf>
    <xf numFmtId="198" fontId="33" fillId="27" borderId="10" xfId="35" applyNumberFormat="1" applyFont="1" applyFill="1" applyBorder="1" applyAlignment="1" applyProtection="1"/>
    <xf numFmtId="40" fontId="33" fillId="27" borderId="10" xfId="35" applyNumberFormat="1" applyFont="1" applyFill="1" applyBorder="1" applyAlignment="1" applyProtection="1">
      <alignment horizontal="right" vertical="center"/>
    </xf>
    <xf numFmtId="0" fontId="7" fillId="0" borderId="0" xfId="0" applyFont="1" applyAlignment="1">
      <alignment vertical="top"/>
    </xf>
    <xf numFmtId="40" fontId="33" fillId="27" borderId="0" xfId="35" applyNumberFormat="1" applyFont="1" applyFill="1" applyBorder="1" applyAlignment="1" applyProtection="1">
      <alignment horizontal="right" vertical="center"/>
    </xf>
    <xf numFmtId="40" fontId="33" fillId="27" borderId="63" xfId="35" applyNumberFormat="1" applyFont="1" applyFill="1" applyBorder="1" applyAlignment="1" applyProtection="1">
      <alignment horizontal="right" vertical="center"/>
    </xf>
    <xf numFmtId="0" fontId="33" fillId="0" borderId="50" xfId="0" applyFont="1" applyBorder="1" applyAlignment="1">
      <alignment horizontal="center" vertical="center"/>
    </xf>
    <xf numFmtId="0" fontId="33" fillId="27" borderId="63" xfId="0" applyFont="1" applyFill="1" applyBorder="1">
      <alignment vertical="center"/>
    </xf>
    <xf numFmtId="0" fontId="122" fillId="27" borderId="0" xfId="44" quotePrefix="1" applyFont="1" applyFill="1" applyAlignment="1">
      <alignment vertical="center"/>
    </xf>
    <xf numFmtId="178" fontId="33" fillId="27" borderId="10" xfId="0" applyNumberFormat="1" applyFont="1" applyFill="1" applyBorder="1">
      <alignment vertical="center"/>
    </xf>
    <xf numFmtId="178" fontId="33" fillId="27" borderId="0" xfId="0" applyNumberFormat="1" applyFont="1" applyFill="1">
      <alignment vertical="center"/>
    </xf>
    <xf numFmtId="0" fontId="33" fillId="27" borderId="65" xfId="0" applyFont="1" applyFill="1" applyBorder="1">
      <alignment vertical="center"/>
    </xf>
    <xf numFmtId="0" fontId="33" fillId="27" borderId="66" xfId="0" applyFont="1" applyFill="1" applyBorder="1">
      <alignment vertical="center"/>
    </xf>
    <xf numFmtId="0" fontId="33" fillId="27" borderId="67" xfId="0" applyFont="1" applyFill="1" applyBorder="1">
      <alignment vertical="center"/>
    </xf>
    <xf numFmtId="0" fontId="33" fillId="27" borderId="59" xfId="0" applyFont="1" applyFill="1" applyBorder="1">
      <alignment vertical="center"/>
    </xf>
    <xf numFmtId="0" fontId="122" fillId="27" borderId="60" xfId="44" applyFont="1" applyFill="1" applyBorder="1" applyAlignment="1">
      <alignment vertical="center"/>
    </xf>
    <xf numFmtId="0" fontId="33" fillId="27" borderId="60" xfId="0" applyFont="1" applyFill="1" applyBorder="1">
      <alignment vertical="center"/>
    </xf>
    <xf numFmtId="0" fontId="33" fillId="27" borderId="60" xfId="44" applyFont="1" applyFill="1" applyBorder="1" applyAlignment="1">
      <alignment horizontal="right"/>
    </xf>
    <xf numFmtId="0" fontId="33" fillId="27" borderId="60" xfId="44" applyFont="1" applyFill="1" applyBorder="1"/>
    <xf numFmtId="0" fontId="33" fillId="27" borderId="61" xfId="44" applyFont="1" applyFill="1" applyBorder="1" applyAlignment="1">
      <alignment horizontal="right"/>
    </xf>
    <xf numFmtId="0" fontId="122" fillId="27" borderId="0" xfId="0" applyFont="1" applyFill="1" applyAlignment="1">
      <alignment horizontal="right" vertical="center"/>
    </xf>
    <xf numFmtId="38" fontId="33" fillId="27" borderId="0" xfId="0" applyNumberFormat="1" applyFont="1" applyFill="1">
      <alignment vertical="center"/>
    </xf>
    <xf numFmtId="0" fontId="33" fillId="0" borderId="54" xfId="0" applyFont="1" applyBorder="1">
      <alignment vertical="center"/>
    </xf>
    <xf numFmtId="0" fontId="33" fillId="0" borderId="0" xfId="0" applyFont="1" applyAlignment="1">
      <alignment horizontal="right" vertical="center"/>
    </xf>
    <xf numFmtId="177" fontId="33" fillId="27" borderId="10" xfId="28" applyNumberFormat="1" applyFont="1" applyFill="1" applyBorder="1" applyAlignment="1" applyProtection="1">
      <alignment horizontal="center" vertical="center"/>
    </xf>
    <xf numFmtId="179" fontId="33" fillId="27" borderId="16" xfId="0" quotePrefix="1" applyNumberFormat="1" applyFont="1" applyFill="1" applyBorder="1" applyAlignment="1">
      <alignment horizontal="center" vertical="center"/>
    </xf>
    <xf numFmtId="179" fontId="33" fillId="27" borderId="16" xfId="0" applyNumberFormat="1" applyFont="1" applyFill="1" applyBorder="1" applyAlignment="1">
      <alignment horizontal="center" vertical="center"/>
    </xf>
    <xf numFmtId="9" fontId="0" fillId="0" borderId="0" xfId="0" applyNumberFormat="1">
      <alignment vertical="center"/>
    </xf>
    <xf numFmtId="38" fontId="0" fillId="0" borderId="0" xfId="35" applyFont="1">
      <alignment vertical="center"/>
    </xf>
    <xf numFmtId="0" fontId="0" fillId="26" borderId="0" xfId="0" applyFill="1">
      <alignment vertical="center"/>
    </xf>
    <xf numFmtId="0" fontId="7" fillId="27" borderId="13" xfId="0" applyFont="1" applyFill="1" applyBorder="1" applyAlignment="1">
      <alignment horizontal="left" vertical="center"/>
    </xf>
    <xf numFmtId="0" fontId="7" fillId="27" borderId="167" xfId="0" applyFont="1" applyFill="1" applyBorder="1" applyAlignment="1">
      <alignment horizontal="left" vertical="center"/>
    </xf>
    <xf numFmtId="0" fontId="27" fillId="49" borderId="0" xfId="0" applyFont="1" applyFill="1" applyAlignment="1">
      <alignment horizontal="left" vertical="center"/>
    </xf>
    <xf numFmtId="177" fontId="29" fillId="0" borderId="144" xfId="0" applyNumberFormat="1" applyFont="1" applyBorder="1" applyAlignment="1" applyProtection="1">
      <alignment horizontal="center" vertical="center"/>
      <protection hidden="1"/>
    </xf>
    <xf numFmtId="0" fontId="122" fillId="0" borderId="0" xfId="0" applyFont="1">
      <alignment vertical="center"/>
    </xf>
    <xf numFmtId="0" fontId="33" fillId="0" borderId="52" xfId="0" applyFont="1" applyBorder="1">
      <alignment vertical="center"/>
    </xf>
    <xf numFmtId="0" fontId="33" fillId="0" borderId="64" xfId="0" applyFont="1" applyBorder="1">
      <alignment vertical="center"/>
    </xf>
    <xf numFmtId="0" fontId="33" fillId="0" borderId="56" xfId="0" applyFont="1" applyBorder="1">
      <alignment vertical="center"/>
    </xf>
    <xf numFmtId="0" fontId="33" fillId="0" borderId="17" xfId="0" applyFont="1" applyBorder="1">
      <alignment vertical="center"/>
    </xf>
    <xf numFmtId="38" fontId="33" fillId="0" borderId="10" xfId="35" applyFont="1" applyBorder="1" applyAlignment="1">
      <alignment horizontal="center"/>
    </xf>
    <xf numFmtId="0" fontId="0" fillId="50" borderId="0" xfId="0" applyFill="1">
      <alignment vertical="center"/>
    </xf>
    <xf numFmtId="0" fontId="0" fillId="50" borderId="57" xfId="0" quotePrefix="1" applyFill="1" applyBorder="1">
      <alignment vertical="center"/>
    </xf>
    <xf numFmtId="0" fontId="33" fillId="50" borderId="10" xfId="0" applyFont="1" applyFill="1" applyBorder="1">
      <alignment vertical="center"/>
    </xf>
    <xf numFmtId="205" fontId="33" fillId="50" borderId="10" xfId="0" applyNumberFormat="1" applyFont="1" applyFill="1" applyBorder="1">
      <alignment vertical="center"/>
    </xf>
    <xf numFmtId="205" fontId="33" fillId="50" borderId="10" xfId="35" applyNumberFormat="1" applyFont="1" applyFill="1" applyBorder="1">
      <alignment vertical="center"/>
    </xf>
    <xf numFmtId="0" fontId="33" fillId="50" borderId="0" xfId="0" applyFont="1" applyFill="1">
      <alignment vertical="center"/>
    </xf>
    <xf numFmtId="38" fontId="33" fillId="50" borderId="10" xfId="35" applyFont="1" applyFill="1" applyBorder="1">
      <alignment vertical="center"/>
    </xf>
    <xf numFmtId="0" fontId="28" fillId="0" borderId="0" xfId="0" applyFont="1" applyAlignment="1">
      <alignment horizontal="left" vertical="center"/>
    </xf>
    <xf numFmtId="179" fontId="28" fillId="31" borderId="26" xfId="0" applyNumberFormat="1" applyFont="1" applyFill="1" applyBorder="1" applyProtection="1">
      <alignment vertical="center"/>
      <protection hidden="1"/>
    </xf>
    <xf numFmtId="0" fontId="28" fillId="31" borderId="151" xfId="0" applyFont="1" applyFill="1" applyBorder="1" applyAlignment="1" applyProtection="1">
      <alignment horizontal="left" vertical="center"/>
      <protection hidden="1"/>
    </xf>
    <xf numFmtId="0" fontId="160" fillId="27" borderId="0" xfId="0" applyFont="1" applyFill="1" applyAlignment="1">
      <alignment horizontal="left" vertical="center"/>
    </xf>
    <xf numFmtId="0" fontId="28" fillId="27" borderId="52" xfId="0" applyFont="1" applyFill="1" applyBorder="1" applyAlignment="1" applyProtection="1">
      <alignment horizontal="left" vertical="center"/>
      <protection hidden="1"/>
    </xf>
    <xf numFmtId="0" fontId="160" fillId="27" borderId="57" xfId="0" applyFont="1" applyFill="1" applyBorder="1" applyAlignment="1">
      <alignment horizontal="left" vertical="center"/>
    </xf>
    <xf numFmtId="0" fontId="28" fillId="31" borderId="53" xfId="0" applyFont="1" applyFill="1" applyBorder="1" applyAlignment="1" applyProtection="1">
      <alignment horizontal="centerContinuous" vertical="top"/>
      <protection hidden="1"/>
    </xf>
    <xf numFmtId="176" fontId="28" fillId="27" borderId="64" xfId="0" applyNumberFormat="1" applyFont="1" applyFill="1" applyBorder="1" applyAlignment="1" applyProtection="1">
      <alignment horizontal="left" vertical="center"/>
      <protection hidden="1"/>
    </xf>
    <xf numFmtId="0" fontId="160" fillId="27" borderId="17" xfId="0" applyFont="1" applyFill="1" applyBorder="1" applyAlignment="1">
      <alignment horizontal="left" vertical="center"/>
    </xf>
    <xf numFmtId="176" fontId="28" fillId="27" borderId="56" xfId="0" applyNumberFormat="1" applyFont="1" applyFill="1" applyBorder="1" applyAlignment="1" applyProtection="1">
      <alignment horizontal="left" vertical="center"/>
      <protection hidden="1"/>
    </xf>
    <xf numFmtId="0" fontId="160" fillId="27" borderId="58" xfId="0" applyFont="1" applyFill="1" applyBorder="1" applyAlignment="1">
      <alignment horizontal="left" vertical="center"/>
    </xf>
    <xf numFmtId="2" fontId="33" fillId="0" borderId="0" xfId="0" applyNumberFormat="1" applyFont="1" applyAlignment="1" applyProtection="1">
      <alignment horizontal="center"/>
      <protection hidden="1"/>
    </xf>
    <xf numFmtId="2" fontId="33" fillId="0" borderId="0" xfId="0" applyNumberFormat="1" applyFont="1" applyAlignment="1" applyProtection="1">
      <alignment horizontal="center" vertical="top" shrinkToFit="1"/>
      <protection hidden="1"/>
    </xf>
    <xf numFmtId="40" fontId="33" fillId="0" borderId="0" xfId="35" applyNumberFormat="1" applyFont="1" applyFill="1" applyBorder="1" applyAlignment="1" applyProtection="1">
      <alignment horizontal="center" vertical="top"/>
      <protection hidden="1"/>
    </xf>
    <xf numFmtId="2" fontId="122" fillId="0" borderId="0" xfId="0" applyNumberFormat="1" applyFont="1" applyAlignment="1" applyProtection="1">
      <alignment horizontal="center" vertical="top"/>
      <protection hidden="1"/>
    </xf>
    <xf numFmtId="2" fontId="122" fillId="0" borderId="0" xfId="35" applyNumberFormat="1" applyFont="1" applyFill="1" applyBorder="1" applyAlignment="1" applyProtection="1">
      <alignment horizontal="center" vertical="center"/>
      <protection hidden="1"/>
    </xf>
    <xf numFmtId="2" fontId="122" fillId="0" borderId="0" xfId="35" applyNumberFormat="1" applyFont="1" applyFill="1" applyBorder="1" applyAlignment="1" applyProtection="1">
      <alignment horizontal="center"/>
      <protection hidden="1"/>
    </xf>
    <xf numFmtId="2" fontId="33" fillId="0" borderId="0" xfId="35" applyNumberFormat="1" applyFont="1" applyFill="1" applyBorder="1" applyAlignment="1" applyProtection="1">
      <alignment horizontal="center" vertical="center"/>
      <protection hidden="1"/>
    </xf>
    <xf numFmtId="178" fontId="33" fillId="0" borderId="0" xfId="35" applyNumberFormat="1" applyFont="1" applyFill="1" applyBorder="1" applyAlignment="1" applyProtection="1">
      <alignment horizontal="center" vertical="center"/>
      <protection hidden="1"/>
    </xf>
    <xf numFmtId="178" fontId="122" fillId="0" borderId="0" xfId="35" applyNumberFormat="1" applyFont="1" applyFill="1" applyBorder="1" applyAlignment="1" applyProtection="1">
      <alignment horizontal="center"/>
      <protection hidden="1"/>
    </xf>
    <xf numFmtId="2" fontId="33" fillId="0" borderId="0" xfId="35" applyNumberFormat="1" applyFont="1" applyFill="1" applyBorder="1" applyAlignment="1" applyProtection="1">
      <alignment horizontal="center"/>
      <protection hidden="1"/>
    </xf>
    <xf numFmtId="2" fontId="122" fillId="0" borderId="0" xfId="0" applyNumberFormat="1" applyFont="1" applyAlignment="1" applyProtection="1">
      <alignment horizontal="center"/>
      <protection hidden="1"/>
    </xf>
    <xf numFmtId="0" fontId="7" fillId="0" borderId="0" xfId="0" applyFont="1" applyAlignment="1">
      <alignment horizontal="left" vertical="center"/>
    </xf>
    <xf numFmtId="0" fontId="147" fillId="0" borderId="0" xfId="0" applyFont="1" applyAlignment="1" applyProtection="1">
      <alignment horizontal="left" vertical="center"/>
      <protection hidden="1"/>
    </xf>
    <xf numFmtId="0" fontId="45" fillId="0" borderId="0" xfId="0" quotePrefix="1" applyFont="1" applyAlignment="1" applyProtection="1">
      <alignment horizontal="left" vertical="center"/>
      <protection hidden="1"/>
    </xf>
    <xf numFmtId="0" fontId="147" fillId="0" borderId="0" xfId="0" applyFont="1" applyAlignment="1">
      <alignment horizontal="left" vertical="center"/>
    </xf>
    <xf numFmtId="0" fontId="43" fillId="0" borderId="0" xfId="0" applyFont="1" applyAlignment="1">
      <alignment horizontal="left" vertical="center"/>
    </xf>
    <xf numFmtId="0" fontId="160" fillId="0" borderId="0" xfId="0" applyFont="1" applyAlignment="1">
      <alignment horizontal="left" vertical="center"/>
    </xf>
    <xf numFmtId="0" fontId="122" fillId="27" borderId="63" xfId="44" applyFont="1" applyFill="1" applyBorder="1" applyAlignment="1">
      <alignment horizontal="center" vertical="center"/>
    </xf>
    <xf numFmtId="0" fontId="28" fillId="27" borderId="0" xfId="44" applyFont="1" applyFill="1" applyAlignment="1">
      <alignment horizontal="right" vertical="center"/>
    </xf>
    <xf numFmtId="178" fontId="33" fillId="27" borderId="10" xfId="44" applyNumberFormat="1" applyFont="1" applyFill="1" applyBorder="1" applyAlignment="1">
      <alignment vertical="center"/>
    </xf>
    <xf numFmtId="178" fontId="33" fillId="27" borderId="26" xfId="44" applyNumberFormat="1" applyFont="1" applyFill="1" applyBorder="1" applyAlignment="1">
      <alignment vertical="center"/>
    </xf>
    <xf numFmtId="178" fontId="33" fillId="27" borderId="10" xfId="28" applyNumberFormat="1" applyFont="1" applyFill="1" applyBorder="1" applyAlignment="1" applyProtection="1">
      <alignment horizontal="center" vertical="center"/>
    </xf>
    <xf numFmtId="178" fontId="33" fillId="27" borderId="148" xfId="44" applyNumberFormat="1" applyFont="1" applyFill="1" applyBorder="1" applyAlignment="1">
      <alignment vertical="center"/>
    </xf>
    <xf numFmtId="0" fontId="28" fillId="27" borderId="0" xfId="44" applyFont="1" applyFill="1" applyAlignment="1">
      <alignment horizontal="left" vertical="center"/>
    </xf>
    <xf numFmtId="178" fontId="33" fillId="27" borderId="0" xfId="44" applyNumberFormat="1" applyFont="1" applyFill="1" applyAlignment="1">
      <alignment vertical="center"/>
    </xf>
    <xf numFmtId="177" fontId="33" fillId="27" borderId="0" xfId="44" applyNumberFormat="1" applyFont="1" applyFill="1" applyAlignment="1">
      <alignment horizontal="center" vertical="center"/>
    </xf>
    <xf numFmtId="178" fontId="33" fillId="27" borderId="0" xfId="28" applyNumberFormat="1" applyFont="1" applyFill="1" applyBorder="1" applyAlignment="1" applyProtection="1">
      <alignment horizontal="center" vertical="center"/>
    </xf>
    <xf numFmtId="178" fontId="33" fillId="27" borderId="63" xfId="44" applyNumberFormat="1" applyFont="1" applyFill="1" applyBorder="1" applyAlignment="1">
      <alignment vertical="center"/>
    </xf>
    <xf numFmtId="0" fontId="33" fillId="27" borderId="10" xfId="44" applyFont="1" applyFill="1" applyBorder="1" applyAlignment="1">
      <alignment vertical="center"/>
    </xf>
    <xf numFmtId="0" fontId="33" fillId="27" borderId="0" xfId="44" applyFont="1" applyFill="1" applyAlignment="1">
      <alignment horizontal="center" vertical="center"/>
    </xf>
    <xf numFmtId="180" fontId="33" fillId="27" borderId="0" xfId="44" applyNumberFormat="1" applyFont="1" applyFill="1" applyAlignment="1">
      <alignment horizontal="center" vertical="center"/>
    </xf>
    <xf numFmtId="0" fontId="33" fillId="27" borderId="63" xfId="44" applyFont="1" applyFill="1" applyBorder="1" applyAlignment="1">
      <alignment vertical="center"/>
    </xf>
    <xf numFmtId="0" fontId="122" fillId="27" borderId="62" xfId="0" applyFont="1" applyFill="1" applyBorder="1">
      <alignment vertical="center"/>
    </xf>
    <xf numFmtId="9" fontId="33" fillId="27" borderId="10" xfId="0" applyNumberFormat="1" applyFont="1" applyFill="1" applyBorder="1">
      <alignment vertical="center"/>
    </xf>
    <xf numFmtId="9" fontId="33" fillId="27" borderId="10" xfId="28" applyFont="1" applyFill="1" applyBorder="1" applyProtection="1">
      <alignment vertical="center"/>
    </xf>
    <xf numFmtId="179" fontId="33" fillId="27" borderId="144" xfId="44" applyNumberFormat="1" applyFont="1" applyFill="1" applyBorder="1" applyAlignment="1">
      <alignment horizontal="right" vertical="center"/>
    </xf>
    <xf numFmtId="179" fontId="33" fillId="27" borderId="0" xfId="44" applyNumberFormat="1" applyFont="1" applyFill="1" applyAlignment="1">
      <alignment horizontal="right" vertical="center"/>
    </xf>
    <xf numFmtId="179" fontId="33" fillId="27" borderId="63" xfId="44" applyNumberFormat="1" applyFont="1" applyFill="1" applyBorder="1" applyAlignment="1">
      <alignment horizontal="right" vertical="center"/>
    </xf>
    <xf numFmtId="177" fontId="33" fillId="27" borderId="27" xfId="44" applyNumberFormat="1" applyFont="1" applyFill="1" applyBorder="1" applyAlignment="1">
      <alignment horizontal="center" vertical="center"/>
    </xf>
    <xf numFmtId="197" fontId="33" fillId="27" borderId="10" xfId="0" applyNumberFormat="1" applyFont="1" applyFill="1" applyBorder="1">
      <alignment vertical="center"/>
    </xf>
    <xf numFmtId="0" fontId="33" fillId="27" borderId="148" xfId="0" applyFont="1" applyFill="1" applyBorder="1">
      <alignment vertical="center"/>
    </xf>
    <xf numFmtId="0" fontId="33" fillId="27" borderId="144" xfId="0" applyFont="1" applyFill="1" applyBorder="1" applyAlignment="1">
      <alignment horizontal="left" vertical="center"/>
    </xf>
    <xf numFmtId="0" fontId="33" fillId="27" borderId="63" xfId="0" applyFont="1" applyFill="1" applyBorder="1" applyAlignment="1">
      <alignment horizontal="left" vertical="center"/>
    </xf>
    <xf numFmtId="0" fontId="33" fillId="27" borderId="62" xfId="44" applyFont="1" applyFill="1" applyBorder="1"/>
    <xf numFmtId="0" fontId="33" fillId="27" borderId="0" xfId="44" applyFont="1" applyFill="1" applyAlignment="1">
      <alignment horizontal="left"/>
    </xf>
    <xf numFmtId="38" fontId="33" fillId="27" borderId="10" xfId="35" applyFont="1" applyFill="1" applyBorder="1" applyAlignment="1" applyProtection="1"/>
    <xf numFmtId="38" fontId="33" fillId="27" borderId="0" xfId="35" applyFont="1" applyFill="1" applyBorder="1" applyAlignment="1" applyProtection="1"/>
    <xf numFmtId="38" fontId="33" fillId="27" borderId="63" xfId="35" applyFont="1" applyFill="1" applyBorder="1" applyAlignment="1" applyProtection="1"/>
    <xf numFmtId="0" fontId="33" fillId="27" borderId="148" xfId="44" applyFont="1" applyFill="1" applyBorder="1"/>
    <xf numFmtId="38" fontId="33" fillId="27" borderId="149" xfId="35" applyFont="1" applyFill="1" applyBorder="1" applyAlignment="1" applyProtection="1"/>
    <xf numFmtId="38" fontId="33" fillId="27" borderId="26" xfId="35" applyFont="1" applyFill="1" applyBorder="1" applyAlignment="1" applyProtection="1"/>
    <xf numFmtId="38" fontId="33" fillId="27" borderId="123" xfId="35" applyFont="1" applyFill="1" applyBorder="1" applyAlignment="1" applyProtection="1"/>
    <xf numFmtId="38" fontId="33" fillId="27" borderId="139" xfId="35" applyFont="1" applyFill="1" applyBorder="1" applyAlignment="1" applyProtection="1"/>
    <xf numFmtId="0" fontId="33" fillId="27" borderId="0" xfId="0" applyFont="1" applyFill="1" applyAlignment="1">
      <alignment horizontal="right"/>
    </xf>
    <xf numFmtId="38" fontId="33" fillId="27" borderId="10" xfId="35" applyFont="1" applyFill="1" applyBorder="1" applyAlignment="1" applyProtection="1">
      <alignment vertical="center"/>
    </xf>
    <xf numFmtId="40" fontId="33" fillId="27" borderId="148" xfId="35" applyNumberFormat="1" applyFont="1" applyFill="1" applyBorder="1" applyAlignment="1" applyProtection="1">
      <alignment vertical="center"/>
    </xf>
    <xf numFmtId="0" fontId="28" fillId="27" borderId="0" xfId="0" applyFont="1" applyFill="1" applyAlignment="1">
      <alignment horizontal="center" vertical="center"/>
    </xf>
    <xf numFmtId="180" fontId="33" fillId="27" borderId="0" xfId="44" applyNumberFormat="1" applyFont="1" applyFill="1" applyAlignment="1">
      <alignment horizontal="left" vertical="center"/>
    </xf>
    <xf numFmtId="2" fontId="0" fillId="0" borderId="10" xfId="0" applyNumberFormat="1" applyBorder="1">
      <alignment vertical="center"/>
    </xf>
    <xf numFmtId="0" fontId="0" fillId="0" borderId="60" xfId="0" applyBorder="1">
      <alignment vertical="center"/>
    </xf>
    <xf numFmtId="0" fontId="0" fillId="38" borderId="0" xfId="0" applyFill="1">
      <alignment vertical="center"/>
    </xf>
    <xf numFmtId="0" fontId="7" fillId="27" borderId="10" xfId="0" applyFont="1" applyFill="1" applyBorder="1" applyAlignment="1" applyProtection="1">
      <alignment horizontal="center" vertical="center"/>
      <protection hidden="1"/>
    </xf>
    <xf numFmtId="0" fontId="7" fillId="27" borderId="15" xfId="0" applyFont="1" applyFill="1" applyBorder="1" applyAlignment="1" applyProtection="1">
      <alignment horizontal="center" vertical="center"/>
      <protection hidden="1"/>
    </xf>
    <xf numFmtId="0" fontId="28" fillId="27" borderId="54" xfId="0" applyFont="1" applyFill="1" applyBorder="1" applyProtection="1">
      <alignment vertical="center"/>
      <protection hidden="1"/>
    </xf>
    <xf numFmtId="0" fontId="28" fillId="27" borderId="56" xfId="0" applyFont="1" applyFill="1" applyBorder="1" applyProtection="1">
      <alignment vertical="center"/>
      <protection hidden="1"/>
    </xf>
    <xf numFmtId="0" fontId="28" fillId="27" borderId="58" xfId="0" applyFont="1" applyFill="1" applyBorder="1" applyProtection="1">
      <alignment vertical="center"/>
      <protection hidden="1"/>
    </xf>
    <xf numFmtId="0" fontId="28" fillId="27" borderId="50" xfId="0" applyFont="1" applyFill="1" applyBorder="1" applyAlignment="1" applyProtection="1">
      <alignment vertical="center" wrapText="1"/>
      <protection hidden="1"/>
    </xf>
    <xf numFmtId="179" fontId="28" fillId="31" borderId="50" xfId="0" applyNumberFormat="1" applyFont="1" applyFill="1" applyBorder="1" applyAlignment="1" applyProtection="1">
      <alignment horizontal="center" vertical="center"/>
      <protection hidden="1"/>
    </xf>
    <xf numFmtId="0" fontId="28" fillId="31" borderId="52" xfId="0" applyFont="1" applyFill="1" applyBorder="1" applyAlignment="1" applyProtection="1">
      <alignment horizontal="center" vertical="center"/>
      <protection hidden="1"/>
    </xf>
    <xf numFmtId="0" fontId="28" fillId="51" borderId="26" xfId="0" applyFont="1" applyFill="1" applyBorder="1">
      <alignment vertical="center"/>
    </xf>
    <xf numFmtId="0" fontId="28" fillId="51" borderId="50" xfId="0" applyFont="1" applyFill="1" applyBorder="1">
      <alignment vertical="center"/>
    </xf>
    <xf numFmtId="0" fontId="28" fillId="51" borderId="10" xfId="0" applyFont="1" applyFill="1" applyBorder="1" applyAlignment="1">
      <alignment horizontal="center" vertical="center"/>
    </xf>
    <xf numFmtId="0" fontId="28" fillId="0" borderId="0" xfId="0" applyFont="1" applyAlignment="1">
      <alignment horizontal="center" vertical="center"/>
    </xf>
    <xf numFmtId="0" fontId="7" fillId="0" borderId="144" xfId="0" applyFont="1" applyBorder="1">
      <alignment vertical="center"/>
    </xf>
    <xf numFmtId="0" fontId="28" fillId="53" borderId="10" xfId="0" applyFont="1" applyFill="1" applyBorder="1">
      <alignment vertical="center"/>
    </xf>
    <xf numFmtId="0" fontId="28" fillId="53" borderId="10" xfId="0" applyFont="1" applyFill="1" applyBorder="1" applyAlignment="1">
      <alignment horizontal="center" vertical="center"/>
    </xf>
    <xf numFmtId="0" fontId="28" fillId="51" borderId="10" xfId="0" applyFont="1" applyFill="1" applyBorder="1">
      <alignment vertical="center"/>
    </xf>
    <xf numFmtId="182" fontId="28" fillId="51" borderId="10" xfId="0" applyNumberFormat="1" applyFont="1" applyFill="1" applyBorder="1" applyAlignment="1">
      <alignment horizontal="center" vertical="center"/>
    </xf>
    <xf numFmtId="0" fontId="28" fillId="27" borderId="15" xfId="0" applyFont="1" applyFill="1" applyBorder="1" applyAlignment="1" applyProtection="1">
      <alignment horizontal="left" vertical="center" wrapText="1"/>
      <protection hidden="1"/>
    </xf>
    <xf numFmtId="0" fontId="28" fillId="27" borderId="55" xfId="0" applyFont="1" applyFill="1" applyBorder="1" applyAlignment="1" applyProtection="1">
      <alignment horizontal="left" vertical="center" wrapText="1"/>
      <protection hidden="1"/>
    </xf>
    <xf numFmtId="0" fontId="28" fillId="27" borderId="0" xfId="0" applyFont="1" applyFill="1">
      <alignment vertical="center"/>
    </xf>
    <xf numFmtId="40" fontId="0" fillId="0" borderId="10" xfId="0" applyNumberFormat="1" applyBorder="1">
      <alignment vertical="center"/>
    </xf>
    <xf numFmtId="206" fontId="0" fillId="0" borderId="10" xfId="0" applyNumberFormat="1" applyBorder="1">
      <alignment vertical="center"/>
    </xf>
    <xf numFmtId="197" fontId="33" fillId="41" borderId="16" xfId="0" applyNumberFormat="1" applyFont="1" applyFill="1" applyBorder="1" applyAlignment="1" applyProtection="1">
      <alignment horizontal="center" vertical="center"/>
      <protection locked="0"/>
    </xf>
    <xf numFmtId="197" fontId="33" fillId="41" borderId="11" xfId="0" applyNumberFormat="1" applyFont="1" applyFill="1" applyBorder="1" applyAlignment="1" applyProtection="1">
      <alignment horizontal="center" vertical="center"/>
      <protection locked="0"/>
    </xf>
    <xf numFmtId="197" fontId="33" fillId="41" borderId="164" xfId="0" applyNumberFormat="1" applyFont="1" applyFill="1" applyBorder="1" applyAlignment="1" applyProtection="1">
      <alignment horizontal="center" vertical="center"/>
      <protection locked="0"/>
    </xf>
    <xf numFmtId="9" fontId="33" fillId="41" borderId="16" xfId="0" applyNumberFormat="1" applyFont="1" applyFill="1" applyBorder="1" applyAlignment="1" applyProtection="1">
      <alignment horizontal="center" vertical="center"/>
      <protection locked="0"/>
    </xf>
    <xf numFmtId="0" fontId="33" fillId="41" borderId="16" xfId="0" applyFont="1" applyFill="1" applyBorder="1" applyProtection="1">
      <alignment vertical="center"/>
      <protection locked="0"/>
    </xf>
    <xf numFmtId="9" fontId="33" fillId="41" borderId="11" xfId="0" applyNumberFormat="1" applyFont="1" applyFill="1" applyBorder="1" applyAlignment="1" applyProtection="1">
      <alignment horizontal="center" vertical="center"/>
      <protection locked="0"/>
    </xf>
    <xf numFmtId="9" fontId="33" fillId="41" borderId="164" xfId="0" applyNumberFormat="1" applyFont="1" applyFill="1" applyBorder="1" applyAlignment="1" applyProtection="1">
      <alignment horizontal="center" vertical="center"/>
      <protection locked="0"/>
    </xf>
    <xf numFmtId="0" fontId="7" fillId="38" borderId="166" xfId="0" applyFont="1" applyFill="1" applyBorder="1" applyAlignment="1">
      <alignment vertical="center" wrapText="1"/>
    </xf>
    <xf numFmtId="0" fontId="28" fillId="31" borderId="55" xfId="0" applyFont="1" applyFill="1" applyBorder="1" applyAlignment="1" applyProtection="1">
      <alignment horizontal="center" vertical="center" wrapText="1"/>
      <protection hidden="1"/>
    </xf>
    <xf numFmtId="0" fontId="28" fillId="31" borderId="26" xfId="0" applyFont="1" applyFill="1" applyBorder="1" applyAlignment="1" applyProtection="1">
      <alignment horizontal="centerContinuous" vertical="center" wrapText="1"/>
      <protection hidden="1"/>
    </xf>
    <xf numFmtId="0" fontId="28" fillId="31" borderId="50" xfId="0" applyFont="1" applyFill="1" applyBorder="1" applyAlignment="1" applyProtection="1">
      <alignment horizontal="centerContinuous" vertical="center" wrapText="1"/>
      <protection hidden="1"/>
    </xf>
    <xf numFmtId="0" fontId="28" fillId="31" borderId="54" xfId="0" applyFont="1" applyFill="1" applyBorder="1" applyAlignment="1" applyProtection="1">
      <alignment horizontal="center" vertical="center"/>
      <protection hidden="1"/>
    </xf>
    <xf numFmtId="0" fontId="28" fillId="31" borderId="17" xfId="0" applyFont="1" applyFill="1" applyBorder="1" applyAlignment="1" applyProtection="1">
      <alignment horizontal="left" vertical="center"/>
      <protection hidden="1"/>
    </xf>
    <xf numFmtId="0" fontId="37" fillId="27" borderId="51" xfId="0" applyFont="1" applyFill="1" applyBorder="1" applyAlignment="1" applyProtection="1">
      <alignment vertical="center" wrapText="1"/>
      <protection hidden="1"/>
    </xf>
    <xf numFmtId="0" fontId="28" fillId="27" borderId="15" xfId="0" applyFont="1" applyFill="1" applyBorder="1" applyAlignment="1" applyProtection="1">
      <alignment vertical="center" wrapText="1"/>
      <protection hidden="1"/>
    </xf>
    <xf numFmtId="0" fontId="28" fillId="27" borderId="55" xfId="0" applyFont="1" applyFill="1" applyBorder="1" applyAlignment="1" applyProtection="1">
      <alignment vertical="center" wrapText="1"/>
      <protection hidden="1"/>
    </xf>
    <xf numFmtId="0" fontId="28" fillId="31" borderId="10" xfId="0" applyFont="1" applyFill="1" applyBorder="1" applyAlignment="1" applyProtection="1">
      <alignment horizontal="center" vertical="center"/>
      <protection hidden="1"/>
    </xf>
    <xf numFmtId="179" fontId="28" fillId="31" borderId="50" xfId="0" applyNumberFormat="1" applyFont="1" applyFill="1" applyBorder="1" applyAlignment="1" applyProtection="1">
      <alignment horizontal="center" vertical="center" wrapText="1"/>
      <protection hidden="1"/>
    </xf>
    <xf numFmtId="0" fontId="28" fillId="31" borderId="17" xfId="0" applyFont="1" applyFill="1" applyBorder="1" applyAlignment="1" applyProtection="1">
      <alignment horizontal="center" vertical="center"/>
      <protection hidden="1"/>
    </xf>
    <xf numFmtId="179" fontId="28" fillId="31" borderId="54" xfId="0" applyNumberFormat="1" applyFont="1" applyFill="1" applyBorder="1" applyAlignment="1" applyProtection="1">
      <alignment horizontal="center" vertical="center" wrapText="1"/>
      <protection hidden="1"/>
    </xf>
    <xf numFmtId="2" fontId="122" fillId="54" borderId="26" xfId="35" applyNumberFormat="1" applyFont="1" applyFill="1" applyBorder="1" applyAlignment="1" applyProtection="1">
      <alignment horizontal="center" vertical="center"/>
      <protection hidden="1"/>
    </xf>
    <xf numFmtId="2" fontId="33" fillId="54" borderId="10" xfId="35" applyNumberFormat="1" applyFont="1" applyFill="1" applyBorder="1" applyAlignment="1" applyProtection="1">
      <alignment horizontal="center" vertical="center"/>
      <protection hidden="1"/>
    </xf>
    <xf numFmtId="2" fontId="33" fillId="55" borderId="10" xfId="35" applyNumberFormat="1" applyFont="1" applyFill="1" applyBorder="1" applyAlignment="1" applyProtection="1">
      <alignment horizontal="center" vertical="center"/>
      <protection hidden="1"/>
    </xf>
    <xf numFmtId="2" fontId="33" fillId="54" borderId="26" xfId="35" applyNumberFormat="1" applyFont="1" applyFill="1" applyBorder="1" applyAlignment="1" applyProtection="1">
      <alignment horizontal="center" vertical="center"/>
      <protection hidden="1"/>
    </xf>
    <xf numFmtId="178" fontId="122" fillId="54" borderId="26" xfId="0" applyNumberFormat="1" applyFont="1" applyFill="1" applyBorder="1" applyAlignment="1" applyProtection="1">
      <alignment horizontal="center" vertical="center"/>
      <protection hidden="1"/>
    </xf>
    <xf numFmtId="178" fontId="33" fillId="54" borderId="26" xfId="0" applyNumberFormat="1" applyFont="1" applyFill="1" applyBorder="1" applyAlignment="1" applyProtection="1">
      <alignment horizontal="center" vertical="center"/>
      <protection hidden="1"/>
    </xf>
    <xf numFmtId="178" fontId="33" fillId="56" borderId="26" xfId="35" applyNumberFormat="1" applyFont="1" applyFill="1" applyBorder="1" applyAlignment="1" applyProtection="1">
      <alignment horizontal="center" vertical="center"/>
      <protection hidden="1"/>
    </xf>
    <xf numFmtId="178" fontId="33" fillId="55" borderId="26" xfId="0" applyNumberFormat="1" applyFont="1" applyFill="1" applyBorder="1" applyAlignment="1" applyProtection="1">
      <alignment horizontal="center" vertical="center"/>
      <protection hidden="1"/>
    </xf>
    <xf numFmtId="178" fontId="163" fillId="54" borderId="26" xfId="0" applyNumberFormat="1" applyFont="1" applyFill="1" applyBorder="1" applyAlignment="1" applyProtection="1">
      <alignment horizontal="center" vertical="center"/>
      <protection hidden="1"/>
    </xf>
    <xf numFmtId="178" fontId="33" fillId="57" borderId="26" xfId="35" applyNumberFormat="1" applyFont="1" applyFill="1" applyBorder="1" applyAlignment="1" applyProtection="1">
      <alignment horizontal="center" vertical="center"/>
      <protection hidden="1"/>
    </xf>
    <xf numFmtId="178" fontId="33" fillId="54" borderId="26" xfId="35" applyNumberFormat="1" applyFont="1" applyFill="1" applyBorder="1" applyAlignment="1" applyProtection="1">
      <alignment horizontal="center" vertical="center"/>
      <protection hidden="1"/>
    </xf>
    <xf numFmtId="178" fontId="33" fillId="54" borderId="10" xfId="35" applyNumberFormat="1" applyFont="1" applyFill="1" applyBorder="1" applyAlignment="1" applyProtection="1">
      <alignment horizontal="center" vertical="center"/>
      <protection hidden="1"/>
    </xf>
    <xf numFmtId="0" fontId="0" fillId="0" borderId="0" xfId="0" applyAlignment="1"/>
    <xf numFmtId="0" fontId="0" fillId="27" borderId="52" xfId="0" applyFill="1" applyBorder="1">
      <alignment vertical="center"/>
    </xf>
    <xf numFmtId="201" fontId="7" fillId="27" borderId="0" xfId="45" applyNumberFormat="1" applyFill="1" applyAlignment="1" applyProtection="1">
      <alignment vertical="center"/>
      <protection hidden="1"/>
    </xf>
    <xf numFmtId="0" fontId="28" fillId="27" borderId="0" xfId="0" applyFont="1" applyFill="1" applyAlignment="1">
      <alignment vertical="top" wrapText="1"/>
    </xf>
    <xf numFmtId="38" fontId="33" fillId="41" borderId="144" xfId="35" applyFont="1" applyFill="1" applyBorder="1" applyAlignment="1" applyProtection="1">
      <alignment horizontal="center" vertical="center" shrinkToFit="1"/>
      <protection locked="0"/>
    </xf>
    <xf numFmtId="0" fontId="33" fillId="31" borderId="27" xfId="44" applyFont="1" applyFill="1" applyBorder="1" applyAlignment="1">
      <alignment horizontal="center" vertical="center"/>
    </xf>
    <xf numFmtId="0" fontId="28" fillId="27" borderId="10" xfId="0" applyFont="1" applyFill="1" applyBorder="1" applyAlignment="1">
      <alignment horizontal="center" vertical="center"/>
    </xf>
    <xf numFmtId="2" fontId="33" fillId="27" borderId="10" xfId="0" applyNumberFormat="1" applyFont="1" applyFill="1" applyBorder="1">
      <alignment vertical="center"/>
    </xf>
    <xf numFmtId="2" fontId="33" fillId="27" borderId="27" xfId="0" applyNumberFormat="1" applyFont="1" applyFill="1" applyBorder="1">
      <alignment vertical="center"/>
    </xf>
    <xf numFmtId="206" fontId="33" fillId="27" borderId="10" xfId="0" applyNumberFormat="1" applyFont="1" applyFill="1" applyBorder="1">
      <alignment vertical="center"/>
    </xf>
    <xf numFmtId="204" fontId="0" fillId="50" borderId="0" xfId="0" applyNumberFormat="1" applyFill="1">
      <alignment vertical="center"/>
    </xf>
    <xf numFmtId="0" fontId="28" fillId="27" borderId="0" xfId="0" applyFont="1" applyFill="1" applyAlignment="1">
      <alignment vertical="center" wrapText="1"/>
    </xf>
    <xf numFmtId="0" fontId="28" fillId="27" borderId="0" xfId="0" applyFont="1" applyFill="1" applyAlignment="1">
      <alignment horizontal="right" vertical="top"/>
    </xf>
    <xf numFmtId="0" fontId="33" fillId="27" borderId="0" xfId="0" applyFont="1" applyFill="1" applyAlignment="1">
      <alignment horizontal="right" vertical="top"/>
    </xf>
    <xf numFmtId="0" fontId="26" fillId="27" borderId="0" xfId="0" applyFont="1" applyFill="1" applyAlignment="1">
      <alignment horizontal="right" vertical="center"/>
    </xf>
    <xf numFmtId="0" fontId="28" fillId="31" borderId="53" xfId="0" applyFont="1" applyFill="1" applyBorder="1">
      <alignment vertical="center"/>
    </xf>
    <xf numFmtId="0" fontId="37" fillId="31" borderId="53" xfId="0" applyFont="1" applyFill="1" applyBorder="1" applyAlignment="1" applyProtection="1">
      <alignment horizontal="right" vertical="center"/>
      <protection hidden="1"/>
    </xf>
    <xf numFmtId="2" fontId="28" fillId="31" borderId="54" xfId="0" applyNumberFormat="1" applyFont="1" applyFill="1" applyBorder="1" applyAlignment="1" applyProtection="1">
      <alignment horizontal="left" vertical="center"/>
      <protection hidden="1"/>
    </xf>
    <xf numFmtId="0" fontId="28" fillId="53" borderId="56" xfId="0" applyFont="1" applyFill="1" applyBorder="1" applyAlignment="1" applyProtection="1">
      <alignment horizontal="centerContinuous" vertical="center"/>
      <protection hidden="1"/>
    </xf>
    <xf numFmtId="0" fontId="26" fillId="27" borderId="12" xfId="0" applyFont="1" applyFill="1" applyBorder="1" applyAlignment="1" applyProtection="1">
      <alignment horizontal="center" vertical="center"/>
      <protection hidden="1"/>
    </xf>
    <xf numFmtId="0" fontId="26" fillId="27" borderId="56" xfId="0" applyFont="1" applyFill="1" applyBorder="1" applyAlignment="1" applyProtection="1">
      <alignment horizontal="center" vertical="center"/>
      <protection hidden="1"/>
    </xf>
    <xf numFmtId="0" fontId="28" fillId="51" borderId="52" xfId="0" applyFont="1" applyFill="1" applyBorder="1">
      <alignment vertical="center"/>
    </xf>
    <xf numFmtId="0" fontId="160" fillId="51" borderId="53" xfId="0" applyFont="1" applyFill="1" applyBorder="1">
      <alignment vertical="center"/>
    </xf>
    <xf numFmtId="0" fontId="160" fillId="51" borderId="54" xfId="0" applyFont="1" applyFill="1" applyBorder="1">
      <alignment vertical="center"/>
    </xf>
    <xf numFmtId="0" fontId="28" fillId="51" borderId="64" xfId="0" applyFont="1" applyFill="1" applyBorder="1">
      <alignment vertical="center"/>
    </xf>
    <xf numFmtId="0" fontId="160" fillId="51" borderId="0" xfId="0" applyFont="1" applyFill="1">
      <alignment vertical="center"/>
    </xf>
    <xf numFmtId="0" fontId="160" fillId="51" borderId="17" xfId="0" applyFont="1" applyFill="1" applyBorder="1">
      <alignment vertical="center"/>
    </xf>
    <xf numFmtId="0" fontId="28" fillId="51" borderId="56" xfId="0" applyFont="1" applyFill="1" applyBorder="1">
      <alignment vertical="center"/>
    </xf>
    <xf numFmtId="0" fontId="160" fillId="51" borderId="57" xfId="0" applyFont="1" applyFill="1" applyBorder="1">
      <alignment vertical="center"/>
    </xf>
    <xf numFmtId="0" fontId="160" fillId="51" borderId="58" xfId="0" applyFont="1" applyFill="1" applyBorder="1">
      <alignment vertical="center"/>
    </xf>
    <xf numFmtId="0" fontId="28" fillId="53" borderId="26" xfId="0" applyFont="1" applyFill="1" applyBorder="1" applyAlignment="1" applyProtection="1">
      <alignment horizontal="centerContinuous" vertical="center"/>
      <protection hidden="1"/>
    </xf>
    <xf numFmtId="0" fontId="28" fillId="53" borderId="53" xfId="0" applyFont="1" applyFill="1" applyBorder="1">
      <alignment vertical="center"/>
    </xf>
    <xf numFmtId="0" fontId="160" fillId="53" borderId="53" xfId="0" applyFont="1" applyFill="1" applyBorder="1">
      <alignment vertical="center"/>
    </xf>
    <xf numFmtId="0" fontId="160" fillId="53" borderId="54" xfId="0" applyFont="1" applyFill="1" applyBorder="1">
      <alignment vertical="center"/>
    </xf>
    <xf numFmtId="0" fontId="28" fillId="27" borderId="52" xfId="0" applyFont="1" applyFill="1" applyBorder="1" applyAlignment="1" applyProtection="1">
      <alignment horizontal="center" vertical="center"/>
      <protection hidden="1"/>
    </xf>
    <xf numFmtId="0" fontId="28" fillId="27" borderId="64" xfId="0" applyFont="1" applyFill="1" applyBorder="1" applyAlignment="1" applyProtection="1">
      <alignment horizontal="center" vertical="center"/>
      <protection hidden="1"/>
    </xf>
    <xf numFmtId="0" fontId="28" fillId="27" borderId="56" xfId="0" applyFont="1" applyFill="1" applyBorder="1" applyAlignment="1" applyProtection="1">
      <alignment horizontal="center" vertical="center"/>
      <protection hidden="1"/>
    </xf>
    <xf numFmtId="0" fontId="28" fillId="27" borderId="53" xfId="0" applyFont="1" applyFill="1" applyBorder="1" applyAlignment="1" applyProtection="1">
      <alignment horizontal="center" vertical="center"/>
      <protection hidden="1"/>
    </xf>
    <xf numFmtId="0" fontId="28" fillId="27" borderId="0" xfId="0" applyFont="1" applyFill="1" applyAlignment="1" applyProtection="1">
      <alignment horizontal="center" vertical="center"/>
      <protection hidden="1"/>
    </xf>
    <xf numFmtId="0" fontId="28" fillId="27" borderId="57" xfId="0" applyFont="1" applyFill="1" applyBorder="1" applyAlignment="1" applyProtection="1">
      <alignment horizontal="center" vertical="center"/>
      <protection hidden="1"/>
    </xf>
    <xf numFmtId="2" fontId="28" fillId="27" borderId="54" xfId="0" applyNumberFormat="1" applyFont="1" applyFill="1" applyBorder="1" applyAlignment="1" applyProtection="1">
      <alignment horizontal="left" vertical="center"/>
      <protection hidden="1"/>
    </xf>
    <xf numFmtId="2" fontId="28" fillId="27" borderId="17" xfId="0" applyNumberFormat="1" applyFont="1" applyFill="1" applyBorder="1" applyAlignment="1" applyProtection="1">
      <alignment horizontal="left" vertical="center"/>
      <protection hidden="1"/>
    </xf>
    <xf numFmtId="2" fontId="28" fillId="27" borderId="58" xfId="0" applyNumberFormat="1" applyFont="1" applyFill="1" applyBorder="1" applyAlignment="1" applyProtection="1">
      <alignment horizontal="left" vertical="center"/>
      <protection hidden="1"/>
    </xf>
    <xf numFmtId="2" fontId="28" fillId="27" borderId="17" xfId="0" applyNumberFormat="1" applyFont="1" applyFill="1" applyBorder="1" applyAlignment="1" applyProtection="1">
      <alignment horizontal="left" vertical="center" wrapText="1"/>
      <protection hidden="1"/>
    </xf>
    <xf numFmtId="179" fontId="28" fillId="31" borderId="26" xfId="0" applyNumberFormat="1" applyFont="1" applyFill="1" applyBorder="1" applyAlignment="1" applyProtection="1">
      <alignment horizontal="center" vertical="center"/>
      <protection hidden="1"/>
    </xf>
    <xf numFmtId="0" fontId="122" fillId="27" borderId="66" xfId="0" applyFont="1" applyFill="1" applyBorder="1">
      <alignment vertical="center"/>
    </xf>
    <xf numFmtId="0" fontId="164" fillId="27" borderId="66" xfId="0" applyFont="1" applyFill="1" applyBorder="1">
      <alignment vertical="center"/>
    </xf>
    <xf numFmtId="0" fontId="28" fillId="27" borderId="63" xfId="0" applyFont="1" applyFill="1" applyBorder="1" applyAlignment="1">
      <alignment vertical="center" wrapText="1"/>
    </xf>
    <xf numFmtId="0" fontId="37" fillId="27" borderId="0" xfId="0" applyFont="1" applyFill="1" applyAlignment="1">
      <alignment vertical="center" wrapText="1"/>
    </xf>
    <xf numFmtId="2" fontId="33" fillId="27" borderId="10" xfId="28" applyNumberFormat="1" applyFont="1" applyFill="1" applyBorder="1" applyProtection="1">
      <alignment vertical="center"/>
    </xf>
    <xf numFmtId="178" fontId="33" fillId="27" borderId="0" xfId="0" applyNumberFormat="1" applyFont="1" applyFill="1" applyAlignment="1">
      <alignment horizontal="right" vertical="center"/>
    </xf>
    <xf numFmtId="178" fontId="33" fillId="39" borderId="144" xfId="0" applyNumberFormat="1" applyFont="1" applyFill="1" applyBorder="1" applyProtection="1">
      <alignment vertical="center"/>
      <protection locked="0"/>
    </xf>
    <xf numFmtId="178" fontId="33" fillId="58" borderId="144" xfId="0" applyNumberFormat="1" applyFont="1" applyFill="1" applyBorder="1" applyProtection="1">
      <alignment vertical="center"/>
      <protection locked="0"/>
    </xf>
    <xf numFmtId="0" fontId="33" fillId="27" borderId="51" xfId="0" applyFont="1" applyFill="1" applyBorder="1" applyAlignment="1">
      <alignment vertical="top"/>
    </xf>
    <xf numFmtId="0" fontId="33" fillId="27" borderId="26" xfId="0" applyFont="1" applyFill="1" applyBorder="1" applyAlignment="1">
      <alignment vertical="top"/>
    </xf>
    <xf numFmtId="0" fontId="33" fillId="27" borderId="27" xfId="0" applyFont="1" applyFill="1" applyBorder="1" applyAlignment="1">
      <alignment vertical="top"/>
    </xf>
    <xf numFmtId="203" fontId="33" fillId="27" borderId="10" xfId="0" applyNumberFormat="1" applyFont="1" applyFill="1" applyBorder="1">
      <alignment vertical="center"/>
    </xf>
    <xf numFmtId="0" fontId="33" fillId="27" borderId="55" xfId="0" applyFont="1" applyFill="1" applyBorder="1" applyAlignment="1">
      <alignment vertical="top"/>
    </xf>
    <xf numFmtId="0" fontId="33" fillId="27" borderId="15" xfId="0" applyFont="1" applyFill="1" applyBorder="1" applyAlignment="1">
      <alignment vertical="top"/>
    </xf>
    <xf numFmtId="0" fontId="33" fillId="27" borderId="52" xfId="0" applyFont="1" applyFill="1" applyBorder="1" applyAlignment="1">
      <alignment vertical="top"/>
    </xf>
    <xf numFmtId="0" fontId="33" fillId="27" borderId="10" xfId="0" applyFont="1" applyFill="1" applyBorder="1" applyAlignment="1">
      <alignment vertical="top"/>
    </xf>
    <xf numFmtId="0" fontId="33" fillId="27" borderId="56" xfId="0" applyFont="1" applyFill="1" applyBorder="1" applyAlignment="1">
      <alignment vertical="top"/>
    </xf>
    <xf numFmtId="0" fontId="33" fillId="27" borderId="50" xfId="0" applyFont="1" applyFill="1" applyBorder="1" applyAlignment="1">
      <alignment vertical="top"/>
    </xf>
    <xf numFmtId="0" fontId="33" fillId="27" borderId="54" xfId="0" applyFont="1" applyFill="1" applyBorder="1" applyAlignment="1">
      <alignment vertical="top"/>
    </xf>
    <xf numFmtId="203" fontId="33" fillId="27" borderId="51" xfId="0" applyNumberFormat="1" applyFont="1" applyFill="1" applyBorder="1">
      <alignment vertical="center"/>
    </xf>
    <xf numFmtId="203" fontId="33" fillId="27" borderId="144" xfId="0" applyNumberFormat="1" applyFont="1" applyFill="1" applyBorder="1">
      <alignment vertical="center"/>
    </xf>
    <xf numFmtId="40" fontId="33" fillId="27" borderId="10" xfId="35" applyNumberFormat="1" applyFont="1" applyFill="1" applyBorder="1" applyProtection="1">
      <alignment vertical="center"/>
    </xf>
    <xf numFmtId="38" fontId="33" fillId="27" borderId="10" xfId="35" applyFont="1" applyFill="1" applyBorder="1" applyAlignment="1" applyProtection="1">
      <alignment horizontal="right" vertical="center"/>
    </xf>
    <xf numFmtId="0" fontId="37" fillId="27" borderId="0" xfId="0" applyFont="1" applyFill="1" applyAlignment="1">
      <alignment horizontal="right" vertical="top"/>
    </xf>
    <xf numFmtId="0" fontId="37" fillId="27" borderId="0" xfId="0" applyFont="1" applyFill="1" applyAlignment="1">
      <alignment vertical="top"/>
    </xf>
    <xf numFmtId="0" fontId="26" fillId="27" borderId="0" xfId="0" applyFont="1" applyFill="1">
      <alignment vertical="center"/>
    </xf>
    <xf numFmtId="178" fontId="28" fillId="27" borderId="0" xfId="0" applyNumberFormat="1" applyFont="1" applyFill="1" applyAlignment="1">
      <alignment horizontal="left" vertical="center"/>
    </xf>
    <xf numFmtId="0" fontId="28" fillId="27" borderId="0" xfId="44" applyFont="1" applyFill="1"/>
    <xf numFmtId="0" fontId="28" fillId="27" borderId="0" xfId="0" applyFont="1" applyFill="1" applyAlignment="1">
      <alignment horizontal="left" vertical="center"/>
    </xf>
    <xf numFmtId="0" fontId="28" fillId="27" borderId="0" xfId="0" applyFont="1" applyFill="1" applyAlignment="1">
      <alignment horizontal="right" vertical="center"/>
    </xf>
    <xf numFmtId="0" fontId="28" fillId="27" borderId="0" xfId="44" applyFont="1" applyFill="1" applyAlignment="1">
      <alignment horizontal="left"/>
    </xf>
    <xf numFmtId="0" fontId="122" fillId="27" borderId="50" xfId="0" applyFont="1" applyFill="1" applyBorder="1">
      <alignment vertical="center"/>
    </xf>
    <xf numFmtId="0" fontId="33" fillId="27" borderId="50" xfId="0" applyFont="1" applyFill="1" applyBorder="1">
      <alignment vertical="center"/>
    </xf>
    <xf numFmtId="0" fontId="28" fillId="27" borderId="51" xfId="0" applyFont="1" applyFill="1" applyBorder="1" applyAlignment="1">
      <alignment horizontal="center"/>
    </xf>
    <xf numFmtId="0" fontId="28" fillId="27" borderId="55" xfId="0" applyFont="1" applyFill="1" applyBorder="1" applyAlignment="1">
      <alignment horizontal="center"/>
    </xf>
    <xf numFmtId="0" fontId="126" fillId="0" borderId="10" xfId="0" applyFont="1" applyBorder="1" applyAlignment="1" applyProtection="1">
      <alignment horizontal="center" vertical="center"/>
      <protection hidden="1"/>
    </xf>
    <xf numFmtId="177" fontId="29" fillId="0" borderId="113" xfId="0" applyNumberFormat="1" applyFont="1" applyBorder="1" applyAlignment="1" applyProtection="1">
      <alignment horizontal="center" vertical="center"/>
      <protection hidden="1"/>
    </xf>
    <xf numFmtId="177" fontId="29" fillId="0" borderId="114" xfId="0" applyNumberFormat="1" applyFont="1" applyBorder="1" applyAlignment="1" applyProtection="1">
      <alignment horizontal="center" vertical="center"/>
      <protection hidden="1"/>
    </xf>
    <xf numFmtId="177" fontId="29" fillId="0" borderId="116" xfId="0" applyNumberFormat="1" applyFont="1" applyBorder="1" applyAlignment="1" applyProtection="1">
      <alignment horizontal="center" vertical="center"/>
      <protection hidden="1"/>
    </xf>
    <xf numFmtId="177" fontId="29" fillId="0" borderId="117" xfId="0" applyNumberFormat="1" applyFont="1" applyBorder="1" applyAlignment="1" applyProtection="1">
      <alignment horizontal="center" vertical="center"/>
      <protection hidden="1"/>
    </xf>
    <xf numFmtId="177" fontId="29" fillId="0" borderId="118" xfId="0" applyNumberFormat="1" applyFont="1" applyBorder="1" applyAlignment="1" applyProtection="1">
      <alignment horizontal="center" vertical="center"/>
      <protection hidden="1"/>
    </xf>
    <xf numFmtId="177" fontId="29" fillId="0" borderId="119" xfId="0" applyNumberFormat="1" applyFont="1" applyBorder="1" applyAlignment="1" applyProtection="1">
      <alignment horizontal="center" vertical="center"/>
      <protection hidden="1"/>
    </xf>
    <xf numFmtId="177" fontId="29" fillId="0" borderId="92" xfId="0" applyNumberFormat="1" applyFont="1" applyBorder="1" applyAlignment="1" applyProtection="1">
      <alignment horizontal="center" vertical="center"/>
      <protection hidden="1"/>
    </xf>
    <xf numFmtId="177" fontId="29" fillId="0" borderId="115" xfId="0" applyNumberFormat="1" applyFont="1" applyBorder="1" applyAlignment="1" applyProtection="1">
      <alignment horizontal="center" vertical="center"/>
      <protection hidden="1"/>
    </xf>
    <xf numFmtId="177" fontId="29" fillId="0" borderId="68" xfId="0" applyNumberFormat="1" applyFont="1" applyBorder="1" applyAlignment="1" applyProtection="1">
      <alignment horizontal="center" vertical="center"/>
      <protection hidden="1"/>
    </xf>
    <xf numFmtId="177" fontId="50" fillId="0" borderId="10" xfId="0" applyNumberFormat="1" applyFont="1" applyBorder="1" applyAlignment="1" applyProtection="1">
      <alignment horizontal="center" vertical="center"/>
      <protection hidden="1"/>
    </xf>
    <xf numFmtId="3" fontId="169" fillId="0" borderId="62" xfId="0" applyNumberFormat="1" applyFont="1" applyBorder="1" applyAlignment="1" applyProtection="1">
      <alignment horizontal="left" vertical="center"/>
      <protection hidden="1"/>
    </xf>
    <xf numFmtId="0" fontId="169" fillId="0" borderId="62" xfId="0" applyFont="1" applyBorder="1" applyProtection="1">
      <alignment vertical="center"/>
      <protection hidden="1"/>
    </xf>
    <xf numFmtId="0" fontId="170" fillId="0" borderId="0" xfId="0" applyFont="1">
      <alignment vertical="center"/>
    </xf>
    <xf numFmtId="0" fontId="0" fillId="60" borderId="0" xfId="0" applyFill="1">
      <alignment vertical="center"/>
    </xf>
    <xf numFmtId="0" fontId="171" fillId="0" borderId="0" xfId="0" applyFont="1">
      <alignment vertical="center"/>
    </xf>
    <xf numFmtId="191" fontId="122" fillId="31" borderId="10" xfId="35" applyNumberFormat="1" applyFont="1" applyFill="1" applyBorder="1" applyAlignment="1" applyProtection="1">
      <alignment horizontal="center" vertical="center"/>
      <protection hidden="1"/>
    </xf>
    <xf numFmtId="191" fontId="122" fillId="31" borderId="27" xfId="35" applyNumberFormat="1" applyFont="1" applyFill="1" applyBorder="1" applyAlignment="1" applyProtection="1">
      <alignment horizontal="center" vertical="center"/>
      <protection hidden="1"/>
    </xf>
    <xf numFmtId="191" fontId="122" fillId="27" borderId="10" xfId="35" applyNumberFormat="1" applyFont="1" applyFill="1" applyBorder="1" applyAlignment="1" applyProtection="1">
      <alignment horizontal="center"/>
      <protection hidden="1"/>
    </xf>
    <xf numFmtId="191" fontId="122" fillId="27" borderId="27" xfId="35" applyNumberFormat="1" applyFont="1" applyFill="1" applyBorder="1" applyAlignment="1" applyProtection="1">
      <alignment horizontal="center"/>
      <protection hidden="1"/>
    </xf>
    <xf numFmtId="191" fontId="33" fillId="27" borderId="10" xfId="35" applyNumberFormat="1" applyFont="1" applyFill="1" applyBorder="1" applyAlignment="1" applyProtection="1">
      <alignment horizontal="center" vertical="center"/>
      <protection hidden="1"/>
    </xf>
    <xf numFmtId="191" fontId="122" fillId="27" borderId="10" xfId="35" applyNumberFormat="1" applyFont="1" applyFill="1" applyBorder="1" applyAlignment="1" applyProtection="1">
      <alignment horizontal="center" vertical="center"/>
      <protection hidden="1"/>
    </xf>
    <xf numFmtId="191" fontId="122" fillId="27" borderId="27" xfId="35" applyNumberFormat="1" applyFont="1" applyFill="1" applyBorder="1" applyAlignment="1" applyProtection="1">
      <alignment horizontal="center" vertical="center"/>
      <protection hidden="1"/>
    </xf>
    <xf numFmtId="191" fontId="33" fillId="27" borderId="10" xfId="35" applyNumberFormat="1" applyFont="1" applyFill="1" applyBorder="1" applyAlignment="1" applyProtection="1">
      <alignment horizontal="center"/>
      <protection hidden="1"/>
    </xf>
    <xf numFmtId="191" fontId="122" fillId="31" borderId="27" xfId="0" applyNumberFormat="1" applyFont="1" applyFill="1" applyBorder="1" applyAlignment="1" applyProtection="1">
      <alignment horizontal="center"/>
      <protection hidden="1"/>
    </xf>
    <xf numFmtId="191" fontId="122" fillId="31" borderId="10" xfId="0" applyNumberFormat="1" applyFont="1" applyFill="1" applyBorder="1" applyAlignment="1" applyProtection="1">
      <alignment horizontal="center"/>
      <protection hidden="1"/>
    </xf>
    <xf numFmtId="191" fontId="172" fillId="31" borderId="10" xfId="35" applyNumberFormat="1" applyFont="1" applyFill="1" applyBorder="1" applyAlignment="1" applyProtection="1">
      <alignment horizontal="center" vertical="center"/>
      <protection hidden="1"/>
    </xf>
    <xf numFmtId="191" fontId="172" fillId="31" borderId="27" xfId="35" applyNumberFormat="1" applyFont="1" applyFill="1" applyBorder="1" applyAlignment="1" applyProtection="1">
      <alignment horizontal="center" vertical="center"/>
      <protection hidden="1"/>
    </xf>
    <xf numFmtId="191" fontId="172" fillId="27" borderId="10" xfId="35" applyNumberFormat="1" applyFont="1" applyFill="1" applyBorder="1" applyAlignment="1" applyProtection="1">
      <alignment horizontal="center"/>
      <protection hidden="1"/>
    </xf>
    <xf numFmtId="191" fontId="172" fillId="54" borderId="26" xfId="35" applyNumberFormat="1" applyFont="1" applyFill="1" applyBorder="1" applyAlignment="1" applyProtection="1">
      <alignment horizontal="center" vertical="center"/>
      <protection hidden="1"/>
    </xf>
    <xf numFmtId="191" fontId="172" fillId="27" borderId="27" xfId="35" applyNumberFormat="1" applyFont="1" applyFill="1" applyBorder="1" applyAlignment="1" applyProtection="1">
      <alignment horizontal="center"/>
      <protection hidden="1"/>
    </xf>
    <xf numFmtId="191" fontId="173" fillId="27" borderId="10" xfId="35" applyNumberFormat="1" applyFont="1" applyFill="1" applyBorder="1" applyAlignment="1" applyProtection="1">
      <alignment horizontal="center" vertical="center"/>
      <protection hidden="1"/>
    </xf>
    <xf numFmtId="191" fontId="173" fillId="54" borderId="10" xfId="35" applyNumberFormat="1" applyFont="1" applyFill="1" applyBorder="1" applyAlignment="1" applyProtection="1">
      <alignment horizontal="center" vertical="center"/>
      <protection hidden="1"/>
    </xf>
    <xf numFmtId="191" fontId="173" fillId="27" borderId="27" xfId="35" applyNumberFormat="1" applyFont="1" applyFill="1" applyBorder="1" applyAlignment="1" applyProtection="1">
      <alignment horizontal="center" vertical="center"/>
      <protection hidden="1"/>
    </xf>
    <xf numFmtId="191" fontId="173" fillId="54" borderId="26" xfId="35" applyNumberFormat="1" applyFont="1" applyFill="1" applyBorder="1" applyAlignment="1" applyProtection="1">
      <alignment horizontal="center" vertical="center"/>
      <protection hidden="1"/>
    </xf>
    <xf numFmtId="191" fontId="172" fillId="54" borderId="26" xfId="0" applyNumberFormat="1" applyFont="1" applyFill="1" applyBorder="1" applyAlignment="1" applyProtection="1">
      <alignment horizontal="center" vertical="center"/>
      <protection hidden="1"/>
    </xf>
    <xf numFmtId="191" fontId="173" fillId="54" borderId="26" xfId="0" applyNumberFormat="1" applyFont="1" applyFill="1" applyBorder="1" applyAlignment="1" applyProtection="1">
      <alignment horizontal="center" vertical="center"/>
      <protection hidden="1"/>
    </xf>
    <xf numFmtId="191" fontId="173" fillId="27" borderId="10" xfId="0" applyNumberFormat="1" applyFont="1" applyFill="1" applyBorder="1" applyAlignment="1" applyProtection="1">
      <alignment horizontal="center"/>
      <protection hidden="1"/>
    </xf>
    <xf numFmtId="191" fontId="173" fillId="42" borderId="10" xfId="35" applyNumberFormat="1" applyFont="1" applyFill="1" applyBorder="1" applyAlignment="1" applyProtection="1">
      <alignment horizontal="center" vertical="center"/>
      <protection hidden="1"/>
    </xf>
    <xf numFmtId="191" fontId="173" fillId="56" borderId="26" xfId="35" applyNumberFormat="1" applyFont="1" applyFill="1" applyBorder="1" applyAlignment="1" applyProtection="1">
      <alignment horizontal="center" vertical="center"/>
      <protection hidden="1"/>
    </xf>
    <xf numFmtId="191" fontId="173" fillId="42" borderId="27" xfId="35" applyNumberFormat="1" applyFont="1" applyFill="1" applyBorder="1" applyAlignment="1" applyProtection="1">
      <alignment horizontal="center" vertical="center"/>
      <protection hidden="1"/>
    </xf>
    <xf numFmtId="191" fontId="172" fillId="27" borderId="10" xfId="35" applyNumberFormat="1" applyFont="1" applyFill="1" applyBorder="1" applyAlignment="1" applyProtection="1">
      <alignment horizontal="center" vertical="center"/>
      <protection hidden="1"/>
    </xf>
    <xf numFmtId="191" fontId="172" fillId="27" borderId="27" xfId="35" applyNumberFormat="1" applyFont="1" applyFill="1" applyBorder="1" applyAlignment="1" applyProtection="1">
      <alignment horizontal="center" vertical="center"/>
      <protection hidden="1"/>
    </xf>
    <xf numFmtId="191" fontId="173" fillId="27" borderId="26" xfId="35" applyNumberFormat="1" applyFont="1" applyFill="1" applyBorder="1" applyAlignment="1" applyProtection="1">
      <alignment horizontal="center" vertical="center"/>
      <protection hidden="1"/>
    </xf>
    <xf numFmtId="191" fontId="173" fillId="27" borderId="26" xfId="0" applyNumberFormat="1" applyFont="1" applyFill="1" applyBorder="1" applyAlignment="1" applyProtection="1">
      <alignment horizontal="center" vertical="center"/>
      <protection hidden="1"/>
    </xf>
    <xf numFmtId="191" fontId="172" fillId="27" borderId="26" xfId="35" applyNumberFormat="1" applyFont="1" applyFill="1" applyBorder="1" applyAlignment="1" applyProtection="1">
      <alignment horizontal="center"/>
      <protection hidden="1"/>
    </xf>
    <xf numFmtId="191" fontId="173" fillId="27" borderId="10" xfId="35" applyNumberFormat="1" applyFont="1" applyFill="1" applyBorder="1" applyAlignment="1" applyProtection="1">
      <alignment horizontal="center"/>
      <protection hidden="1"/>
    </xf>
    <xf numFmtId="191" fontId="173" fillId="27" borderId="27" xfId="35" applyNumberFormat="1" applyFont="1" applyFill="1" applyBorder="1" applyAlignment="1" applyProtection="1">
      <alignment horizontal="center"/>
      <protection hidden="1"/>
    </xf>
    <xf numFmtId="191" fontId="172" fillId="35" borderId="10" xfId="35" applyNumberFormat="1" applyFont="1" applyFill="1" applyBorder="1" applyAlignment="1" applyProtection="1">
      <alignment horizontal="center" vertical="top"/>
      <protection hidden="1"/>
    </xf>
    <xf numFmtId="191" fontId="172" fillId="35" borderId="26" xfId="35" applyNumberFormat="1" applyFont="1" applyFill="1" applyBorder="1" applyAlignment="1" applyProtection="1">
      <alignment horizontal="center" vertical="top"/>
      <protection hidden="1"/>
    </xf>
    <xf numFmtId="191" fontId="172" fillId="35" borderId="27" xfId="0" applyNumberFormat="1" applyFont="1" applyFill="1" applyBorder="1" applyAlignment="1" applyProtection="1">
      <alignment horizontal="center" vertical="top"/>
      <protection hidden="1"/>
    </xf>
    <xf numFmtId="191" fontId="172" fillId="35" borderId="10" xfId="0" applyNumberFormat="1" applyFont="1" applyFill="1" applyBorder="1" applyAlignment="1" applyProtection="1">
      <alignment horizontal="center" vertical="top"/>
      <protection hidden="1"/>
    </xf>
    <xf numFmtId="191" fontId="172" fillId="31" borderId="27" xfId="0" applyNumberFormat="1" applyFont="1" applyFill="1" applyBorder="1" applyAlignment="1" applyProtection="1">
      <alignment horizontal="center"/>
      <protection hidden="1"/>
    </xf>
    <xf numFmtId="191" fontId="172" fillId="31" borderId="10" xfId="0" applyNumberFormat="1" applyFont="1" applyFill="1" applyBorder="1" applyAlignment="1" applyProtection="1">
      <alignment horizontal="center"/>
      <protection hidden="1"/>
    </xf>
    <xf numFmtId="191" fontId="172" fillId="27" borderId="27" xfId="0" applyNumberFormat="1" applyFont="1" applyFill="1" applyBorder="1" applyAlignment="1" applyProtection="1">
      <alignment horizontal="center"/>
      <protection hidden="1"/>
    </xf>
    <xf numFmtId="191" fontId="172" fillId="27" borderId="10" xfId="0" applyNumberFormat="1" applyFont="1" applyFill="1" applyBorder="1" applyAlignment="1" applyProtection="1">
      <alignment horizontal="center"/>
      <protection hidden="1"/>
    </xf>
    <xf numFmtId="191" fontId="173" fillId="27" borderId="27" xfId="0" applyNumberFormat="1" applyFont="1" applyFill="1" applyBorder="1" applyAlignment="1" applyProtection="1">
      <alignment horizontal="center"/>
      <protection hidden="1"/>
    </xf>
    <xf numFmtId="200" fontId="29" fillId="0" borderId="92" xfId="0" applyNumberFormat="1" applyFont="1" applyBorder="1" applyAlignment="1" applyProtection="1">
      <alignment horizontal="center" vertical="center"/>
      <protection hidden="1"/>
    </xf>
    <xf numFmtId="200" fontId="29" fillId="0" borderId="115" xfId="0" applyNumberFormat="1" applyFont="1" applyBorder="1" applyAlignment="1" applyProtection="1">
      <alignment horizontal="center" vertical="center"/>
      <protection hidden="1"/>
    </xf>
    <xf numFmtId="0" fontId="28" fillId="27" borderId="162" xfId="0" applyFont="1" applyFill="1" applyBorder="1" applyAlignment="1" applyProtection="1">
      <alignment vertical="center" wrapText="1"/>
      <protection hidden="1"/>
    </xf>
    <xf numFmtId="0" fontId="7" fillId="27" borderId="161" xfId="0" applyFont="1" applyFill="1" applyBorder="1">
      <alignment vertical="center"/>
    </xf>
    <xf numFmtId="0" fontId="7" fillId="27" borderId="162" xfId="0" applyFont="1" applyFill="1" applyBorder="1">
      <alignment vertical="center"/>
    </xf>
    <xf numFmtId="0" fontId="28" fillId="27" borderId="193" xfId="0" applyFont="1" applyFill="1" applyBorder="1" applyProtection="1">
      <alignment vertical="center"/>
      <protection hidden="1"/>
    </xf>
    <xf numFmtId="0" fontId="28" fillId="27" borderId="177" xfId="0" applyFont="1" applyFill="1" applyBorder="1" applyAlignment="1" applyProtection="1">
      <alignment vertical="center" wrapText="1"/>
      <protection hidden="1"/>
    </xf>
    <xf numFmtId="0" fontId="28" fillId="27" borderId="177" xfId="0" applyFont="1" applyFill="1" applyBorder="1" applyProtection="1">
      <alignment vertical="center"/>
      <protection hidden="1"/>
    </xf>
    <xf numFmtId="0" fontId="28" fillId="27" borderId="178" xfId="0" applyFont="1" applyFill="1" applyBorder="1" applyAlignment="1" applyProtection="1">
      <alignment vertical="center" wrapText="1"/>
      <protection hidden="1"/>
    </xf>
    <xf numFmtId="0" fontId="33" fillId="0" borderId="89" xfId="0" applyFont="1" applyBorder="1" applyProtection="1">
      <alignment vertical="center"/>
      <protection hidden="1"/>
    </xf>
    <xf numFmtId="2" fontId="34" fillId="0" borderId="53" xfId="0" applyNumberFormat="1" applyFont="1" applyBorder="1" applyAlignment="1" applyProtection="1">
      <alignment horizontal="left" vertical="center"/>
      <protection hidden="1"/>
    </xf>
    <xf numFmtId="182" fontId="33" fillId="0" borderId="53" xfId="0" applyNumberFormat="1" applyFont="1" applyBorder="1" applyAlignment="1" applyProtection="1">
      <alignment horizontal="left" vertical="center"/>
      <protection hidden="1"/>
    </xf>
    <xf numFmtId="0" fontId="53" fillId="0" borderId="90" xfId="0" applyFont="1" applyBorder="1" applyProtection="1">
      <alignment vertical="center"/>
      <protection hidden="1"/>
    </xf>
    <xf numFmtId="0" fontId="33" fillId="0" borderId="89" xfId="0" applyFont="1" applyBorder="1" applyAlignment="1" applyProtection="1">
      <alignment horizontal="left" vertical="center"/>
      <protection hidden="1"/>
    </xf>
    <xf numFmtId="37" fontId="34" fillId="0" borderId="53" xfId="0" applyNumberFormat="1" applyFont="1" applyBorder="1" applyAlignment="1" applyProtection="1">
      <alignment horizontal="left" vertical="center"/>
      <protection hidden="1"/>
    </xf>
    <xf numFmtId="0" fontId="53" fillId="0" borderId="217" xfId="0" applyFont="1" applyBorder="1" applyProtection="1">
      <alignment vertical="center"/>
      <protection hidden="1"/>
    </xf>
    <xf numFmtId="3" fontId="33" fillId="0" borderId="53" xfId="0" applyNumberFormat="1" applyFont="1" applyBorder="1" applyAlignment="1" applyProtection="1">
      <alignment horizontal="right" vertical="center"/>
      <protection hidden="1"/>
    </xf>
    <xf numFmtId="37" fontId="28" fillId="0" borderId="79" xfId="0" applyNumberFormat="1" applyFont="1" applyBorder="1" applyAlignment="1" applyProtection="1">
      <alignment horizontal="left" vertical="center"/>
      <protection hidden="1"/>
    </xf>
    <xf numFmtId="0" fontId="122" fillId="27" borderId="0" xfId="0" quotePrefix="1" applyFont="1" applyFill="1">
      <alignment vertical="center"/>
    </xf>
    <xf numFmtId="193" fontId="26" fillId="31" borderId="26" xfId="0" applyNumberFormat="1" applyFont="1" applyFill="1" applyBorder="1" applyAlignment="1" applyProtection="1">
      <alignment horizontal="center" vertical="center"/>
      <protection hidden="1"/>
    </xf>
    <xf numFmtId="193" fontId="33" fillId="27" borderId="144" xfId="0" applyNumberFormat="1" applyFont="1" applyFill="1" applyBorder="1" applyAlignment="1">
      <alignment horizontal="center" vertical="center"/>
    </xf>
    <xf numFmtId="193" fontId="33" fillId="27" borderId="144" xfId="0" applyNumberFormat="1" applyFont="1" applyFill="1" applyBorder="1" applyAlignment="1">
      <alignment horizontal="left" vertical="center"/>
    </xf>
    <xf numFmtId="0" fontId="28" fillId="27" borderId="10" xfId="0" applyFont="1" applyFill="1" applyBorder="1" applyAlignment="1" applyProtection="1">
      <alignment horizontal="center" vertical="center"/>
      <protection locked="0"/>
    </xf>
    <xf numFmtId="191" fontId="33" fillId="27" borderId="26" xfId="35" applyNumberFormat="1" applyFont="1" applyFill="1" applyBorder="1" applyAlignment="1" applyProtection="1">
      <alignment horizontal="center" vertical="center"/>
      <protection hidden="1"/>
    </xf>
    <xf numFmtId="40" fontId="33" fillId="35" borderId="27" xfId="0" applyNumberFormat="1" applyFont="1" applyFill="1" applyBorder="1" applyAlignment="1" applyProtection="1">
      <alignment horizontal="center" vertical="top"/>
      <protection hidden="1"/>
    </xf>
    <xf numFmtId="40" fontId="33" fillId="35" borderId="10" xfId="0" applyNumberFormat="1" applyFont="1" applyFill="1" applyBorder="1" applyAlignment="1" applyProtection="1">
      <alignment horizontal="center" vertical="top"/>
      <protection hidden="1"/>
    </xf>
    <xf numFmtId="40" fontId="122" fillId="31" borderId="10" xfId="35" applyNumberFormat="1" applyFont="1" applyFill="1" applyBorder="1" applyAlignment="1" applyProtection="1">
      <alignment horizontal="center" vertical="center"/>
      <protection hidden="1"/>
    </xf>
    <xf numFmtId="40" fontId="122" fillId="52" borderId="10" xfId="35" applyNumberFormat="1" applyFont="1" applyFill="1" applyBorder="1" applyAlignment="1" applyProtection="1">
      <alignment horizontal="center" vertical="center"/>
      <protection hidden="1"/>
    </xf>
    <xf numFmtId="40" fontId="122" fillId="31" borderId="27" xfId="35" applyNumberFormat="1" applyFont="1" applyFill="1" applyBorder="1" applyAlignment="1" applyProtection="1">
      <alignment horizontal="center" vertical="center"/>
      <protection hidden="1"/>
    </xf>
    <xf numFmtId="40" fontId="122" fillId="27" borderId="10" xfId="35" applyNumberFormat="1" applyFont="1" applyFill="1" applyBorder="1" applyAlignment="1" applyProtection="1">
      <alignment horizontal="center"/>
      <protection hidden="1"/>
    </xf>
    <xf numFmtId="40" fontId="122" fillId="27" borderId="26" xfId="35" applyNumberFormat="1" applyFont="1" applyFill="1" applyBorder="1" applyAlignment="1" applyProtection="1">
      <alignment horizontal="center" vertical="center"/>
      <protection hidden="1"/>
    </xf>
    <xf numFmtId="40" fontId="122" fillId="27" borderId="27" xfId="35" applyNumberFormat="1" applyFont="1" applyFill="1" applyBorder="1" applyAlignment="1" applyProtection="1">
      <alignment horizontal="center"/>
      <protection hidden="1"/>
    </xf>
    <xf numFmtId="40" fontId="33" fillId="27" borderId="10" xfId="35" applyNumberFormat="1" applyFont="1" applyFill="1" applyBorder="1" applyAlignment="1" applyProtection="1">
      <alignment horizontal="center" vertical="center"/>
      <protection hidden="1"/>
    </xf>
    <xf numFmtId="40" fontId="33" fillId="27" borderId="27" xfId="35" applyNumberFormat="1" applyFont="1" applyFill="1" applyBorder="1" applyAlignment="1" applyProtection="1">
      <alignment horizontal="center" vertical="center"/>
      <protection hidden="1"/>
    </xf>
    <xf numFmtId="40" fontId="33" fillId="27" borderId="26" xfId="35" applyNumberFormat="1" applyFont="1" applyFill="1" applyBorder="1" applyAlignment="1" applyProtection="1">
      <alignment horizontal="center" vertical="center"/>
      <protection hidden="1"/>
    </xf>
    <xf numFmtId="40" fontId="122" fillId="27" borderId="26" xfId="0" applyNumberFormat="1" applyFont="1" applyFill="1" applyBorder="1" applyAlignment="1" applyProtection="1">
      <alignment horizontal="center" vertical="center"/>
      <protection hidden="1"/>
    </xf>
    <xf numFmtId="40" fontId="33" fillId="27" borderId="26" xfId="0" applyNumberFormat="1" applyFont="1" applyFill="1" applyBorder="1" applyAlignment="1" applyProtection="1">
      <alignment horizontal="center" vertical="center"/>
      <protection hidden="1"/>
    </xf>
    <xf numFmtId="40" fontId="33" fillId="27" borderId="10" xfId="0" applyNumberFormat="1" applyFont="1" applyFill="1" applyBorder="1" applyAlignment="1" applyProtection="1">
      <alignment horizontal="center"/>
      <protection hidden="1"/>
    </xf>
    <xf numFmtId="40" fontId="33" fillId="42" borderId="10" xfId="35" applyNumberFormat="1" applyFont="1" applyFill="1" applyBorder="1" applyAlignment="1" applyProtection="1">
      <alignment horizontal="center" vertical="center"/>
      <protection hidden="1"/>
    </xf>
    <xf numFmtId="40" fontId="33" fillId="42" borderId="26" xfId="35" applyNumberFormat="1" applyFont="1" applyFill="1" applyBorder="1" applyAlignment="1" applyProtection="1">
      <alignment horizontal="center" vertical="center"/>
      <protection hidden="1"/>
    </xf>
    <xf numFmtId="40" fontId="33" fillId="42" borderId="27" xfId="35" applyNumberFormat="1" applyFont="1" applyFill="1" applyBorder="1" applyAlignment="1" applyProtection="1">
      <alignment horizontal="center" vertical="center"/>
      <protection hidden="1"/>
    </xf>
    <xf numFmtId="40" fontId="122" fillId="27" borderId="10" xfId="35" applyNumberFormat="1" applyFont="1" applyFill="1" applyBorder="1" applyAlignment="1" applyProtection="1">
      <alignment horizontal="center" vertical="center"/>
      <protection hidden="1"/>
    </xf>
    <xf numFmtId="40" fontId="122" fillId="27" borderId="27" xfId="35" applyNumberFormat="1" applyFont="1" applyFill="1" applyBorder="1" applyAlignment="1" applyProtection="1">
      <alignment horizontal="center" vertical="center"/>
      <protection hidden="1"/>
    </xf>
    <xf numFmtId="40" fontId="122" fillId="27" borderId="26" xfId="35" applyNumberFormat="1" applyFont="1" applyFill="1" applyBorder="1" applyAlignment="1" applyProtection="1">
      <alignment horizontal="center"/>
      <protection hidden="1"/>
    </xf>
    <xf numFmtId="40" fontId="33" fillId="27" borderId="10" xfId="35" applyNumberFormat="1" applyFont="1" applyFill="1" applyBorder="1" applyAlignment="1" applyProtection="1">
      <alignment horizontal="center"/>
      <protection hidden="1"/>
    </xf>
    <xf numFmtId="40" fontId="33" fillId="27" borderId="27" xfId="35" applyNumberFormat="1" applyFont="1" applyFill="1" applyBorder="1" applyAlignment="1" applyProtection="1">
      <alignment horizontal="center"/>
      <protection hidden="1"/>
    </xf>
    <xf numFmtId="40" fontId="122" fillId="35" borderId="27" xfId="0" applyNumberFormat="1" applyFont="1" applyFill="1" applyBorder="1" applyAlignment="1" applyProtection="1">
      <alignment horizontal="center" vertical="top"/>
      <protection hidden="1"/>
    </xf>
    <xf numFmtId="40" fontId="122" fillId="35" borderId="10" xfId="0" applyNumberFormat="1" applyFont="1" applyFill="1" applyBorder="1" applyAlignment="1" applyProtection="1">
      <alignment horizontal="center" vertical="top"/>
      <protection hidden="1"/>
    </xf>
    <xf numFmtId="40" fontId="122" fillId="31" borderId="26" xfId="35" applyNumberFormat="1" applyFont="1" applyFill="1" applyBorder="1" applyAlignment="1" applyProtection="1">
      <alignment horizontal="center" vertical="center"/>
      <protection hidden="1"/>
    </xf>
    <xf numFmtId="40" fontId="122" fillId="31" borderId="27" xfId="0" applyNumberFormat="1" applyFont="1" applyFill="1" applyBorder="1" applyAlignment="1" applyProtection="1">
      <alignment horizontal="center"/>
      <protection hidden="1"/>
    </xf>
    <xf numFmtId="40" fontId="122" fillId="31" borderId="10" xfId="0" applyNumberFormat="1" applyFont="1" applyFill="1" applyBorder="1" applyAlignment="1" applyProtection="1">
      <alignment horizontal="center"/>
      <protection hidden="1"/>
    </xf>
    <xf numFmtId="40" fontId="122" fillId="27" borderId="27" xfId="0" applyNumberFormat="1" applyFont="1" applyFill="1" applyBorder="1" applyAlignment="1" applyProtection="1">
      <alignment horizontal="center"/>
      <protection hidden="1"/>
    </xf>
    <xf numFmtId="40" fontId="122" fillId="27" borderId="10" xfId="0" applyNumberFormat="1" applyFont="1" applyFill="1" applyBorder="1" applyAlignment="1" applyProtection="1">
      <alignment horizontal="center"/>
      <protection hidden="1"/>
    </xf>
    <xf numFmtId="40" fontId="33" fillId="27" borderId="27" xfId="0" applyNumberFormat="1" applyFont="1" applyFill="1" applyBorder="1" applyAlignment="1" applyProtection="1">
      <alignment horizontal="center"/>
      <protection hidden="1"/>
    </xf>
    <xf numFmtId="0" fontId="26" fillId="27" borderId="50" xfId="0" applyFont="1" applyFill="1" applyBorder="1" applyAlignment="1" applyProtection="1">
      <alignment vertical="center" wrapText="1"/>
      <protection hidden="1"/>
    </xf>
    <xf numFmtId="2" fontId="28" fillId="31" borderId="50" xfId="0" applyNumberFormat="1" applyFont="1" applyFill="1" applyBorder="1" applyAlignment="1" applyProtection="1">
      <alignment horizontal="center" vertical="center"/>
      <protection hidden="1"/>
    </xf>
    <xf numFmtId="0" fontId="28" fillId="31" borderId="58" xfId="0" applyFont="1" applyFill="1" applyBorder="1" applyAlignment="1" applyProtection="1">
      <alignment horizontal="centerContinuous" vertical="center" wrapText="1"/>
      <protection hidden="1"/>
    </xf>
    <xf numFmtId="0" fontId="28" fillId="31" borderId="55" xfId="0" applyFont="1" applyFill="1" applyBorder="1" applyAlignment="1" applyProtection="1">
      <alignment horizontal="centerContinuous" vertical="center" wrapText="1"/>
      <protection hidden="1"/>
    </xf>
    <xf numFmtId="0" fontId="28" fillId="31" borderId="57" xfId="0" applyFont="1" applyFill="1" applyBorder="1" applyAlignment="1" applyProtection="1">
      <alignment horizontal="centerContinuous" vertical="center" wrapText="1"/>
      <protection hidden="1"/>
    </xf>
    <xf numFmtId="0" fontId="28" fillId="31" borderId="10" xfId="0" applyFont="1" applyFill="1" applyBorder="1" applyAlignment="1" applyProtection="1">
      <alignment horizontal="centerContinuous" vertical="center" wrapText="1"/>
      <protection hidden="1"/>
    </xf>
    <xf numFmtId="0" fontId="28" fillId="31" borderId="53" xfId="0" applyFont="1" applyFill="1" applyBorder="1" applyAlignment="1" applyProtection="1">
      <alignment horizontal="centerContinuous" vertical="center" wrapText="1"/>
      <protection hidden="1"/>
    </xf>
    <xf numFmtId="193" fontId="33" fillId="27" borderId="10" xfId="0" applyNumberFormat="1" applyFont="1" applyFill="1" applyBorder="1" applyAlignment="1">
      <alignment horizontal="center" vertical="center"/>
    </xf>
    <xf numFmtId="179" fontId="0" fillId="0" borderId="10" xfId="0" applyNumberFormat="1" applyBorder="1">
      <alignment vertical="center"/>
    </xf>
    <xf numFmtId="193" fontId="33" fillId="27" borderId="0" xfId="0" applyNumberFormat="1" applyFont="1" applyFill="1" applyAlignment="1">
      <alignment horizontal="center" vertical="center"/>
    </xf>
    <xf numFmtId="0" fontId="164" fillId="27" borderId="0" xfId="0" applyFont="1" applyFill="1" applyAlignment="1">
      <alignment horizontal="left" vertical="center"/>
    </xf>
    <xf numFmtId="0" fontId="164" fillId="27" borderId="0" xfId="0" applyFont="1" applyFill="1">
      <alignment vertical="center"/>
    </xf>
    <xf numFmtId="0" fontId="178" fillId="0" borderId="0" xfId="0" applyFont="1" applyAlignment="1" applyProtection="1">
      <alignment horizontal="left" vertical="center"/>
      <protection hidden="1"/>
    </xf>
    <xf numFmtId="0" fontId="0" fillId="0" borderId="0" xfId="0" applyAlignment="1">
      <alignment vertical="top"/>
    </xf>
    <xf numFmtId="0" fontId="26" fillId="61" borderId="16" xfId="0" applyFont="1" applyFill="1" applyBorder="1" applyAlignment="1" applyProtection="1">
      <alignment horizontal="center" vertical="center"/>
      <protection hidden="1"/>
    </xf>
    <xf numFmtId="0" fontId="28" fillId="61" borderId="12" xfId="0" applyFont="1" applyFill="1" applyBorder="1" applyAlignment="1" applyProtection="1">
      <alignment vertical="center" wrapText="1"/>
      <protection hidden="1"/>
    </xf>
    <xf numFmtId="0" fontId="28" fillId="61" borderId="13" xfId="0" applyFont="1" applyFill="1" applyBorder="1" applyAlignment="1" applyProtection="1">
      <alignment vertical="center" wrapText="1"/>
      <protection hidden="1"/>
    </xf>
    <xf numFmtId="0" fontId="28" fillId="61" borderId="14" xfId="0" applyFont="1" applyFill="1" applyBorder="1" applyAlignment="1" applyProtection="1">
      <alignment vertical="center" wrapText="1"/>
      <protection hidden="1"/>
    </xf>
    <xf numFmtId="0" fontId="26" fillId="61" borderId="163" xfId="0" applyFont="1" applyFill="1" applyBorder="1" applyAlignment="1" applyProtection="1">
      <alignment horizontal="center" vertical="center"/>
      <protection hidden="1"/>
    </xf>
    <xf numFmtId="0" fontId="26" fillId="61" borderId="164" xfId="0" applyFont="1" applyFill="1" applyBorder="1" applyAlignment="1" applyProtection="1">
      <alignment horizontal="center" vertical="center"/>
      <protection hidden="1"/>
    </xf>
    <xf numFmtId="181" fontId="33" fillId="0" borderId="76" xfId="0" applyNumberFormat="1" applyFont="1" applyBorder="1" applyAlignment="1" applyProtection="1">
      <alignment horizontal="left" vertical="center"/>
      <protection hidden="1"/>
    </xf>
    <xf numFmtId="0" fontId="64" fillId="0" borderId="67" xfId="0" applyFont="1" applyBorder="1" applyAlignment="1" applyProtection="1">
      <alignment vertical="center" wrapText="1"/>
      <protection hidden="1"/>
    </xf>
    <xf numFmtId="0" fontId="0" fillId="0" borderId="10" xfId="0" applyBorder="1" applyAlignment="1" applyProtection="1">
      <alignment horizontal="left" vertical="center"/>
      <protection hidden="1"/>
    </xf>
    <xf numFmtId="183" fontId="36" fillId="0" borderId="92" xfId="0" applyNumberFormat="1" applyFont="1" applyBorder="1" applyAlignment="1" applyProtection="1">
      <alignment horizontal="center" vertical="center"/>
      <protection locked="0"/>
    </xf>
    <xf numFmtId="191" fontId="122" fillId="54" borderId="26" xfId="35" applyNumberFormat="1" applyFont="1" applyFill="1" applyBorder="1" applyAlignment="1" applyProtection="1">
      <alignment horizontal="center" vertical="center"/>
      <protection hidden="1"/>
    </xf>
    <xf numFmtId="191" fontId="33" fillId="54" borderId="10" xfId="35" applyNumberFormat="1" applyFont="1" applyFill="1" applyBorder="1" applyAlignment="1" applyProtection="1">
      <alignment horizontal="center" vertical="center"/>
      <protection hidden="1"/>
    </xf>
    <xf numFmtId="191" fontId="33" fillId="27" borderId="27" xfId="35" applyNumberFormat="1" applyFont="1" applyFill="1" applyBorder="1" applyAlignment="1" applyProtection="1">
      <alignment horizontal="center" vertical="center"/>
      <protection hidden="1"/>
    </xf>
    <xf numFmtId="191" fontId="122" fillId="54" borderId="26" xfId="0" applyNumberFormat="1" applyFont="1" applyFill="1" applyBorder="1" applyAlignment="1" applyProtection="1">
      <alignment horizontal="center" vertical="center"/>
      <protection hidden="1"/>
    </xf>
    <xf numFmtId="191" fontId="33" fillId="54" borderId="26" xfId="0" applyNumberFormat="1" applyFont="1" applyFill="1" applyBorder="1" applyAlignment="1" applyProtection="1">
      <alignment horizontal="center" vertical="center"/>
      <protection hidden="1"/>
    </xf>
    <xf numFmtId="191" fontId="33" fillId="27" borderId="10" xfId="0" applyNumberFormat="1" applyFont="1" applyFill="1" applyBorder="1" applyAlignment="1" applyProtection="1">
      <alignment horizontal="center"/>
      <protection hidden="1"/>
    </xf>
    <xf numFmtId="191" fontId="33" fillId="42" borderId="10" xfId="35" applyNumberFormat="1" applyFont="1" applyFill="1" applyBorder="1" applyAlignment="1" applyProtection="1">
      <alignment horizontal="center" vertical="center"/>
      <protection hidden="1"/>
    </xf>
    <xf numFmtId="191" fontId="33" fillId="56" borderId="26" xfId="35" applyNumberFormat="1" applyFont="1" applyFill="1" applyBorder="1" applyAlignment="1" applyProtection="1">
      <alignment horizontal="center" vertical="center"/>
      <protection hidden="1"/>
    </xf>
    <xf numFmtId="191" fontId="33" fillId="42" borderId="27" xfId="35" applyNumberFormat="1" applyFont="1" applyFill="1" applyBorder="1" applyAlignment="1" applyProtection="1">
      <alignment horizontal="center" vertical="center"/>
      <protection hidden="1"/>
    </xf>
    <xf numFmtId="191" fontId="33" fillId="54" borderId="26" xfId="35" applyNumberFormat="1" applyFont="1" applyFill="1" applyBorder="1" applyAlignment="1" applyProtection="1">
      <alignment horizontal="center" vertical="center"/>
      <protection hidden="1"/>
    </xf>
    <xf numFmtId="191" fontId="33" fillId="27" borderId="26" xfId="0" applyNumberFormat="1" applyFont="1" applyFill="1" applyBorder="1" applyAlignment="1" applyProtection="1">
      <alignment horizontal="center" vertical="center"/>
      <protection hidden="1"/>
    </xf>
    <xf numFmtId="191" fontId="122" fillId="27" borderId="26" xfId="35" applyNumberFormat="1" applyFont="1" applyFill="1" applyBorder="1" applyAlignment="1" applyProtection="1">
      <alignment horizontal="center"/>
      <protection hidden="1"/>
    </xf>
    <xf numFmtId="191" fontId="33" fillId="27" borderId="27" xfId="35" applyNumberFormat="1" applyFont="1" applyFill="1" applyBorder="1" applyAlignment="1" applyProtection="1">
      <alignment horizontal="center"/>
      <protection hidden="1"/>
    </xf>
    <xf numFmtId="191" fontId="122" fillId="35" borderId="10" xfId="35" applyNumberFormat="1" applyFont="1" applyFill="1" applyBorder="1" applyAlignment="1" applyProtection="1">
      <alignment horizontal="center" vertical="top"/>
      <protection hidden="1"/>
    </xf>
    <xf numFmtId="191" fontId="122" fillId="35" borderId="26" xfId="35" applyNumberFormat="1" applyFont="1" applyFill="1" applyBorder="1" applyAlignment="1" applyProtection="1">
      <alignment horizontal="center" vertical="top"/>
      <protection hidden="1"/>
    </xf>
    <xf numFmtId="191" fontId="122" fillId="35" borderId="27" xfId="0" applyNumberFormat="1" applyFont="1" applyFill="1" applyBorder="1" applyAlignment="1" applyProtection="1">
      <alignment horizontal="center" vertical="top"/>
      <protection hidden="1"/>
    </xf>
    <xf numFmtId="191" fontId="122" fillId="35" borderId="10" xfId="0" applyNumberFormat="1" applyFont="1" applyFill="1" applyBorder="1" applyAlignment="1" applyProtection="1">
      <alignment horizontal="center" vertical="top"/>
      <protection hidden="1"/>
    </xf>
    <xf numFmtId="191" fontId="122" fillId="27" borderId="27" xfId="0" applyNumberFormat="1" applyFont="1" applyFill="1" applyBorder="1" applyAlignment="1" applyProtection="1">
      <alignment horizontal="center"/>
      <protection hidden="1"/>
    </xf>
    <xf numFmtId="191" fontId="122" fillId="27" borderId="10" xfId="0" applyNumberFormat="1" applyFont="1" applyFill="1" applyBorder="1" applyAlignment="1" applyProtection="1">
      <alignment horizontal="center"/>
      <protection hidden="1"/>
    </xf>
    <xf numFmtId="191" fontId="33" fillId="27" borderId="27" xfId="0" applyNumberFormat="1" applyFont="1" applyFill="1" applyBorder="1" applyAlignment="1" applyProtection="1">
      <alignment horizontal="center"/>
      <protection hidden="1"/>
    </xf>
    <xf numFmtId="191" fontId="181" fillId="31" borderId="10" xfId="35" applyNumberFormat="1" applyFont="1" applyFill="1" applyBorder="1" applyAlignment="1" applyProtection="1">
      <alignment horizontal="center" vertical="center"/>
      <protection hidden="1"/>
    </xf>
    <xf numFmtId="191" fontId="182" fillId="27" borderId="10" xfId="35" applyNumberFormat="1" applyFont="1" applyFill="1" applyBorder="1" applyAlignment="1" applyProtection="1">
      <alignment horizontal="center" vertical="center"/>
      <protection hidden="1"/>
    </xf>
    <xf numFmtId="2" fontId="33" fillId="63" borderId="10" xfId="35" applyNumberFormat="1" applyFont="1" applyFill="1" applyBorder="1" applyAlignment="1" applyProtection="1">
      <alignment horizontal="center" vertical="center"/>
      <protection hidden="1"/>
    </xf>
    <xf numFmtId="178" fontId="33" fillId="63" borderId="10" xfId="35" applyNumberFormat="1" applyFont="1" applyFill="1" applyBorder="1" applyAlignment="1" applyProtection="1">
      <alignment horizontal="center" vertical="center"/>
      <protection hidden="1"/>
    </xf>
    <xf numFmtId="191" fontId="181" fillId="27" borderId="10" xfId="35" applyNumberFormat="1" applyFont="1" applyFill="1" applyBorder="1" applyAlignment="1" applyProtection="1">
      <alignment horizontal="center" vertical="center"/>
      <protection hidden="1"/>
    </xf>
    <xf numFmtId="49" fontId="182" fillId="27" borderId="10" xfId="0" applyNumberFormat="1" applyFont="1" applyFill="1" applyBorder="1" applyAlignment="1" applyProtection="1">
      <alignment horizontal="left" vertical="center"/>
      <protection hidden="1"/>
    </xf>
    <xf numFmtId="0" fontId="182" fillId="27" borderId="10" xfId="0" applyFont="1" applyFill="1" applyBorder="1" applyAlignment="1" applyProtection="1">
      <alignment horizontal="left" vertical="center" shrinkToFit="1"/>
      <protection hidden="1"/>
    </xf>
    <xf numFmtId="2" fontId="182" fillId="27" borderId="10" xfId="35" applyNumberFormat="1" applyFont="1" applyFill="1" applyBorder="1" applyAlignment="1" applyProtection="1">
      <alignment horizontal="center" vertical="center"/>
      <protection hidden="1"/>
    </xf>
    <xf numFmtId="191" fontId="181" fillId="27" borderId="10" xfId="35" applyNumberFormat="1" applyFont="1" applyFill="1" applyBorder="1" applyAlignment="1" applyProtection="1">
      <alignment horizontal="center"/>
      <protection hidden="1"/>
    </xf>
    <xf numFmtId="0" fontId="181" fillId="27" borderId="10" xfId="0" applyFont="1" applyFill="1" applyBorder="1" applyAlignment="1" applyProtection="1">
      <alignment horizontal="left" vertical="center" shrinkToFit="1"/>
      <protection hidden="1"/>
    </xf>
    <xf numFmtId="2" fontId="182" fillId="27" borderId="10" xfId="0" applyNumberFormat="1" applyFont="1" applyFill="1" applyBorder="1" applyAlignment="1" applyProtection="1">
      <alignment horizontal="left" vertical="center" shrinkToFit="1"/>
      <protection hidden="1"/>
    </xf>
    <xf numFmtId="191" fontId="182" fillId="27" borderId="10" xfId="35" applyNumberFormat="1" applyFont="1" applyFill="1" applyBorder="1" applyAlignment="1" applyProtection="1">
      <alignment horizontal="center"/>
      <protection hidden="1"/>
    </xf>
    <xf numFmtId="0" fontId="182" fillId="27" borderId="26" xfId="0" applyFont="1" applyFill="1" applyBorder="1" applyAlignment="1" applyProtection="1">
      <alignment horizontal="left" vertical="center" shrinkToFit="1"/>
      <protection hidden="1"/>
    </xf>
    <xf numFmtId="183" fontId="36" fillId="0" borderId="144" xfId="0" applyNumberFormat="1" applyFont="1" applyBorder="1" applyAlignment="1" applyProtection="1">
      <alignment horizontal="center" vertical="center"/>
      <protection locked="0"/>
    </xf>
    <xf numFmtId="183" fontId="29" fillId="0" borderId="92" xfId="0" applyNumberFormat="1" applyFont="1" applyBorder="1" applyAlignment="1" applyProtection="1">
      <alignment horizontal="center" vertical="center"/>
      <protection locked="0"/>
    </xf>
    <xf numFmtId="183" fontId="29" fillId="0" borderId="100" xfId="0" applyNumberFormat="1" applyFont="1" applyBorder="1" applyAlignment="1" applyProtection="1">
      <alignment horizontal="center" vertical="center"/>
      <protection locked="0"/>
    </xf>
    <xf numFmtId="183" fontId="36" fillId="0" borderId="115" xfId="0" applyNumberFormat="1" applyFont="1" applyBorder="1" applyAlignment="1" applyProtection="1">
      <alignment horizontal="center" vertical="center"/>
      <protection locked="0"/>
    </xf>
    <xf numFmtId="183" fontId="36" fillId="0" borderId="100" xfId="0" applyNumberFormat="1" applyFont="1" applyBorder="1" applyAlignment="1" applyProtection="1">
      <alignment horizontal="center" vertical="center"/>
      <protection locked="0"/>
    </xf>
    <xf numFmtId="183" fontId="29" fillId="0" borderId="115" xfId="0" applyNumberFormat="1" applyFont="1" applyBorder="1" applyAlignment="1" applyProtection="1">
      <alignment horizontal="center" vertical="center"/>
      <protection locked="0"/>
    </xf>
    <xf numFmtId="177" fontId="50" fillId="51" borderId="10" xfId="0" applyNumberFormat="1" applyFont="1" applyFill="1" applyBorder="1" applyAlignment="1" applyProtection="1">
      <alignment horizontal="center" vertical="center"/>
      <protection hidden="1"/>
    </xf>
    <xf numFmtId="0" fontId="36" fillId="63" borderId="10" xfId="0" applyFont="1" applyFill="1" applyBorder="1" applyAlignment="1" applyProtection="1">
      <alignment horizontal="center" vertical="center"/>
      <protection hidden="1"/>
    </xf>
    <xf numFmtId="177" fontId="50" fillId="63" borderId="10" xfId="0" applyNumberFormat="1" applyFont="1" applyFill="1" applyBorder="1" applyAlignment="1" applyProtection="1">
      <alignment horizontal="center" vertical="center"/>
      <protection hidden="1"/>
    </xf>
    <xf numFmtId="0" fontId="36" fillId="51" borderId="10" xfId="0" applyFont="1" applyFill="1" applyBorder="1" applyAlignment="1" applyProtection="1">
      <alignment horizontal="center" vertical="center"/>
      <protection hidden="1"/>
    </xf>
    <xf numFmtId="178" fontId="33" fillId="38" borderId="0" xfId="35" applyNumberFormat="1" applyFont="1" applyFill="1" applyBorder="1" applyAlignment="1" applyProtection="1">
      <alignment horizontal="center" vertical="center"/>
      <protection hidden="1"/>
    </xf>
    <xf numFmtId="0" fontId="36" fillId="0" borderId="0" xfId="0" applyFont="1" applyAlignment="1" applyProtection="1">
      <alignment horizontal="center" vertical="justify"/>
      <protection hidden="1"/>
    </xf>
    <xf numFmtId="0" fontId="29" fillId="27" borderId="10" xfId="0" applyFont="1" applyFill="1" applyBorder="1" applyAlignment="1" applyProtection="1">
      <alignment horizontal="center" vertical="center" shrinkToFit="1"/>
      <protection hidden="1"/>
    </xf>
    <xf numFmtId="0" fontId="29" fillId="0" borderId="0" xfId="0" applyFont="1" applyAlignment="1" applyProtection="1">
      <alignment horizontal="center" vertical="justify"/>
      <protection hidden="1"/>
    </xf>
    <xf numFmtId="0" fontId="29" fillId="0" borderId="69" xfId="0" applyFont="1" applyBorder="1" applyAlignment="1" applyProtection="1">
      <alignment horizontal="center" vertical="justify"/>
      <protection hidden="1"/>
    </xf>
    <xf numFmtId="0" fontId="29" fillId="0" borderId="60" xfId="0" applyFont="1" applyBorder="1" applyAlignment="1" applyProtection="1">
      <alignment horizontal="center" vertical="justify"/>
      <protection hidden="1"/>
    </xf>
    <xf numFmtId="0" fontId="29" fillId="0" borderId="66" xfId="0" applyFont="1" applyBorder="1" applyAlignment="1" applyProtection="1">
      <alignment horizontal="center" vertical="justify"/>
      <protection hidden="1"/>
    </xf>
    <xf numFmtId="0" fontId="29" fillId="0" borderId="62" xfId="0" applyFont="1" applyBorder="1" applyAlignment="1" applyProtection="1">
      <alignment horizontal="center" vertical="justify"/>
      <protection hidden="1"/>
    </xf>
    <xf numFmtId="177" fontId="29" fillId="0" borderId="117" xfId="0" applyNumberFormat="1" applyFont="1" applyBorder="1" applyAlignment="1" applyProtection="1">
      <alignment horizontal="center" vertical="justify"/>
      <protection hidden="1"/>
    </xf>
    <xf numFmtId="0" fontId="36" fillId="0" borderId="62" xfId="0" applyFont="1" applyBorder="1" applyAlignment="1" applyProtection="1">
      <alignment horizontal="center" vertical="justify"/>
      <protection hidden="1"/>
    </xf>
    <xf numFmtId="177" fontId="29" fillId="0" borderId="100" xfId="0" applyNumberFormat="1" applyFont="1" applyBorder="1" applyAlignment="1" applyProtection="1">
      <alignment horizontal="center" vertical="justify"/>
      <protection hidden="1"/>
    </xf>
    <xf numFmtId="177" fontId="29" fillId="0" borderId="115" xfId="0" applyNumberFormat="1" applyFont="1" applyBorder="1" applyAlignment="1" applyProtection="1">
      <alignment horizontal="center" vertical="justify"/>
      <protection hidden="1"/>
    </xf>
    <xf numFmtId="177" fontId="29" fillId="0" borderId="92" xfId="0" applyNumberFormat="1" applyFont="1" applyBorder="1" applyAlignment="1" applyProtection="1">
      <alignment horizontal="center" vertical="justify"/>
      <protection hidden="1"/>
    </xf>
    <xf numFmtId="177" fontId="29" fillId="0" borderId="0" xfId="0" applyNumberFormat="1" applyFont="1" applyAlignment="1" applyProtection="1">
      <alignment horizontal="center" vertical="justify"/>
      <protection hidden="1"/>
    </xf>
    <xf numFmtId="0" fontId="46" fillId="0" borderId="0" xfId="0" applyFont="1" applyAlignment="1">
      <alignment horizontal="center" vertical="center"/>
    </xf>
    <xf numFmtId="0" fontId="109" fillId="0" borderId="0" xfId="0" applyFont="1" applyAlignment="1" applyProtection="1">
      <alignment horizontal="center" vertical="top"/>
      <protection hidden="1"/>
    </xf>
    <xf numFmtId="0" fontId="46" fillId="0" borderId="60" xfId="0" applyFont="1" applyBorder="1" applyAlignment="1">
      <alignment horizontal="center" vertical="center"/>
    </xf>
    <xf numFmtId="0" fontId="33" fillId="27" borderId="53" xfId="0" applyFont="1" applyFill="1" applyBorder="1" applyAlignment="1" applyProtection="1">
      <alignment horizontal="left" vertical="center" shrinkToFit="1"/>
      <protection hidden="1"/>
    </xf>
    <xf numFmtId="177" fontId="184" fillId="0" borderId="100" xfId="0" applyNumberFormat="1" applyFont="1" applyBorder="1" applyAlignment="1" applyProtection="1">
      <alignment horizontal="center" vertical="center"/>
      <protection hidden="1"/>
    </xf>
    <xf numFmtId="177" fontId="184" fillId="0" borderId="115" xfId="0" applyNumberFormat="1" applyFont="1" applyBorder="1" applyAlignment="1" applyProtection="1">
      <alignment horizontal="center" vertical="justify"/>
      <protection hidden="1"/>
    </xf>
    <xf numFmtId="177" fontId="184" fillId="0" borderId="118" xfId="0" applyNumberFormat="1" applyFont="1" applyBorder="1" applyAlignment="1" applyProtection="1">
      <alignment horizontal="center" vertical="center"/>
      <protection hidden="1"/>
    </xf>
    <xf numFmtId="177" fontId="184" fillId="0" borderId="116" xfId="0" applyNumberFormat="1" applyFont="1" applyBorder="1" applyAlignment="1" applyProtection="1">
      <alignment horizontal="center" vertical="center"/>
      <protection hidden="1"/>
    </xf>
    <xf numFmtId="2" fontId="26" fillId="0" borderId="10" xfId="0" applyNumberFormat="1" applyFont="1" applyBorder="1" applyAlignment="1" applyProtection="1">
      <alignment horizontal="center" vertical="justify"/>
      <protection hidden="1"/>
    </xf>
    <xf numFmtId="1" fontId="26" fillId="0" borderId="10" xfId="0" applyNumberFormat="1" applyFont="1" applyBorder="1" applyAlignment="1" applyProtection="1">
      <alignment horizontal="center" vertical="justify"/>
      <protection hidden="1"/>
    </xf>
    <xf numFmtId="207" fontId="33" fillId="0" borderId="10" xfId="0" applyNumberFormat="1" applyFont="1" applyBorder="1" applyAlignment="1">
      <alignment vertical="top"/>
    </xf>
    <xf numFmtId="207" fontId="33" fillId="0" borderId="10" xfId="0" applyNumberFormat="1" applyFont="1" applyBorder="1" applyAlignment="1">
      <alignment horizontal="center"/>
    </xf>
    <xf numFmtId="207" fontId="33" fillId="0" borderId="26" xfId="0" applyNumberFormat="1" applyFont="1" applyBorder="1" applyAlignment="1">
      <alignment vertical="top"/>
    </xf>
    <xf numFmtId="207" fontId="33" fillId="0" borderId="50" xfId="0" applyNumberFormat="1" applyFont="1" applyBorder="1" applyAlignment="1">
      <alignment vertical="top"/>
    </xf>
    <xf numFmtId="207" fontId="33" fillId="0" borderId="27" xfId="0" applyNumberFormat="1" applyFont="1" applyBorder="1">
      <alignment vertical="center"/>
    </xf>
    <xf numFmtId="178" fontId="33" fillId="64" borderId="26" xfId="0" applyNumberFormat="1" applyFont="1" applyFill="1" applyBorder="1" applyAlignment="1" applyProtection="1">
      <alignment horizontal="center" vertical="center"/>
      <protection hidden="1"/>
    </xf>
    <xf numFmtId="177" fontId="33" fillId="27" borderId="10" xfId="44" applyNumberFormat="1" applyFont="1" applyFill="1" applyBorder="1" applyAlignment="1">
      <alignment vertical="center"/>
    </xf>
    <xf numFmtId="187" fontId="33" fillId="27" borderId="10" xfId="44" applyNumberFormat="1" applyFont="1" applyFill="1" applyBorder="1" applyAlignment="1">
      <alignment vertical="center"/>
    </xf>
    <xf numFmtId="0" fontId="0" fillId="58" borderId="199" xfId="0" applyFill="1" applyBorder="1">
      <alignment vertical="center"/>
    </xf>
    <xf numFmtId="0" fontId="0" fillId="58" borderId="56" xfId="0" applyFill="1" applyBorder="1">
      <alignment vertical="center"/>
    </xf>
    <xf numFmtId="0" fontId="0" fillId="58" borderId="26" xfId="0" applyFill="1" applyBorder="1">
      <alignment vertical="center"/>
    </xf>
    <xf numFmtId="0" fontId="0" fillId="58" borderId="185" xfId="0" applyFill="1" applyBorder="1">
      <alignment vertical="center"/>
    </xf>
    <xf numFmtId="0" fontId="0" fillId="58" borderId="66" xfId="0" applyFill="1" applyBorder="1">
      <alignment vertical="center"/>
    </xf>
    <xf numFmtId="37" fontId="28" fillId="0" borderId="79" xfId="0" applyNumberFormat="1" applyFont="1" applyBorder="1" applyAlignment="1" applyProtection="1">
      <alignment horizontal="left" vertical="center" shrinkToFit="1"/>
      <protection hidden="1"/>
    </xf>
    <xf numFmtId="0" fontId="33" fillId="0" borderId="53" xfId="44" applyFont="1" applyBorder="1" applyAlignment="1">
      <alignment horizontal="right"/>
    </xf>
    <xf numFmtId="208" fontId="33" fillId="0" borderId="10" xfId="44" applyNumberFormat="1" applyFont="1" applyBorder="1"/>
    <xf numFmtId="208" fontId="33" fillId="0" borderId="0" xfId="44" applyNumberFormat="1" applyFont="1"/>
    <xf numFmtId="0" fontId="28" fillId="0" borderId="10" xfId="44" applyFont="1" applyBorder="1" applyAlignment="1">
      <alignment horizontal="center"/>
    </xf>
    <xf numFmtId="0" fontId="33" fillId="0" borderId="10" xfId="44" applyFont="1" applyBorder="1" applyAlignment="1">
      <alignment horizontal="left" vertical="top"/>
    </xf>
    <xf numFmtId="0" fontId="186" fillId="27" borderId="0" xfId="0" applyFont="1" applyFill="1">
      <alignment vertical="center"/>
    </xf>
    <xf numFmtId="0" fontId="187" fillId="27" borderId="0" xfId="0" applyFont="1" applyFill="1" applyAlignment="1">
      <alignment horizontal="right" vertical="center"/>
    </xf>
    <xf numFmtId="178" fontId="186" fillId="58" borderId="144" xfId="0" applyNumberFormat="1" applyFont="1" applyFill="1" applyBorder="1" applyProtection="1">
      <alignment vertical="center"/>
      <protection locked="0"/>
    </xf>
    <xf numFmtId="0" fontId="28" fillId="27" borderId="10" xfId="0" applyFont="1" applyFill="1" applyBorder="1" applyAlignment="1">
      <alignment vertical="center" wrapText="1"/>
    </xf>
    <xf numFmtId="40" fontId="33" fillId="41" borderId="10" xfId="35" applyNumberFormat="1" applyFont="1" applyFill="1" applyBorder="1" applyAlignment="1" applyProtection="1">
      <alignment horizontal="right" vertical="center"/>
      <protection locked="0"/>
    </xf>
    <xf numFmtId="206" fontId="33" fillId="27" borderId="0" xfId="0" applyNumberFormat="1" applyFont="1" applyFill="1">
      <alignment vertical="center"/>
    </xf>
    <xf numFmtId="2" fontId="33" fillId="27" borderId="0" xfId="28" applyNumberFormat="1" applyFont="1" applyFill="1" applyBorder="1" applyProtection="1">
      <alignment vertical="center"/>
    </xf>
    <xf numFmtId="2" fontId="33" fillId="27" borderId="0" xfId="0" applyNumberFormat="1" applyFont="1" applyFill="1">
      <alignment vertical="center"/>
    </xf>
    <xf numFmtId="0" fontId="175" fillId="27" borderId="0" xfId="0" applyFont="1" applyFill="1">
      <alignment vertical="center"/>
    </xf>
    <xf numFmtId="206" fontId="33" fillId="58" borderId="10" xfId="0" applyNumberFormat="1" applyFont="1" applyFill="1" applyBorder="1" applyProtection="1">
      <alignment vertical="center"/>
      <protection locked="0"/>
    </xf>
    <xf numFmtId="0" fontId="28" fillId="27" borderId="0" xfId="0" applyFont="1" applyFill="1" applyAlignment="1">
      <alignment horizontal="left" vertical="center" wrapText="1"/>
    </xf>
    <xf numFmtId="2" fontId="122" fillId="50" borderId="10" xfId="35" applyNumberFormat="1" applyFont="1" applyFill="1" applyBorder="1" applyAlignment="1" applyProtection="1">
      <alignment horizontal="center" vertical="center"/>
      <protection hidden="1"/>
    </xf>
    <xf numFmtId="2" fontId="33" fillId="50" borderId="10" xfId="35" applyNumberFormat="1" applyFont="1" applyFill="1" applyBorder="1" applyAlignment="1" applyProtection="1">
      <alignment horizontal="center" vertical="center"/>
      <protection hidden="1"/>
    </xf>
    <xf numFmtId="2" fontId="161" fillId="50" borderId="27" xfId="35" applyNumberFormat="1" applyFont="1" applyFill="1" applyBorder="1" applyAlignment="1" applyProtection="1">
      <alignment horizontal="center" vertical="center"/>
      <protection hidden="1"/>
    </xf>
    <xf numFmtId="2" fontId="161" fillId="50" borderId="10" xfId="35" applyNumberFormat="1" applyFont="1" applyFill="1" applyBorder="1" applyAlignment="1" applyProtection="1">
      <alignment horizontal="center" vertical="center"/>
      <protection hidden="1"/>
    </xf>
    <xf numFmtId="0" fontId="37" fillId="27" borderId="0" xfId="0" applyFont="1" applyFill="1" applyAlignment="1">
      <alignment horizontal="right" vertical="center"/>
    </xf>
    <xf numFmtId="0" fontId="28" fillId="31" borderId="26" xfId="0" applyFont="1" applyFill="1" applyBorder="1" applyAlignment="1" applyProtection="1">
      <alignment horizontal="center" vertical="center"/>
      <protection hidden="1"/>
    </xf>
    <xf numFmtId="0" fontId="28" fillId="31" borderId="27" xfId="0" applyFont="1" applyFill="1" applyBorder="1" applyAlignment="1" applyProtection="1">
      <alignment horizontal="center" vertical="center"/>
      <protection hidden="1"/>
    </xf>
    <xf numFmtId="0" fontId="42" fillId="27" borderId="50" xfId="0" applyFont="1" applyFill="1" applyBorder="1" applyAlignment="1" applyProtection="1">
      <alignment horizontal="center" vertical="center" wrapText="1"/>
      <protection hidden="1"/>
    </xf>
    <xf numFmtId="0" fontId="7" fillId="38" borderId="13" xfId="0" applyFont="1" applyFill="1" applyBorder="1">
      <alignment vertical="center"/>
    </xf>
    <xf numFmtId="0" fontId="7" fillId="38" borderId="14" xfId="0" applyFont="1" applyFill="1" applyBorder="1">
      <alignment vertical="center"/>
    </xf>
    <xf numFmtId="0" fontId="7" fillId="38" borderId="167" xfId="0" applyFont="1" applyFill="1" applyBorder="1">
      <alignment vertical="center"/>
    </xf>
    <xf numFmtId="0" fontId="7" fillId="38" borderId="166" xfId="0" applyFont="1" applyFill="1" applyBorder="1">
      <alignment vertical="center"/>
    </xf>
    <xf numFmtId="0" fontId="28" fillId="27" borderId="26" xfId="0" applyFont="1" applyFill="1" applyBorder="1" applyAlignment="1" applyProtection="1">
      <alignment horizontal="center" vertical="center"/>
      <protection hidden="1"/>
    </xf>
    <xf numFmtId="0" fontId="28" fillId="27" borderId="27" xfId="0" applyFont="1" applyFill="1" applyBorder="1" applyAlignment="1" applyProtection="1">
      <alignment horizontal="center" vertical="center"/>
      <protection hidden="1"/>
    </xf>
    <xf numFmtId="0" fontId="7" fillId="27" borderId="173" xfId="0" applyFont="1" applyFill="1" applyBorder="1" applyAlignment="1" applyProtection="1">
      <alignment horizontal="center" vertical="center"/>
      <protection hidden="1"/>
    </xf>
    <xf numFmtId="0" fontId="28" fillId="42" borderId="162" xfId="0" applyFont="1" applyFill="1" applyBorder="1" applyAlignment="1" applyProtection="1">
      <alignment vertical="center" wrapText="1"/>
      <protection hidden="1"/>
    </xf>
    <xf numFmtId="0" fontId="28" fillId="42" borderId="14" xfId="0" applyFont="1" applyFill="1" applyBorder="1" applyAlignment="1" applyProtection="1">
      <alignment vertical="center" wrapText="1"/>
      <protection hidden="1"/>
    </xf>
    <xf numFmtId="0" fontId="28" fillId="42" borderId="166" xfId="0" applyFont="1" applyFill="1" applyBorder="1" applyAlignment="1" applyProtection="1">
      <alignment vertical="center" wrapText="1"/>
      <protection hidden="1"/>
    </xf>
    <xf numFmtId="179" fontId="28" fillId="31" borderId="27" xfId="0" applyNumberFormat="1" applyFont="1" applyFill="1" applyBorder="1" applyAlignment="1" applyProtection="1">
      <alignment horizontal="center" vertical="center"/>
      <protection hidden="1"/>
    </xf>
    <xf numFmtId="0" fontId="28" fillId="31" borderId="151" xfId="0" applyFont="1" applyFill="1" applyBorder="1" applyAlignment="1" applyProtection="1">
      <alignment horizontal="center" vertical="center"/>
      <protection hidden="1"/>
    </xf>
    <xf numFmtId="0" fontId="28" fillId="31" borderId="56" xfId="0" quotePrefix="1" applyFont="1" applyFill="1" applyBorder="1" applyAlignment="1" applyProtection="1">
      <alignment horizontal="center" vertical="center"/>
      <protection hidden="1"/>
    </xf>
    <xf numFmtId="0" fontId="37" fillId="31" borderId="68" xfId="0" applyFont="1" applyFill="1" applyBorder="1" applyAlignment="1" applyProtection="1">
      <alignment vertical="center" wrapText="1"/>
      <protection locked="0" hidden="1"/>
    </xf>
    <xf numFmtId="0" fontId="0" fillId="0" borderId="69" xfId="0" applyBorder="1" applyAlignment="1" applyProtection="1">
      <alignment vertical="center" wrapText="1"/>
      <protection locked="0" hidden="1"/>
    </xf>
    <xf numFmtId="0" fontId="0" fillId="0" borderId="71" xfId="0" applyBorder="1" applyAlignment="1" applyProtection="1">
      <alignment vertical="center" wrapText="1"/>
      <protection locked="0" hidden="1"/>
    </xf>
    <xf numFmtId="0" fontId="28" fillId="27" borderId="26" xfId="0" applyFont="1" applyFill="1" applyBorder="1" applyAlignment="1" applyProtection="1">
      <alignment vertical="center" wrapText="1"/>
      <protection hidden="1"/>
    </xf>
    <xf numFmtId="0" fontId="28" fillId="27" borderId="27" xfId="0" applyFont="1" applyFill="1" applyBorder="1" applyAlignment="1" applyProtection="1">
      <alignment vertical="center" wrapText="1"/>
      <protection hidden="1"/>
    </xf>
    <xf numFmtId="0" fontId="28" fillId="27" borderId="183" xfId="0" applyFont="1" applyFill="1" applyBorder="1" applyAlignment="1" applyProtection="1">
      <alignment horizontal="center" vertical="center"/>
      <protection hidden="1"/>
    </xf>
    <xf numFmtId="0" fontId="28" fillId="27" borderId="118" xfId="0" applyFont="1" applyFill="1" applyBorder="1" applyAlignment="1" applyProtection="1">
      <alignment horizontal="center" vertical="center"/>
      <protection hidden="1"/>
    </xf>
    <xf numFmtId="0" fontId="28" fillId="27" borderId="120" xfId="0" applyFont="1" applyFill="1" applyBorder="1" applyAlignment="1" applyProtection="1">
      <alignment horizontal="center" vertical="center"/>
      <protection hidden="1"/>
    </xf>
    <xf numFmtId="0" fontId="26" fillId="27" borderId="53" xfId="0" applyFont="1" applyFill="1" applyBorder="1" applyAlignment="1" applyProtection="1">
      <alignment horizontal="center" vertical="center"/>
      <protection hidden="1"/>
    </xf>
    <xf numFmtId="193" fontId="26" fillId="27" borderId="53" xfId="0" applyNumberFormat="1" applyFont="1" applyFill="1" applyBorder="1" applyAlignment="1" applyProtection="1">
      <alignment horizontal="center" vertical="center"/>
      <protection hidden="1"/>
    </xf>
    <xf numFmtId="9" fontId="28" fillId="27" borderId="184" xfId="0" applyNumberFormat="1" applyFont="1" applyFill="1" applyBorder="1" applyAlignment="1" applyProtection="1">
      <alignment horizontal="center" vertical="center"/>
      <protection locked="0" hidden="1"/>
    </xf>
    <xf numFmtId="0" fontId="28" fillId="27" borderId="178" xfId="0" applyFont="1" applyFill="1" applyBorder="1" applyProtection="1">
      <alignment vertical="center"/>
      <protection hidden="1"/>
    </xf>
    <xf numFmtId="0" fontId="26" fillId="27" borderId="50" xfId="0" applyFont="1" applyFill="1" applyBorder="1" applyAlignment="1" applyProtection="1">
      <alignment horizontal="center" vertical="top"/>
      <protection hidden="1"/>
    </xf>
    <xf numFmtId="0" fontId="28" fillId="51" borderId="87" xfId="0" applyFont="1" applyFill="1" applyBorder="1">
      <alignment vertical="center"/>
    </xf>
    <xf numFmtId="0" fontId="28" fillId="51" borderId="187" xfId="0" applyFont="1" applyFill="1" applyBorder="1">
      <alignment vertical="center"/>
    </xf>
    <xf numFmtId="0" fontId="28" fillId="51" borderId="13" xfId="0" applyFont="1" applyFill="1" applyBorder="1">
      <alignment vertical="center"/>
    </xf>
    <xf numFmtId="0" fontId="28" fillId="51" borderId="14" xfId="0" applyFont="1" applyFill="1" applyBorder="1">
      <alignment vertical="center"/>
    </xf>
    <xf numFmtId="0" fontId="28" fillId="51" borderId="177" xfId="0" applyFont="1" applyFill="1" applyBorder="1">
      <alignment vertical="center"/>
    </xf>
    <xf numFmtId="0" fontId="28" fillId="51" borderId="167" xfId="0" applyFont="1" applyFill="1" applyBorder="1">
      <alignment vertical="center"/>
    </xf>
    <xf numFmtId="0" fontId="28" fillId="27" borderId="172" xfId="0" applyFont="1" applyFill="1" applyBorder="1" applyProtection="1">
      <alignment vertical="center"/>
      <protection hidden="1"/>
    </xf>
    <xf numFmtId="0" fontId="0" fillId="27" borderId="16" xfId="0" applyFill="1" applyBorder="1" applyAlignment="1" applyProtection="1">
      <alignment horizontal="center" vertical="center" wrapText="1"/>
      <protection hidden="1"/>
    </xf>
    <xf numFmtId="0" fontId="0" fillId="27" borderId="163" xfId="0" applyFill="1" applyBorder="1" applyAlignment="1" applyProtection="1">
      <alignment horizontal="center" vertical="center" wrapText="1"/>
      <protection hidden="1"/>
    </xf>
    <xf numFmtId="0" fontId="189" fillId="38" borderId="0" xfId="0" applyFont="1" applyFill="1" applyProtection="1">
      <alignment vertical="center"/>
      <protection hidden="1"/>
    </xf>
    <xf numFmtId="0" fontId="190" fillId="38" borderId="0" xfId="0" applyFont="1" applyFill="1">
      <alignment vertical="center"/>
    </xf>
    <xf numFmtId="0" fontId="190" fillId="0" borderId="57" xfId="0" applyFont="1" applyBorder="1">
      <alignment vertical="center"/>
    </xf>
    <xf numFmtId="0" fontId="190" fillId="0" borderId="0" xfId="0" applyFont="1">
      <alignment vertical="center"/>
    </xf>
    <xf numFmtId="0" fontId="189" fillId="27" borderId="50" xfId="0" applyFont="1" applyFill="1" applyBorder="1" applyAlignment="1" applyProtection="1">
      <alignment horizontal="center" vertical="center"/>
      <protection hidden="1"/>
    </xf>
    <xf numFmtId="0" fontId="189" fillId="27" borderId="51" xfId="0" applyFont="1" applyFill="1" applyBorder="1" applyAlignment="1" applyProtection="1">
      <alignment horizontal="center" vertical="center"/>
      <protection hidden="1"/>
    </xf>
    <xf numFmtId="0" fontId="189" fillId="27" borderId="161" xfId="0" applyFont="1" applyFill="1" applyBorder="1" applyAlignment="1" applyProtection="1">
      <alignment horizontal="left" vertical="center"/>
      <protection hidden="1"/>
    </xf>
    <xf numFmtId="0" fontId="189" fillId="27" borderId="162" xfId="0" applyFont="1" applyFill="1" applyBorder="1" applyAlignment="1" applyProtection="1">
      <alignment horizontal="left" vertical="center"/>
      <protection hidden="1"/>
    </xf>
    <xf numFmtId="0" fontId="189" fillId="27" borderId="160" xfId="0" applyFont="1" applyFill="1" applyBorder="1" applyAlignment="1" applyProtection="1">
      <alignment horizontal="left" vertical="center"/>
      <protection hidden="1"/>
    </xf>
    <xf numFmtId="0" fontId="190" fillId="27" borderId="16" xfId="0" applyFont="1" applyFill="1" applyBorder="1" applyAlignment="1" applyProtection="1">
      <alignment horizontal="center" vertical="center"/>
      <protection hidden="1"/>
    </xf>
    <xf numFmtId="0" fontId="192" fillId="39" borderId="169" xfId="0" applyFont="1" applyFill="1" applyBorder="1" applyAlignment="1" applyProtection="1">
      <alignment horizontal="center" vertical="center"/>
      <protection locked="0" hidden="1"/>
    </xf>
    <xf numFmtId="0" fontId="189" fillId="27" borderId="13" xfId="0" applyFont="1" applyFill="1" applyBorder="1" applyAlignment="1" applyProtection="1">
      <alignment horizontal="left" vertical="center"/>
      <protection hidden="1"/>
    </xf>
    <xf numFmtId="0" fontId="189" fillId="27" borderId="14" xfId="0" applyFont="1" applyFill="1" applyBorder="1" applyAlignment="1" applyProtection="1">
      <alignment horizontal="left" vertical="center"/>
      <protection hidden="1"/>
    </xf>
    <xf numFmtId="0" fontId="189" fillId="27" borderId="12" xfId="0" applyFont="1" applyFill="1" applyBorder="1" applyAlignment="1" applyProtection="1">
      <alignment horizontal="left" vertical="center"/>
      <protection hidden="1"/>
    </xf>
    <xf numFmtId="0" fontId="190" fillId="27" borderId="11" xfId="0" applyFont="1" applyFill="1" applyBorder="1" applyAlignment="1" applyProtection="1">
      <alignment horizontal="center" vertical="center"/>
      <protection hidden="1"/>
    </xf>
    <xf numFmtId="0" fontId="192" fillId="39" borderId="170" xfId="0" applyFont="1" applyFill="1" applyBorder="1" applyAlignment="1" applyProtection="1">
      <alignment horizontal="center" vertical="center"/>
      <protection locked="0" hidden="1"/>
    </xf>
    <xf numFmtId="0" fontId="189" fillId="27" borderId="167" xfId="0" applyFont="1" applyFill="1" applyBorder="1" applyAlignment="1" applyProtection="1">
      <alignment horizontal="left" vertical="center"/>
      <protection hidden="1"/>
    </xf>
    <xf numFmtId="0" fontId="189" fillId="27" borderId="166" xfId="0" applyFont="1" applyFill="1" applyBorder="1" applyAlignment="1" applyProtection="1">
      <alignment horizontal="left" vertical="center"/>
      <protection hidden="1"/>
    </xf>
    <xf numFmtId="0" fontId="189" fillId="27" borderId="165" xfId="0" applyFont="1" applyFill="1" applyBorder="1" applyAlignment="1" applyProtection="1">
      <alignment horizontal="left" vertical="center"/>
      <protection hidden="1"/>
    </xf>
    <xf numFmtId="0" fontId="190" fillId="27" borderId="173" xfId="0" applyFont="1" applyFill="1" applyBorder="1" applyAlignment="1" applyProtection="1">
      <alignment horizontal="center" vertical="center"/>
      <protection hidden="1"/>
    </xf>
    <xf numFmtId="0" fontId="193" fillId="27" borderId="50" xfId="0" applyFont="1" applyFill="1" applyBorder="1" applyAlignment="1" applyProtection="1">
      <alignment vertical="center" wrapText="1"/>
      <protection hidden="1"/>
    </xf>
    <xf numFmtId="0" fontId="191" fillId="27" borderId="50" xfId="0" applyFont="1" applyFill="1" applyBorder="1" applyAlignment="1" applyProtection="1">
      <alignment horizontal="center" vertical="center" wrapText="1"/>
      <protection hidden="1"/>
    </xf>
    <xf numFmtId="0" fontId="192" fillId="27" borderId="169" xfId="0" applyFont="1" applyFill="1" applyBorder="1" applyAlignment="1" applyProtection="1">
      <alignment horizontal="center" vertical="center"/>
      <protection locked="0" hidden="1"/>
    </xf>
    <xf numFmtId="0" fontId="192" fillId="27" borderId="170" xfId="0" applyFont="1" applyFill="1" applyBorder="1" applyAlignment="1" applyProtection="1">
      <alignment horizontal="center" vertical="center"/>
      <protection locked="0" hidden="1"/>
    </xf>
    <xf numFmtId="0" fontId="194" fillId="0" borderId="0" xfId="0" applyFont="1">
      <alignment vertical="center"/>
    </xf>
    <xf numFmtId="0" fontId="28" fillId="65" borderId="50" xfId="0" applyFont="1" applyFill="1" applyBorder="1">
      <alignment vertical="center"/>
    </xf>
    <xf numFmtId="0" fontId="24" fillId="65" borderId="50" xfId="0" applyFont="1" applyFill="1" applyBorder="1" applyAlignment="1" applyProtection="1">
      <alignment horizontal="center" vertical="center"/>
      <protection hidden="1"/>
    </xf>
    <xf numFmtId="0" fontId="28" fillId="27" borderId="86" xfId="0" applyFont="1" applyFill="1" applyBorder="1" applyProtection="1">
      <alignment vertical="center"/>
      <protection hidden="1"/>
    </xf>
    <xf numFmtId="0" fontId="28" fillId="51" borderId="50" xfId="0" applyFont="1" applyFill="1" applyBorder="1" applyAlignment="1" applyProtection="1">
      <alignment horizontal="center" vertical="center"/>
      <protection hidden="1"/>
    </xf>
    <xf numFmtId="0" fontId="7" fillId="51" borderId="13" xfId="0" applyFont="1" applyFill="1" applyBorder="1">
      <alignment vertical="center"/>
    </xf>
    <xf numFmtId="0" fontId="7" fillId="51" borderId="0" xfId="0" applyFont="1" applyFill="1">
      <alignment vertical="center"/>
    </xf>
    <xf numFmtId="0" fontId="28" fillId="51" borderId="12" xfId="0" applyFont="1" applyFill="1" applyBorder="1" applyProtection="1">
      <alignment vertical="center"/>
      <protection hidden="1"/>
    </xf>
    <xf numFmtId="0" fontId="7" fillId="51" borderId="14" xfId="0" applyFont="1" applyFill="1" applyBorder="1">
      <alignment vertical="center"/>
    </xf>
    <xf numFmtId="0" fontId="28" fillId="51" borderId="64" xfId="0" applyFont="1" applyFill="1" applyBorder="1" applyProtection="1">
      <alignment vertical="center"/>
      <protection hidden="1"/>
    </xf>
    <xf numFmtId="0" fontId="7" fillId="51" borderId="17" xfId="0" applyFont="1" applyFill="1" applyBorder="1">
      <alignment vertical="center"/>
    </xf>
    <xf numFmtId="0" fontId="28" fillId="51" borderId="13" xfId="0" applyFont="1" applyFill="1" applyBorder="1" applyProtection="1">
      <alignment vertical="center"/>
      <protection hidden="1"/>
    </xf>
    <xf numFmtId="0" fontId="28" fillId="51" borderId="0" xfId="0" applyFont="1" applyFill="1" applyProtection="1">
      <alignment vertical="center"/>
      <protection hidden="1"/>
    </xf>
    <xf numFmtId="0" fontId="28" fillId="51" borderId="162" xfId="0" applyFont="1" applyFill="1" applyBorder="1" applyAlignment="1" applyProtection="1">
      <alignment vertical="center" wrapText="1"/>
      <protection hidden="1"/>
    </xf>
    <xf numFmtId="0" fontId="7" fillId="51" borderId="14" xfId="0" applyFont="1" applyFill="1" applyBorder="1" applyAlignment="1">
      <alignment vertical="center" wrapText="1"/>
    </xf>
    <xf numFmtId="0" fontId="7" fillId="51" borderId="166" xfId="0" applyFont="1" applyFill="1" applyBorder="1" applyAlignment="1">
      <alignment vertical="center" wrapText="1"/>
    </xf>
    <xf numFmtId="0" fontId="0" fillId="51" borderId="53" xfId="0" applyFill="1" applyBorder="1">
      <alignment vertical="center"/>
    </xf>
    <xf numFmtId="0" fontId="0" fillId="51" borderId="0" xfId="0" applyFill="1">
      <alignment vertical="center"/>
    </xf>
    <xf numFmtId="0" fontId="0" fillId="51" borderId="57" xfId="0" applyFill="1" applyBorder="1">
      <alignment vertical="center"/>
    </xf>
    <xf numFmtId="0" fontId="7" fillId="51" borderId="166" xfId="0" applyFont="1" applyFill="1" applyBorder="1">
      <alignment vertical="center"/>
    </xf>
    <xf numFmtId="193" fontId="26" fillId="27" borderId="10" xfId="0" applyNumberFormat="1" applyFont="1" applyFill="1" applyBorder="1" applyAlignment="1" applyProtection="1">
      <alignment horizontal="center" vertical="center"/>
      <protection hidden="1"/>
    </xf>
    <xf numFmtId="193" fontId="26" fillId="31" borderId="144" xfId="0" applyNumberFormat="1" applyFont="1" applyFill="1" applyBorder="1" applyAlignment="1" applyProtection="1">
      <alignment horizontal="center" vertical="center"/>
      <protection locked="0"/>
    </xf>
    <xf numFmtId="9" fontId="28" fillId="27" borderId="92" xfId="0" applyNumberFormat="1" applyFont="1" applyFill="1" applyBorder="1" applyAlignment="1" applyProtection="1">
      <alignment horizontal="center" vertical="center"/>
      <protection locked="0" hidden="1"/>
    </xf>
    <xf numFmtId="9" fontId="28" fillId="27" borderId="115" xfId="0" applyNumberFormat="1" applyFont="1" applyFill="1" applyBorder="1" applyAlignment="1" applyProtection="1">
      <alignment horizontal="center" vertical="center"/>
      <protection locked="0" hidden="1"/>
    </xf>
    <xf numFmtId="0" fontId="7" fillId="51" borderId="50" xfId="0" applyFont="1" applyFill="1" applyBorder="1">
      <alignment vertical="center"/>
    </xf>
    <xf numFmtId="0" fontId="26" fillId="51" borderId="27" xfId="0" applyFont="1" applyFill="1" applyBorder="1" applyAlignment="1" applyProtection="1">
      <alignment horizontal="center" vertical="center" wrapText="1"/>
      <protection hidden="1"/>
    </xf>
    <xf numFmtId="0" fontId="42" fillId="51" borderId="56" xfId="0" applyFont="1" applyFill="1" applyBorder="1" applyAlignment="1" applyProtection="1">
      <alignment horizontal="center" vertical="center" wrapText="1"/>
      <protection hidden="1"/>
    </xf>
    <xf numFmtId="0" fontId="28" fillId="51" borderId="161" xfId="0" applyFont="1" applyFill="1" applyBorder="1" applyAlignment="1" applyProtection="1">
      <alignment vertical="center" wrapText="1"/>
      <protection hidden="1"/>
    </xf>
    <xf numFmtId="0" fontId="26" fillId="51" borderId="159" xfId="0" applyFont="1" applyFill="1" applyBorder="1" applyAlignment="1" applyProtection="1">
      <alignment horizontal="center" vertical="center"/>
      <protection hidden="1"/>
    </xf>
    <xf numFmtId="0" fontId="7" fillId="51" borderId="13" xfId="0" applyFont="1" applyFill="1" applyBorder="1" applyAlignment="1">
      <alignment vertical="center" wrapText="1"/>
    </xf>
    <xf numFmtId="0" fontId="26" fillId="51" borderId="163" xfId="0" applyFont="1" applyFill="1" applyBorder="1" applyAlignment="1" applyProtection="1">
      <alignment horizontal="center" vertical="center"/>
      <protection hidden="1"/>
    </xf>
    <xf numFmtId="0" fontId="7" fillId="51" borderId="167" xfId="0" applyFont="1" applyFill="1" applyBorder="1" applyAlignment="1">
      <alignment vertical="center" wrapText="1"/>
    </xf>
    <xf numFmtId="0" fontId="26" fillId="51" borderId="164" xfId="0" applyFont="1" applyFill="1" applyBorder="1" applyAlignment="1" applyProtection="1">
      <alignment horizontal="center" vertical="center"/>
      <protection hidden="1"/>
    </xf>
    <xf numFmtId="0" fontId="7" fillId="51" borderId="167" xfId="0" applyFont="1" applyFill="1" applyBorder="1" applyAlignment="1">
      <alignment horizontal="centerContinuous" vertical="center" wrapText="1"/>
    </xf>
    <xf numFmtId="0" fontId="7" fillId="51" borderId="166" xfId="0" applyFont="1" applyFill="1" applyBorder="1" applyAlignment="1">
      <alignment horizontal="centerContinuous" vertical="center" wrapText="1"/>
    </xf>
    <xf numFmtId="0" fontId="28" fillId="51" borderId="165" xfId="0" applyFont="1" applyFill="1" applyBorder="1" applyAlignment="1" applyProtection="1">
      <alignment horizontal="left" vertical="center"/>
      <protection hidden="1"/>
    </xf>
    <xf numFmtId="0" fontId="28" fillId="51" borderId="160" xfId="0" applyFont="1" applyFill="1" applyBorder="1" applyAlignment="1" applyProtection="1">
      <alignment horizontal="left" vertical="center"/>
      <protection hidden="1"/>
    </xf>
    <xf numFmtId="0" fontId="28" fillId="51" borderId="12" xfId="0" applyFont="1" applyFill="1" applyBorder="1" applyAlignment="1" applyProtection="1">
      <alignment horizontal="left" vertical="center"/>
      <protection hidden="1"/>
    </xf>
    <xf numFmtId="0" fontId="28" fillId="27" borderId="183" xfId="0" applyFont="1" applyFill="1" applyBorder="1" applyProtection="1">
      <alignment vertical="center"/>
      <protection hidden="1"/>
    </xf>
    <xf numFmtId="0" fontId="28" fillId="27" borderId="118" xfId="0" applyFont="1" applyFill="1" applyBorder="1" applyProtection="1">
      <alignment vertical="center"/>
      <protection hidden="1"/>
    </xf>
    <xf numFmtId="193" fontId="26" fillId="51" borderId="51" xfId="0" applyNumberFormat="1" applyFont="1" applyFill="1" applyBorder="1" applyAlignment="1">
      <alignment horizontal="center" vertical="center"/>
    </xf>
    <xf numFmtId="193" fontId="191" fillId="51" borderId="10" xfId="0" applyNumberFormat="1" applyFont="1" applyFill="1" applyBorder="1" applyAlignment="1">
      <alignment horizontal="center" vertical="center"/>
    </xf>
    <xf numFmtId="0" fontId="189" fillId="27" borderId="50" xfId="0" applyFont="1" applyFill="1" applyBorder="1" applyAlignment="1" applyProtection="1">
      <alignment horizontal="left" vertical="center"/>
      <protection hidden="1"/>
    </xf>
    <xf numFmtId="0" fontId="189" fillId="27" borderId="26" xfId="0" applyFont="1" applyFill="1" applyBorder="1" applyAlignment="1" applyProtection="1">
      <alignment horizontal="left" vertical="center"/>
      <protection hidden="1"/>
    </xf>
    <xf numFmtId="0" fontId="192" fillId="39" borderId="206" xfId="0" applyFont="1" applyFill="1" applyBorder="1" applyAlignment="1" applyProtection="1">
      <alignment horizontal="center" vertical="center"/>
      <protection locked="0" hidden="1"/>
    </xf>
    <xf numFmtId="0" fontId="192" fillId="27" borderId="206" xfId="0" applyFont="1" applyFill="1" applyBorder="1" applyAlignment="1" applyProtection="1">
      <alignment horizontal="center" vertical="center"/>
      <protection locked="0" hidden="1"/>
    </xf>
    <xf numFmtId="0" fontId="28" fillId="66" borderId="26" xfId="0" applyFont="1" applyFill="1" applyBorder="1" applyAlignment="1" applyProtection="1">
      <alignment horizontal="centerContinuous" vertical="center"/>
      <protection hidden="1"/>
    </xf>
    <xf numFmtId="0" fontId="28" fillId="66" borderId="50" xfId="0" applyFont="1" applyFill="1" applyBorder="1" applyAlignment="1" applyProtection="1">
      <alignment horizontal="centerContinuous" vertical="center"/>
      <protection hidden="1"/>
    </xf>
    <xf numFmtId="49" fontId="33" fillId="0" borderId="0" xfId="35" applyNumberFormat="1" applyFont="1" applyFill="1" applyBorder="1" applyAlignment="1" applyProtection="1">
      <alignment horizontal="center"/>
    </xf>
    <xf numFmtId="178" fontId="33" fillId="0" borderId="0" xfId="35" applyNumberFormat="1" applyFont="1" applyFill="1" applyBorder="1" applyAlignment="1" applyProtection="1"/>
    <xf numFmtId="187" fontId="33" fillId="0" borderId="0" xfId="35" applyNumberFormat="1" applyFont="1" applyFill="1" applyBorder="1" applyAlignment="1" applyProtection="1"/>
    <xf numFmtId="40" fontId="33" fillId="27" borderId="10" xfId="35" applyNumberFormat="1" applyFont="1" applyFill="1" applyBorder="1" applyAlignment="1" applyProtection="1">
      <alignment horizontal="center"/>
    </xf>
    <xf numFmtId="40" fontId="33" fillId="27" borderId="27" xfId="35" applyNumberFormat="1" applyFont="1" applyFill="1" applyBorder="1" applyAlignment="1" applyProtection="1">
      <alignment horizontal="center"/>
    </xf>
    <xf numFmtId="40" fontId="33" fillId="27" borderId="10" xfId="35" applyNumberFormat="1" applyFont="1" applyFill="1" applyBorder="1" applyAlignment="1" applyProtection="1">
      <alignment horizontal="center" vertical="center"/>
    </xf>
    <xf numFmtId="0" fontId="33" fillId="27" borderId="50" xfId="0" applyFont="1" applyFill="1" applyBorder="1" applyAlignment="1">
      <alignment horizontal="left" vertical="center" shrinkToFit="1"/>
    </xf>
    <xf numFmtId="49" fontId="33" fillId="27" borderId="10" xfId="0" applyNumberFormat="1" applyFont="1" applyFill="1" applyBorder="1" applyAlignment="1">
      <alignment horizontal="left" vertical="center"/>
    </xf>
    <xf numFmtId="209" fontId="33" fillId="27" borderId="10" xfId="35" applyNumberFormat="1" applyFont="1" applyFill="1" applyBorder="1" applyAlignment="1" applyProtection="1">
      <alignment horizontal="center" vertical="center"/>
    </xf>
    <xf numFmtId="210" fontId="33" fillId="27" borderId="10" xfId="35" applyNumberFormat="1" applyFont="1" applyFill="1" applyBorder="1" applyAlignment="1" applyProtection="1">
      <alignment horizontal="center" vertical="center"/>
    </xf>
    <xf numFmtId="183" fontId="29" fillId="0" borderId="117" xfId="0" applyNumberFormat="1" applyFont="1" applyBorder="1" applyAlignment="1">
      <alignment horizontal="center" vertical="center"/>
    </xf>
    <xf numFmtId="183" fontId="29" fillId="0" borderId="65" xfId="0" applyNumberFormat="1" applyFont="1" applyBorder="1" applyAlignment="1">
      <alignment horizontal="center" vertical="center"/>
    </xf>
    <xf numFmtId="0" fontId="0" fillId="0" borderId="100" xfId="0" applyBorder="1">
      <alignment vertical="center"/>
    </xf>
    <xf numFmtId="0" fontId="33" fillId="27" borderId="51" xfId="0" applyFont="1" applyFill="1" applyBorder="1" applyAlignment="1">
      <alignment horizontal="center" vertical="center"/>
    </xf>
    <xf numFmtId="0" fontId="127" fillId="27" borderId="64" xfId="29" applyNumberFormat="1" applyFont="1" applyFill="1" applyBorder="1" applyAlignment="1" applyProtection="1">
      <alignment horizontal="center" vertical="center"/>
    </xf>
    <xf numFmtId="0" fontId="139" fillId="27" borderId="62" xfId="0" applyFont="1" applyFill="1" applyBorder="1" applyAlignment="1">
      <alignment horizontal="center"/>
    </xf>
    <xf numFmtId="188" fontId="33" fillId="27" borderId="10" xfId="35" applyNumberFormat="1" applyFont="1" applyFill="1" applyBorder="1" applyAlignment="1" applyProtection="1"/>
    <xf numFmtId="187" fontId="33" fillId="27" borderId="10" xfId="35" applyNumberFormat="1" applyFont="1" applyFill="1" applyBorder="1" applyAlignment="1" applyProtection="1">
      <alignment horizontal="right"/>
    </xf>
    <xf numFmtId="0" fontId="122" fillId="31" borderId="10" xfId="0" applyFont="1" applyFill="1" applyBorder="1" applyAlignment="1">
      <alignment horizontal="left" vertical="center"/>
    </xf>
    <xf numFmtId="183" fontId="29" fillId="0" borderId="114" xfId="0" applyNumberFormat="1" applyFont="1" applyBorder="1" applyAlignment="1">
      <alignment horizontal="center" vertical="center"/>
    </xf>
    <xf numFmtId="183" fontId="29" fillId="0" borderId="59" xfId="0" applyNumberFormat="1" applyFont="1" applyBorder="1" applyAlignment="1">
      <alignment horizontal="center" vertical="center"/>
    </xf>
    <xf numFmtId="49" fontId="33" fillId="27" borderId="10" xfId="0" applyNumberFormat="1" applyFont="1" applyFill="1" applyBorder="1">
      <alignment vertical="center"/>
    </xf>
    <xf numFmtId="209" fontId="33" fillId="27" borderId="10" xfId="35" applyNumberFormat="1" applyFont="1" applyFill="1" applyBorder="1" applyAlignment="1" applyProtection="1">
      <alignment horizontal="center"/>
    </xf>
    <xf numFmtId="210" fontId="33" fillId="27" borderId="10" xfId="35" applyNumberFormat="1" applyFont="1" applyFill="1" applyBorder="1" applyAlignment="1" applyProtection="1">
      <alignment horizontal="center"/>
    </xf>
    <xf numFmtId="183" fontId="36" fillId="27" borderId="92" xfId="0" applyNumberFormat="1" applyFont="1" applyFill="1" applyBorder="1" applyAlignment="1">
      <alignment horizontal="center" vertical="center"/>
    </xf>
    <xf numFmtId="183" fontId="36" fillId="27" borderId="114" xfId="0" applyNumberFormat="1" applyFont="1" applyFill="1" applyBorder="1" applyAlignment="1">
      <alignment horizontal="center" vertical="center"/>
    </xf>
    <xf numFmtId="183" fontId="36" fillId="27" borderId="59" xfId="0" applyNumberFormat="1" applyFont="1" applyFill="1" applyBorder="1" applyAlignment="1">
      <alignment horizontal="center" vertical="center"/>
    </xf>
    <xf numFmtId="0" fontId="125" fillId="27" borderId="57" xfId="0" applyFont="1" applyFill="1" applyBorder="1">
      <alignment vertical="center"/>
    </xf>
    <xf numFmtId="0" fontId="122" fillId="27" borderId="57" xfId="0" applyFont="1" applyFill="1" applyBorder="1" applyAlignment="1">
      <alignment horizontal="left" vertical="center"/>
    </xf>
    <xf numFmtId="0" fontId="33" fillId="27" borderId="50" xfId="0" applyFont="1" applyFill="1" applyBorder="1" applyAlignment="1">
      <alignment horizontal="left" vertical="center"/>
    </xf>
    <xf numFmtId="0" fontId="24" fillId="27" borderId="52" xfId="0" applyFont="1" applyFill="1" applyBorder="1">
      <alignment vertical="center"/>
    </xf>
    <xf numFmtId="0" fontId="125" fillId="27" borderId="50" xfId="0" applyFont="1" applyFill="1" applyBorder="1">
      <alignment vertical="center"/>
    </xf>
    <xf numFmtId="183" fontId="29" fillId="0" borderId="119" xfId="0" applyNumberFormat="1" applyFont="1" applyBorder="1" applyAlignment="1">
      <alignment horizontal="center" vertical="center"/>
    </xf>
    <xf numFmtId="183" fontId="29" fillId="0" borderId="62" xfId="0" applyNumberFormat="1" applyFont="1" applyBorder="1" applyAlignment="1">
      <alignment horizontal="center" vertical="center"/>
    </xf>
    <xf numFmtId="40" fontId="33" fillId="27" borderId="27" xfId="35" applyNumberFormat="1" applyFont="1" applyFill="1" applyBorder="1" applyAlignment="1" applyProtection="1">
      <alignment horizontal="center" vertical="center"/>
    </xf>
    <xf numFmtId="0" fontId="33" fillId="27" borderId="10" xfId="0" applyFont="1" applyFill="1" applyBorder="1" applyAlignment="1">
      <alignment horizontal="left" vertical="center"/>
    </xf>
    <xf numFmtId="183" fontId="36" fillId="27" borderId="115" xfId="0" applyNumberFormat="1" applyFont="1" applyFill="1" applyBorder="1" applyAlignment="1">
      <alignment horizontal="center" vertical="center"/>
    </xf>
    <xf numFmtId="183" fontId="36" fillId="27" borderId="117" xfId="0" applyNumberFormat="1" applyFont="1" applyFill="1" applyBorder="1" applyAlignment="1">
      <alignment horizontal="center" vertical="center"/>
    </xf>
    <xf numFmtId="183" fontId="36" fillId="27" borderId="65" xfId="0" applyNumberFormat="1" applyFont="1" applyFill="1" applyBorder="1" applyAlignment="1">
      <alignment horizontal="center" vertical="center"/>
    </xf>
    <xf numFmtId="0" fontId="125" fillId="27" borderId="0" xfId="0" applyFont="1" applyFill="1">
      <alignment vertical="center"/>
    </xf>
    <xf numFmtId="0" fontId="122" fillId="27" borderId="0" xfId="0" applyFont="1" applyFill="1" applyAlignment="1">
      <alignment horizontal="left" vertical="center"/>
    </xf>
    <xf numFmtId="0" fontId="33" fillId="27" borderId="57" xfId="0" applyFont="1" applyFill="1" applyBorder="1" applyAlignment="1">
      <alignment horizontal="left" vertical="center"/>
    </xf>
    <xf numFmtId="0" fontId="24" fillId="27" borderId="62" xfId="0" applyFont="1" applyFill="1" applyBorder="1">
      <alignment vertical="center"/>
    </xf>
    <xf numFmtId="40" fontId="122" fillId="27" borderId="10" xfId="35" applyNumberFormat="1" applyFont="1" applyFill="1" applyBorder="1" applyAlignment="1" applyProtection="1">
      <alignment horizontal="center"/>
    </xf>
    <xf numFmtId="40" fontId="122" fillId="27" borderId="27" xfId="35" applyNumberFormat="1" applyFont="1" applyFill="1" applyBorder="1" applyAlignment="1" applyProtection="1">
      <alignment horizontal="center"/>
    </xf>
    <xf numFmtId="0" fontId="122" fillId="27" borderId="10" xfId="0" applyFont="1" applyFill="1" applyBorder="1" applyAlignment="1">
      <alignment horizontal="left" vertical="center" shrinkToFit="1"/>
    </xf>
    <xf numFmtId="49" fontId="122" fillId="27" borderId="10" xfId="0" applyNumberFormat="1" applyFont="1" applyFill="1" applyBorder="1" applyAlignment="1">
      <alignment horizontal="left" vertical="center"/>
    </xf>
    <xf numFmtId="49" fontId="122" fillId="27" borderId="10" xfId="0" applyNumberFormat="1" applyFont="1" applyFill="1" applyBorder="1">
      <alignment vertical="center"/>
    </xf>
    <xf numFmtId="209" fontId="122" fillId="27" borderId="10" xfId="35" applyNumberFormat="1" applyFont="1" applyFill="1" applyBorder="1" applyAlignment="1" applyProtection="1">
      <alignment horizontal="center"/>
    </xf>
    <xf numFmtId="210" fontId="122" fillId="27" borderId="10" xfId="35" applyNumberFormat="1" applyFont="1" applyFill="1" applyBorder="1" applyAlignment="1" applyProtection="1">
      <alignment horizontal="center"/>
    </xf>
    <xf numFmtId="183" fontId="36" fillId="27" borderId="96" xfId="0" applyNumberFormat="1" applyFont="1" applyFill="1" applyBorder="1" applyAlignment="1">
      <alignment horizontal="center" vertical="center"/>
    </xf>
    <xf numFmtId="183" fontId="36" fillId="27" borderId="221" xfId="0" applyNumberFormat="1" applyFont="1" applyFill="1" applyBorder="1" applyAlignment="1">
      <alignment horizontal="center" vertical="center"/>
    </xf>
    <xf numFmtId="183" fontId="36" fillId="27" borderId="77" xfId="0" applyNumberFormat="1" applyFont="1" applyFill="1" applyBorder="1" applyAlignment="1">
      <alignment horizontal="center" vertical="center"/>
    </xf>
    <xf numFmtId="0" fontId="122" fillId="27" borderId="50" xfId="0" applyFont="1" applyFill="1" applyBorder="1" applyAlignment="1">
      <alignment horizontal="left" vertical="center"/>
    </xf>
    <xf numFmtId="0" fontId="24" fillId="27" borderId="89" xfId="0" applyFont="1" applyFill="1" applyBorder="1">
      <alignment vertical="center"/>
    </xf>
    <xf numFmtId="188" fontId="122" fillId="27" borderId="10" xfId="35" applyNumberFormat="1" applyFont="1" applyFill="1" applyBorder="1" applyAlignment="1" applyProtection="1"/>
    <xf numFmtId="187" fontId="122" fillId="27" borderId="10" xfId="35" applyNumberFormat="1" applyFont="1" applyFill="1" applyBorder="1" applyAlignment="1" applyProtection="1">
      <alignment horizontal="right"/>
    </xf>
    <xf numFmtId="0" fontId="33" fillId="27" borderId="26" xfId="0" applyFont="1" applyFill="1" applyBorder="1" applyAlignment="1">
      <alignment horizontal="left" vertical="center" shrinkToFit="1"/>
    </xf>
    <xf numFmtId="183" fontId="29" fillId="0" borderId="100" xfId="0" applyNumberFormat="1" applyFont="1" applyBorder="1" applyAlignment="1">
      <alignment horizontal="center" vertical="center"/>
    </xf>
    <xf numFmtId="0" fontId="182" fillId="27" borderId="57" xfId="0" applyFont="1" applyFill="1" applyBorder="1" applyAlignment="1">
      <alignment horizontal="left" vertical="center"/>
    </xf>
    <xf numFmtId="0" fontId="183" fillId="27" borderId="26" xfId="0" applyFont="1" applyFill="1" applyBorder="1">
      <alignment vertical="center"/>
    </xf>
    <xf numFmtId="0" fontId="24" fillId="27" borderId="62" xfId="0" quotePrefix="1" applyFont="1" applyFill="1" applyBorder="1">
      <alignment vertical="center"/>
    </xf>
    <xf numFmtId="0" fontId="127" fillId="27" borderId="56" xfId="29" applyNumberFormat="1" applyFont="1" applyFill="1" applyBorder="1" applyAlignment="1" applyProtection="1">
      <alignment horizontal="center" vertical="center"/>
    </xf>
    <xf numFmtId="0" fontId="24" fillId="27" borderId="64" xfId="0" applyFont="1" applyFill="1" applyBorder="1">
      <alignment vertical="center"/>
    </xf>
    <xf numFmtId="0" fontId="24" fillId="27" borderId="26" xfId="0" applyFont="1" applyFill="1" applyBorder="1">
      <alignment vertical="center"/>
    </xf>
    <xf numFmtId="0" fontId="24" fillId="27" borderId="89" xfId="0" quotePrefix="1" applyFont="1" applyFill="1" applyBorder="1">
      <alignment vertical="center"/>
    </xf>
    <xf numFmtId="210" fontId="122" fillId="50" borderId="10" xfId="35" applyNumberFormat="1" applyFont="1" applyFill="1" applyBorder="1" applyAlignment="1" applyProtection="1">
      <alignment horizontal="center" vertical="center"/>
    </xf>
    <xf numFmtId="183" fontId="36" fillId="27" borderId="210" xfId="0" applyNumberFormat="1" applyFont="1" applyFill="1" applyBorder="1" applyAlignment="1">
      <alignment horizontal="center" vertical="center"/>
    </xf>
    <xf numFmtId="183" fontId="36" fillId="27" borderId="209" xfId="0" applyNumberFormat="1" applyFont="1" applyFill="1" applyBorder="1" applyAlignment="1">
      <alignment horizontal="center" vertical="center"/>
    </xf>
    <xf numFmtId="183" fontId="36" fillId="27" borderId="222" xfId="0" applyNumberFormat="1" applyFont="1" applyFill="1" applyBorder="1" applyAlignment="1">
      <alignment horizontal="center" vertical="center"/>
    </xf>
    <xf numFmtId="49" fontId="122" fillId="31" borderId="10" xfId="0" applyNumberFormat="1" applyFont="1" applyFill="1" applyBorder="1" applyAlignment="1">
      <alignment horizontal="left" vertical="center"/>
    </xf>
    <xf numFmtId="40" fontId="122" fillId="31" borderId="10" xfId="0" applyNumberFormat="1" applyFont="1" applyFill="1" applyBorder="1" applyAlignment="1">
      <alignment horizontal="center"/>
    </xf>
    <xf numFmtId="40" fontId="122" fillId="31" borderId="27" xfId="0" applyNumberFormat="1" applyFont="1" applyFill="1" applyBorder="1" applyAlignment="1">
      <alignment horizontal="center"/>
    </xf>
    <xf numFmtId="40" fontId="122" fillId="31" borderId="10" xfId="35" applyNumberFormat="1" applyFont="1" applyFill="1" applyBorder="1" applyAlignment="1" applyProtection="1">
      <alignment horizontal="center" vertical="center"/>
    </xf>
    <xf numFmtId="0" fontId="122" fillId="31" borderId="10" xfId="0" applyFont="1" applyFill="1" applyBorder="1" applyAlignment="1">
      <alignment horizontal="left" vertical="center" shrinkToFit="1"/>
    </xf>
    <xf numFmtId="0" fontId="122" fillId="31" borderId="10" xfId="0" applyFont="1" applyFill="1" applyBorder="1">
      <alignment vertical="center"/>
    </xf>
    <xf numFmtId="209" fontId="122" fillId="31" borderId="10" xfId="35" applyNumberFormat="1" applyFont="1" applyFill="1" applyBorder="1" applyAlignment="1" applyProtection="1">
      <alignment horizontal="center" vertical="center"/>
    </xf>
    <xf numFmtId="210" fontId="122" fillId="31" borderId="10" xfId="35" applyNumberFormat="1" applyFont="1" applyFill="1" applyBorder="1" applyAlignment="1" applyProtection="1">
      <alignment horizontal="center" vertical="center"/>
    </xf>
    <xf numFmtId="180" fontId="196" fillId="31" borderId="134" xfId="0" applyNumberFormat="1" applyFont="1" applyFill="1" applyBorder="1" applyAlignment="1">
      <alignment horizontal="center" vertical="center"/>
    </xf>
    <xf numFmtId="180" fontId="37" fillId="31" borderId="213" xfId="0" applyNumberFormat="1" applyFont="1" applyFill="1" applyBorder="1" applyAlignment="1">
      <alignment horizontal="center"/>
    </xf>
    <xf numFmtId="180" fontId="37" fillId="31" borderId="128" xfId="0" applyNumberFormat="1" applyFont="1" applyFill="1" applyBorder="1" applyAlignment="1">
      <alignment horizontal="center"/>
    </xf>
    <xf numFmtId="0" fontId="33" fillId="31" borderId="129" xfId="0" applyFont="1" applyFill="1" applyBorder="1" applyAlignment="1">
      <alignment horizontal="left" vertical="center"/>
    </xf>
    <xf numFmtId="0" fontId="24" fillId="31" borderId="129" xfId="0" applyFont="1" applyFill="1" applyBorder="1" applyAlignment="1">
      <alignment horizontal="left" vertical="center"/>
    </xf>
    <xf numFmtId="0" fontId="24" fillId="31" borderId="128" xfId="0" applyFont="1" applyFill="1" applyBorder="1">
      <alignment vertical="center"/>
    </xf>
    <xf numFmtId="188" fontId="122" fillId="31" borderId="10" xfId="35" applyNumberFormat="1" applyFont="1" applyFill="1" applyBorder="1" applyAlignment="1" applyProtection="1"/>
    <xf numFmtId="187" fontId="122" fillId="31" borderId="10" xfId="35" applyNumberFormat="1" applyFont="1" applyFill="1" applyBorder="1" applyAlignment="1" applyProtection="1">
      <alignment horizontal="right" vertical="center"/>
    </xf>
    <xf numFmtId="40" fontId="33" fillId="27" borderId="10" xfId="0" applyNumberFormat="1" applyFont="1" applyFill="1" applyBorder="1" applyAlignment="1">
      <alignment horizontal="center"/>
    </xf>
    <xf numFmtId="40" fontId="33" fillId="27" borderId="27" xfId="0" applyNumberFormat="1" applyFont="1" applyFill="1" applyBorder="1" applyAlignment="1">
      <alignment horizontal="center"/>
    </xf>
    <xf numFmtId="40" fontId="33" fillId="27" borderId="26" xfId="35" applyNumberFormat="1" applyFont="1" applyFill="1" applyBorder="1" applyAlignment="1" applyProtection="1">
      <alignment horizontal="center" vertical="center"/>
    </xf>
    <xf numFmtId="209" fontId="33" fillId="27" borderId="26" xfId="35" applyNumberFormat="1" applyFont="1" applyFill="1" applyBorder="1" applyAlignment="1" applyProtection="1">
      <alignment horizontal="center" vertical="center"/>
    </xf>
    <xf numFmtId="0" fontId="125" fillId="27" borderId="126" xfId="0" applyFont="1" applyFill="1" applyBorder="1">
      <alignment vertical="center"/>
    </xf>
    <xf numFmtId="0" fontId="33" fillId="27" borderId="126" xfId="0" applyFont="1" applyFill="1" applyBorder="1">
      <alignment vertical="center"/>
    </xf>
    <xf numFmtId="0" fontId="33" fillId="27" borderId="136" xfId="0" applyFont="1" applyFill="1" applyBorder="1" applyAlignment="1">
      <alignment horizontal="center" vertical="center"/>
    </xf>
    <xf numFmtId="0" fontId="127" fillId="27" borderId="83" xfId="29" applyFont="1" applyFill="1" applyBorder="1" applyAlignment="1" applyProtection="1">
      <alignment horizontal="center" vertical="center"/>
    </xf>
    <xf numFmtId="0" fontId="122" fillId="27" borderId="116" xfId="0" applyFont="1" applyFill="1" applyBorder="1" applyAlignment="1">
      <alignment horizontal="center" vertical="center"/>
    </xf>
    <xf numFmtId="187" fontId="33" fillId="27" borderId="10" xfId="0" applyNumberFormat="1" applyFont="1" applyFill="1" applyBorder="1">
      <alignment vertical="center"/>
    </xf>
    <xf numFmtId="0" fontId="127" fillId="27" borderId="64" xfId="29" applyFont="1" applyFill="1" applyBorder="1" applyAlignment="1" applyProtection="1">
      <alignment horizontal="center" vertical="center"/>
    </xf>
    <xf numFmtId="0" fontId="122" fillId="27" borderId="62" xfId="0" applyFont="1" applyFill="1" applyBorder="1" applyAlignment="1">
      <alignment horizontal="center" vertical="center"/>
    </xf>
    <xf numFmtId="183" fontId="36" fillId="27" borderId="100" xfId="0" applyNumberFormat="1" applyFont="1" applyFill="1" applyBorder="1" applyAlignment="1">
      <alignment horizontal="center" vertical="center"/>
    </xf>
    <xf numFmtId="183" fontId="36" fillId="27" borderId="119" xfId="0" applyNumberFormat="1" applyFont="1" applyFill="1" applyBorder="1" applyAlignment="1">
      <alignment horizontal="center" vertical="center"/>
    </xf>
    <xf numFmtId="183" fontId="36" fillId="27" borderId="62" xfId="0" applyNumberFormat="1" applyFont="1" applyFill="1" applyBorder="1" applyAlignment="1">
      <alignment horizontal="center" vertical="center"/>
    </xf>
    <xf numFmtId="0" fontId="125" fillId="27" borderId="53" xfId="0" applyFont="1" applyFill="1" applyBorder="1">
      <alignment vertical="center"/>
    </xf>
    <xf numFmtId="0" fontId="33" fillId="27" borderId="53" xfId="0" applyFont="1" applyFill="1" applyBorder="1">
      <alignment vertical="center"/>
    </xf>
    <xf numFmtId="183" fontId="29" fillId="0" borderId="144" xfId="0" applyNumberFormat="1" applyFont="1" applyBorder="1" applyAlignment="1" applyProtection="1">
      <alignment horizontal="center" vertical="center"/>
      <protection locked="0"/>
    </xf>
    <xf numFmtId="183" fontId="29" fillId="0" borderId="223" xfId="0" applyNumberFormat="1" applyFont="1" applyBorder="1" applyAlignment="1">
      <alignment horizontal="center" vertical="center"/>
    </xf>
    <xf numFmtId="183" fontId="29" fillId="0" borderId="68" xfId="0" applyNumberFormat="1" applyFont="1" applyBorder="1" applyAlignment="1">
      <alignment horizontal="center" vertical="center"/>
    </xf>
    <xf numFmtId="40" fontId="122" fillId="27" borderId="10" xfId="0" applyNumberFormat="1" applyFont="1" applyFill="1" applyBorder="1" applyAlignment="1">
      <alignment horizontal="center"/>
    </xf>
    <xf numFmtId="40" fontId="122" fillId="27" borderId="27" xfId="0" applyNumberFormat="1" applyFont="1" applyFill="1" applyBorder="1" applyAlignment="1">
      <alignment horizontal="center"/>
    </xf>
    <xf numFmtId="40" fontId="122" fillId="27" borderId="26" xfId="35" applyNumberFormat="1" applyFont="1" applyFill="1" applyBorder="1" applyAlignment="1" applyProtection="1">
      <alignment horizontal="center"/>
    </xf>
    <xf numFmtId="0" fontId="122" fillId="27" borderId="10" xfId="0" applyFont="1" applyFill="1" applyBorder="1" applyAlignment="1">
      <alignment horizontal="left" vertical="center"/>
    </xf>
    <xf numFmtId="209" fontId="122" fillId="27" borderId="26" xfId="35" applyNumberFormat="1" applyFont="1" applyFill="1" applyBorder="1" applyAlignment="1" applyProtection="1">
      <alignment horizontal="center"/>
    </xf>
    <xf numFmtId="0" fontId="122" fillId="27" borderId="53" xfId="0" applyFont="1" applyFill="1" applyBorder="1" applyAlignment="1">
      <alignment horizontal="left" vertical="center"/>
    </xf>
    <xf numFmtId="0" fontId="175" fillId="27" borderId="50" xfId="0" applyFont="1" applyFill="1" applyBorder="1">
      <alignment vertical="center"/>
    </xf>
    <xf numFmtId="0" fontId="163" fillId="27" borderId="50" xfId="0" applyFont="1" applyFill="1" applyBorder="1">
      <alignment vertical="center"/>
    </xf>
    <xf numFmtId="0" fontId="163" fillId="27" borderId="50" xfId="0" applyFont="1" applyFill="1" applyBorder="1" applyAlignment="1">
      <alignment horizontal="left" vertical="center"/>
    </xf>
    <xf numFmtId="0" fontId="176" fillId="27" borderId="26" xfId="0" applyFont="1" applyFill="1" applyBorder="1">
      <alignment vertical="center"/>
    </xf>
    <xf numFmtId="0" fontId="163" fillId="27" borderId="10" xfId="0" applyFont="1" applyFill="1" applyBorder="1" applyAlignment="1">
      <alignment horizontal="center" vertical="center"/>
    </xf>
    <xf numFmtId="0" fontId="174" fillId="27" borderId="64" xfId="29" applyFont="1" applyFill="1" applyBorder="1" applyAlignment="1" applyProtection="1">
      <alignment horizontal="center" vertical="center"/>
    </xf>
    <xf numFmtId="0" fontId="122" fillId="27" borderId="62" xfId="0" quotePrefix="1" applyFont="1" applyFill="1" applyBorder="1" applyAlignment="1">
      <alignment horizontal="center" vertical="center"/>
    </xf>
    <xf numFmtId="0" fontId="176" fillId="27" borderId="52" xfId="0" applyFont="1" applyFill="1" applyBorder="1">
      <alignment vertical="center"/>
    </xf>
    <xf numFmtId="0" fontId="127" fillId="27" borderId="56" xfId="29" quotePrefix="1" applyNumberFormat="1" applyFont="1" applyFill="1" applyBorder="1" applyAlignment="1" applyProtection="1">
      <alignment horizontal="center" vertical="center"/>
    </xf>
    <xf numFmtId="0" fontId="122" fillId="27" borderId="77" xfId="0" quotePrefix="1" applyFont="1" applyFill="1" applyBorder="1" applyAlignment="1">
      <alignment horizontal="center" vertical="center"/>
    </xf>
    <xf numFmtId="0" fontId="127" fillId="27" borderId="64" xfId="29" quotePrefix="1" applyNumberFormat="1" applyFont="1" applyFill="1" applyBorder="1" applyAlignment="1" applyProtection="1">
      <alignment horizontal="center" vertical="center"/>
    </xf>
    <xf numFmtId="0" fontId="33" fillId="27" borderId="10" xfId="0" quotePrefix="1" applyFont="1" applyFill="1" applyBorder="1" applyAlignment="1">
      <alignment horizontal="left" vertical="center"/>
    </xf>
    <xf numFmtId="0" fontId="33" fillId="27" borderId="53" xfId="0" applyFont="1" applyFill="1" applyBorder="1" applyAlignment="1">
      <alignment horizontal="left" vertical="center"/>
    </xf>
    <xf numFmtId="0" fontId="24" fillId="27" borderId="64" xfId="0" quotePrefix="1" applyFont="1" applyFill="1" applyBorder="1">
      <alignment vertical="center"/>
    </xf>
    <xf numFmtId="0" fontId="122" fillId="27" borderId="10" xfId="0" quotePrefix="1" applyFont="1" applyFill="1" applyBorder="1" applyAlignment="1">
      <alignment horizontal="left" vertical="center"/>
    </xf>
    <xf numFmtId="0" fontId="24" fillId="27" borderId="145" xfId="0" quotePrefix="1" applyFont="1" applyFill="1" applyBorder="1">
      <alignment vertical="center"/>
    </xf>
    <xf numFmtId="40" fontId="122" fillId="31" borderId="26" xfId="35" applyNumberFormat="1" applyFont="1" applyFill="1" applyBorder="1" applyAlignment="1" applyProtection="1">
      <alignment horizontal="center" vertical="center"/>
    </xf>
    <xf numFmtId="209" fontId="122" fillId="31" borderId="26" xfId="35" applyNumberFormat="1" applyFont="1" applyFill="1" applyBorder="1" applyAlignment="1" applyProtection="1">
      <alignment horizontal="center" vertical="center"/>
    </xf>
    <xf numFmtId="40" fontId="122" fillId="27" borderId="10" xfId="35" applyNumberFormat="1" applyFont="1" applyFill="1" applyBorder="1" applyAlignment="1" applyProtection="1">
      <alignment horizontal="center" vertical="center"/>
    </xf>
    <xf numFmtId="40" fontId="122" fillId="27" borderId="26" xfId="35" applyNumberFormat="1" applyFont="1" applyFill="1" applyBorder="1" applyAlignment="1" applyProtection="1">
      <alignment horizontal="center" vertical="center"/>
    </xf>
    <xf numFmtId="209" fontId="122" fillId="27" borderId="10" xfId="35" applyNumberFormat="1" applyFont="1" applyFill="1" applyBorder="1" applyAlignment="1" applyProtection="1">
      <alignment horizontal="center" vertical="center"/>
    </xf>
    <xf numFmtId="209" fontId="122" fillId="27" borderId="26" xfId="35" applyNumberFormat="1" applyFont="1" applyFill="1" applyBorder="1" applyAlignment="1" applyProtection="1">
      <alignment horizontal="center" vertical="center"/>
    </xf>
    <xf numFmtId="210" fontId="122" fillId="27" borderId="10" xfId="35" applyNumberFormat="1" applyFont="1" applyFill="1" applyBorder="1" applyAlignment="1" applyProtection="1">
      <alignment horizontal="center" vertical="center"/>
    </xf>
    <xf numFmtId="183" fontId="36" fillId="27" borderId="149" xfId="0" applyNumberFormat="1" applyFont="1" applyFill="1" applyBorder="1" applyAlignment="1">
      <alignment horizontal="center" vertical="center"/>
    </xf>
    <xf numFmtId="183" fontId="36" fillId="27" borderId="224" xfId="0" applyNumberFormat="1" applyFont="1" applyFill="1" applyBorder="1" applyAlignment="1">
      <alignment horizontal="center" vertical="center"/>
    </xf>
    <xf numFmtId="183" fontId="36" fillId="27" borderId="72" xfId="0" applyNumberFormat="1" applyFont="1" applyFill="1" applyBorder="1" applyAlignment="1">
      <alignment horizontal="center" vertical="center"/>
    </xf>
    <xf numFmtId="183" fontId="29" fillId="0" borderId="115" xfId="0" applyNumberFormat="1" applyFont="1" applyBorder="1" applyAlignment="1">
      <alignment horizontal="center" vertical="center"/>
    </xf>
    <xf numFmtId="0" fontId="125" fillId="0" borderId="50" xfId="0" applyFont="1" applyBorder="1">
      <alignment vertical="center"/>
    </xf>
    <xf numFmtId="0" fontId="133" fillId="0" borderId="50" xfId="0" applyFont="1" applyBorder="1" applyAlignment="1">
      <alignment horizontal="left" vertical="center"/>
    </xf>
    <xf numFmtId="0" fontId="138" fillId="0" borderId="26" xfId="0" applyFont="1" applyBorder="1">
      <alignment vertical="center"/>
    </xf>
    <xf numFmtId="0" fontId="139" fillId="0" borderId="77" xfId="0" applyFont="1" applyBorder="1" applyAlignment="1">
      <alignment horizontal="center" vertical="center"/>
    </xf>
    <xf numFmtId="0" fontId="139" fillId="0" borderId="62" xfId="0" applyFont="1" applyBorder="1" applyAlignment="1">
      <alignment horizontal="center" vertical="center"/>
    </xf>
    <xf numFmtId="183" fontId="29" fillId="0" borderId="92" xfId="0" applyNumberFormat="1" applyFont="1" applyBorder="1" applyAlignment="1">
      <alignment horizontal="center" vertical="center"/>
    </xf>
    <xf numFmtId="183" fontId="29" fillId="69" borderId="117" xfId="0" applyNumberFormat="1" applyFont="1" applyFill="1" applyBorder="1" applyAlignment="1">
      <alignment horizontal="center" vertical="center"/>
    </xf>
    <xf numFmtId="183" fontId="29" fillId="69" borderId="65" xfId="0" applyNumberFormat="1" applyFont="1" applyFill="1" applyBorder="1" applyAlignment="1">
      <alignment horizontal="center" vertical="center"/>
    </xf>
    <xf numFmtId="0" fontId="24" fillId="0" borderId="26" xfId="0" applyFont="1" applyBorder="1" applyAlignment="1">
      <alignment horizontal="left" vertical="center"/>
    </xf>
    <xf numFmtId="0" fontId="24" fillId="0" borderId="62" xfId="0" applyFont="1" applyBorder="1">
      <alignment vertical="center"/>
    </xf>
    <xf numFmtId="183" fontId="29" fillId="69" borderId="114" xfId="0" applyNumberFormat="1" applyFont="1" applyFill="1" applyBorder="1" applyAlignment="1">
      <alignment horizontal="center" vertical="center"/>
    </xf>
    <xf numFmtId="183" fontId="29" fillId="69" borderId="59" xfId="0" applyNumberFormat="1" applyFont="1" applyFill="1" applyBorder="1" applyAlignment="1">
      <alignment horizontal="center" vertical="center"/>
    </xf>
    <xf numFmtId="0" fontId="122" fillId="27" borderId="50" xfId="0" applyFont="1" applyFill="1" applyBorder="1" applyAlignment="1">
      <alignment horizontal="right" vertical="center"/>
    </xf>
    <xf numFmtId="183" fontId="36" fillId="0" borderId="115" xfId="0" applyNumberFormat="1" applyFont="1" applyBorder="1" applyAlignment="1">
      <alignment horizontal="center" vertical="center"/>
    </xf>
    <xf numFmtId="183" fontId="36" fillId="0" borderId="117" xfId="0" applyNumberFormat="1" applyFont="1" applyBorder="1" applyAlignment="1">
      <alignment horizontal="center" vertical="center"/>
    </xf>
    <xf numFmtId="183" fontId="36" fillId="0" borderId="65" xfId="0" applyNumberFormat="1" applyFont="1" applyBorder="1" applyAlignment="1">
      <alignment horizontal="center" vertical="center"/>
    </xf>
    <xf numFmtId="0" fontId="24" fillId="27" borderId="26" xfId="0" applyFont="1" applyFill="1" applyBorder="1" applyAlignment="1">
      <alignment horizontal="right" vertical="center"/>
    </xf>
    <xf numFmtId="0" fontId="24" fillId="27" borderId="120" xfId="0" applyFont="1" applyFill="1" applyBorder="1">
      <alignment vertical="center"/>
    </xf>
    <xf numFmtId="183" fontId="36" fillId="0" borderId="92" xfId="0" applyNumberFormat="1" applyFont="1" applyBorder="1" applyAlignment="1">
      <alignment horizontal="center" vertical="center"/>
    </xf>
    <xf numFmtId="183" fontId="36" fillId="0" borderId="114" xfId="0" applyNumberFormat="1" applyFont="1" applyBorder="1" applyAlignment="1">
      <alignment horizontal="center" vertical="center"/>
    </xf>
    <xf numFmtId="183" fontId="36" fillId="0" borderId="59" xfId="0" applyNumberFormat="1" applyFont="1" applyBorder="1" applyAlignment="1">
      <alignment horizontal="center" vertical="center"/>
    </xf>
    <xf numFmtId="183" fontId="29" fillId="0" borderId="144" xfId="0" applyNumberFormat="1" applyFont="1" applyBorder="1" applyAlignment="1">
      <alignment horizontal="center" vertical="center"/>
    </xf>
    <xf numFmtId="183" fontId="29" fillId="0" borderId="153" xfId="0" applyNumberFormat="1" applyFont="1" applyBorder="1" applyAlignment="1">
      <alignment horizontal="center" vertical="center"/>
    </xf>
    <xf numFmtId="183" fontId="29" fillId="0" borderId="225" xfId="0" applyNumberFormat="1" applyFont="1" applyBorder="1" applyAlignment="1">
      <alignment horizontal="center" vertical="center"/>
    </xf>
    <xf numFmtId="40" fontId="122" fillId="31" borderId="27" xfId="35" applyNumberFormat="1" applyFont="1" applyFill="1" applyBorder="1" applyAlignment="1" applyProtection="1">
      <alignment horizontal="center" vertical="center"/>
    </xf>
    <xf numFmtId="0" fontId="122" fillId="31" borderId="102" xfId="0" applyFont="1" applyFill="1" applyBorder="1" applyAlignment="1">
      <alignment horizontal="right" vertical="center"/>
    </xf>
    <xf numFmtId="0" fontId="24" fillId="31" borderId="102" xfId="0" applyFont="1" applyFill="1" applyBorder="1" applyAlignment="1">
      <alignment horizontal="left" vertical="center"/>
    </xf>
    <xf numFmtId="0" fontId="24" fillId="31" borderId="104" xfId="0" applyFont="1" applyFill="1" applyBorder="1">
      <alignment vertical="center"/>
    </xf>
    <xf numFmtId="40" fontId="122" fillId="35" borderId="10" xfId="0" applyNumberFormat="1" applyFont="1" applyFill="1" applyBorder="1" applyAlignment="1">
      <alignment horizontal="center" vertical="top"/>
    </xf>
    <xf numFmtId="40" fontId="122" fillId="35" borderId="27" xfId="0" applyNumberFormat="1" applyFont="1" applyFill="1" applyBorder="1" applyAlignment="1">
      <alignment horizontal="center" vertical="top"/>
    </xf>
    <xf numFmtId="40" fontId="122" fillId="35" borderId="10" xfId="35" applyNumberFormat="1" applyFont="1" applyFill="1" applyBorder="1" applyAlignment="1" applyProtection="1">
      <alignment horizontal="center" vertical="top"/>
    </xf>
    <xf numFmtId="40" fontId="122" fillId="35" borderId="26" xfId="35" applyNumberFormat="1" applyFont="1" applyFill="1" applyBorder="1" applyAlignment="1" applyProtection="1">
      <alignment horizontal="center" vertical="top"/>
    </xf>
    <xf numFmtId="0" fontId="24" fillId="35" borderId="10" xfId="0" applyFont="1" applyFill="1" applyBorder="1" applyAlignment="1">
      <alignment horizontal="center" vertical="center" shrinkToFit="1"/>
    </xf>
    <xf numFmtId="0" fontId="24" fillId="35" borderId="10" xfId="0" applyFont="1" applyFill="1" applyBorder="1" applyAlignment="1">
      <alignment horizontal="center" vertical="center"/>
    </xf>
    <xf numFmtId="209" fontId="122" fillId="35" borderId="10" xfId="35" applyNumberFormat="1" applyFont="1" applyFill="1" applyBorder="1" applyAlignment="1" applyProtection="1">
      <alignment horizontal="center" vertical="top"/>
    </xf>
    <xf numFmtId="209" fontId="122" fillId="35" borderId="26" xfId="35" applyNumberFormat="1" applyFont="1" applyFill="1" applyBorder="1" applyAlignment="1" applyProtection="1">
      <alignment horizontal="center" vertical="top"/>
    </xf>
    <xf numFmtId="210" fontId="122" fillId="35" borderId="10" xfId="35" applyNumberFormat="1" applyFont="1" applyFill="1" applyBorder="1" applyAlignment="1" applyProtection="1">
      <alignment horizontal="center" vertical="top"/>
    </xf>
    <xf numFmtId="180" fontId="37" fillId="33" borderId="92" xfId="0" applyNumberFormat="1" applyFont="1" applyFill="1" applyBorder="1" applyAlignment="1">
      <alignment horizontal="center"/>
    </xf>
    <xf numFmtId="180" fontId="37" fillId="33" borderId="114" xfId="0" applyNumberFormat="1" applyFont="1" applyFill="1" applyBorder="1" applyAlignment="1">
      <alignment horizontal="center"/>
    </xf>
    <xf numFmtId="180" fontId="37" fillId="33" borderId="59" xfId="0" applyNumberFormat="1" applyFont="1" applyFill="1" applyBorder="1" applyAlignment="1">
      <alignment horizontal="center"/>
    </xf>
    <xf numFmtId="0" fontId="60" fillId="33" borderId="60" xfId="0" applyFont="1" applyFill="1" applyBorder="1" applyAlignment="1">
      <alignment horizontal="left" vertical="center"/>
    </xf>
    <xf numFmtId="0" fontId="60" fillId="33" borderId="59" xfId="0" applyFont="1" applyFill="1" applyBorder="1" applyAlignment="1">
      <alignment horizontal="left" vertical="center"/>
    </xf>
    <xf numFmtId="178" fontId="122" fillId="35" borderId="10" xfId="35" applyNumberFormat="1" applyFont="1" applyFill="1" applyBorder="1" applyAlignment="1" applyProtection="1">
      <alignment horizontal="center"/>
    </xf>
    <xf numFmtId="187" fontId="122" fillId="35" borderId="27" xfId="35" applyNumberFormat="1" applyFont="1" applyFill="1" applyBorder="1" applyAlignment="1" applyProtection="1"/>
    <xf numFmtId="0" fontId="42" fillId="35" borderId="58" xfId="0" applyFont="1" applyFill="1" applyBorder="1" applyAlignment="1">
      <alignment horizontal="left" vertical="center" shrinkToFit="1"/>
    </xf>
    <xf numFmtId="0" fontId="24" fillId="31" borderId="10" xfId="0" applyFont="1" applyFill="1" applyBorder="1" applyAlignment="1">
      <alignment horizontal="center" vertical="center"/>
    </xf>
    <xf numFmtId="0" fontId="137" fillId="0" borderId="0" xfId="0" applyFont="1">
      <alignment vertical="center"/>
    </xf>
    <xf numFmtId="0" fontId="23" fillId="0" borderId="0" xfId="0" applyFont="1">
      <alignment vertical="center"/>
    </xf>
    <xf numFmtId="0" fontId="136" fillId="0" borderId="0" xfId="0" applyFont="1">
      <alignment vertical="center"/>
    </xf>
    <xf numFmtId="0" fontId="135" fillId="0" borderId="0" xfId="0" applyFont="1" applyAlignment="1">
      <alignment horizontal="left"/>
    </xf>
    <xf numFmtId="0" fontId="134" fillId="0" borderId="62" xfId="0" quotePrefix="1" applyFont="1" applyBorder="1" applyAlignment="1">
      <alignment horizontal="left" vertical="center"/>
    </xf>
    <xf numFmtId="0" fontId="33" fillId="27" borderId="57" xfId="0" applyFont="1" applyFill="1" applyBorder="1">
      <alignment vertical="center"/>
    </xf>
    <xf numFmtId="183" fontId="36" fillId="0" borderId="139" xfId="0" applyNumberFormat="1" applyFont="1" applyBorder="1" applyAlignment="1" applyProtection="1">
      <alignment horizontal="center" vertical="center"/>
      <protection locked="0"/>
    </xf>
    <xf numFmtId="0" fontId="24" fillId="27" borderId="80" xfId="0" quotePrefix="1" applyFont="1" applyFill="1" applyBorder="1">
      <alignment vertical="center"/>
    </xf>
    <xf numFmtId="0" fontId="183" fillId="27" borderId="64" xfId="0" applyFont="1" applyFill="1" applyBorder="1">
      <alignment vertical="center"/>
    </xf>
    <xf numFmtId="0" fontId="183" fillId="27" borderId="62" xfId="0" quotePrefix="1" applyFont="1" applyFill="1" applyBorder="1">
      <alignment vertical="center"/>
    </xf>
    <xf numFmtId="0" fontId="182" fillId="27" borderId="50" xfId="0" applyFont="1" applyFill="1" applyBorder="1">
      <alignment vertical="center"/>
    </xf>
    <xf numFmtId="0" fontId="181" fillId="27" borderId="50" xfId="0" applyFont="1" applyFill="1" applyBorder="1" applyAlignment="1">
      <alignment horizontal="left" vertical="center"/>
    </xf>
    <xf numFmtId="0" fontId="183" fillId="27" borderId="89" xfId="0" quotePrefix="1" applyFont="1" applyFill="1" applyBorder="1">
      <alignment vertical="center"/>
    </xf>
    <xf numFmtId="183" fontId="29" fillId="0" borderId="224" xfId="0" applyNumberFormat="1" applyFont="1" applyBorder="1" applyAlignment="1">
      <alignment horizontal="center" vertical="center"/>
    </xf>
    <xf numFmtId="183" fontId="29" fillId="0" borderId="72" xfId="0" applyNumberFormat="1" applyFont="1" applyBorder="1" applyAlignment="1">
      <alignment horizontal="center" vertical="center"/>
    </xf>
    <xf numFmtId="180" fontId="37" fillId="31" borderId="114" xfId="0" applyNumberFormat="1" applyFont="1" applyFill="1" applyBorder="1" applyAlignment="1">
      <alignment horizontal="center"/>
    </xf>
    <xf numFmtId="180" fontId="37" fillId="31" borderId="59" xfId="0" applyNumberFormat="1" applyFont="1" applyFill="1" applyBorder="1" applyAlignment="1">
      <alignment horizontal="center"/>
    </xf>
    <xf numFmtId="187" fontId="122" fillId="31" borderId="10" xfId="35" applyNumberFormat="1" applyFont="1" applyFill="1" applyBorder="1" applyAlignment="1" applyProtection="1">
      <alignment horizontal="right"/>
    </xf>
    <xf numFmtId="0" fontId="127" fillId="27" borderId="83" xfId="29" applyNumberFormat="1" applyFont="1" applyFill="1" applyBorder="1" applyAlignment="1" applyProtection="1">
      <alignment horizontal="center" vertical="center"/>
    </xf>
    <xf numFmtId="0" fontId="122" fillId="27" borderId="65" xfId="0" quotePrefix="1" applyFont="1" applyFill="1" applyBorder="1" applyAlignment="1">
      <alignment horizontal="center" vertical="center"/>
    </xf>
    <xf numFmtId="183" fontId="36" fillId="27" borderId="123" xfId="0" applyNumberFormat="1" applyFont="1" applyFill="1" applyBorder="1" applyAlignment="1">
      <alignment horizontal="center" vertical="center"/>
    </xf>
    <xf numFmtId="0" fontId="133" fillId="27" borderId="0" xfId="0" applyFont="1" applyFill="1" applyAlignment="1">
      <alignment horizontal="center" vertical="center"/>
    </xf>
    <xf numFmtId="0" fontId="133" fillId="27" borderId="0" xfId="0" applyFont="1" applyFill="1" applyAlignment="1">
      <alignment horizontal="left" vertical="center"/>
    </xf>
    <xf numFmtId="0" fontId="132" fillId="27" borderId="0" xfId="29" applyNumberFormat="1" applyFont="1" applyFill="1" applyBorder="1" applyAlignment="1" applyProtection="1">
      <alignment horizontal="center" vertical="center"/>
    </xf>
    <xf numFmtId="0" fontId="122" fillId="27" borderId="62" xfId="0" applyFont="1" applyFill="1" applyBorder="1" applyAlignment="1">
      <alignment horizontal="center"/>
    </xf>
    <xf numFmtId="0" fontId="122" fillId="27" borderId="77" xfId="0" applyFont="1" applyFill="1" applyBorder="1" applyAlignment="1">
      <alignment horizontal="center"/>
    </xf>
    <xf numFmtId="0" fontId="166" fillId="27" borderId="50" xfId="0" applyFont="1" applyFill="1" applyBorder="1">
      <alignment vertical="center"/>
    </xf>
    <xf numFmtId="0" fontId="165" fillId="27" borderId="50" xfId="0" applyFont="1" applyFill="1" applyBorder="1">
      <alignment vertical="center"/>
    </xf>
    <xf numFmtId="0" fontId="165" fillId="27" borderId="10" xfId="0" applyFont="1" applyFill="1" applyBorder="1" applyAlignment="1">
      <alignment horizontal="center" vertical="center"/>
    </xf>
    <xf numFmtId="0" fontId="168" fillId="27" borderId="56" xfId="29" applyFont="1" applyFill="1" applyBorder="1" applyAlignment="1" applyProtection="1">
      <alignment horizontal="center" vertical="center"/>
    </xf>
    <xf numFmtId="0" fontId="33" fillId="27" borderId="53" xfId="0" applyFont="1" applyFill="1" applyBorder="1" applyAlignment="1">
      <alignment horizontal="left" vertical="center" shrinkToFit="1"/>
    </xf>
    <xf numFmtId="0" fontId="168" fillId="27" borderId="64" xfId="29" applyFont="1" applyFill="1" applyBorder="1" applyAlignment="1" applyProtection="1">
      <alignment horizontal="center" vertical="center"/>
    </xf>
    <xf numFmtId="0" fontId="166" fillId="27" borderId="53" xfId="0" applyFont="1" applyFill="1" applyBorder="1">
      <alignment vertical="center"/>
    </xf>
    <xf numFmtId="0" fontId="165" fillId="27" borderId="53" xfId="0" applyFont="1" applyFill="1" applyBorder="1">
      <alignment vertical="center"/>
    </xf>
    <xf numFmtId="0" fontId="167" fillId="27" borderId="64" xfId="0" applyFont="1" applyFill="1" applyBorder="1">
      <alignment vertical="center"/>
    </xf>
    <xf numFmtId="40" fontId="33" fillId="27" borderId="26" xfId="0" applyNumberFormat="1" applyFont="1" applyFill="1" applyBorder="1" applyAlignment="1">
      <alignment horizontal="center" vertical="center"/>
    </xf>
    <xf numFmtId="209" fontId="33" fillId="27" borderId="26" xfId="0" applyNumberFormat="1" applyFont="1" applyFill="1" applyBorder="1" applyAlignment="1">
      <alignment horizontal="center" vertical="center"/>
    </xf>
    <xf numFmtId="0" fontId="127" fillId="27" borderId="56" xfId="29" applyFont="1" applyFill="1" applyBorder="1" applyAlignment="1" applyProtection="1">
      <alignment horizontal="center" vertical="center"/>
    </xf>
    <xf numFmtId="0" fontId="122" fillId="27" borderId="118" xfId="0" quotePrefix="1" applyFont="1" applyFill="1" applyBorder="1" applyAlignment="1">
      <alignment horizontal="center" vertical="center"/>
    </xf>
    <xf numFmtId="0" fontId="182" fillId="27" borderId="10" xfId="0" applyFont="1" applyFill="1" applyBorder="1" applyAlignment="1">
      <alignment horizontal="center" vertical="center"/>
    </xf>
    <xf numFmtId="40" fontId="122" fillId="27" borderId="27" xfId="35" applyNumberFormat="1" applyFont="1" applyFill="1" applyBorder="1" applyAlignment="1" applyProtection="1">
      <alignment horizontal="center" vertical="center"/>
    </xf>
    <xf numFmtId="40" fontId="122" fillId="27" borderId="26" xfId="0" applyNumberFormat="1" applyFont="1" applyFill="1" applyBorder="1" applyAlignment="1">
      <alignment horizontal="center" vertical="center"/>
    </xf>
    <xf numFmtId="209" fontId="122" fillId="27" borderId="26" xfId="0" applyNumberFormat="1" applyFont="1" applyFill="1" applyBorder="1" applyAlignment="1">
      <alignment horizontal="center" vertical="center"/>
    </xf>
    <xf numFmtId="0" fontId="122" fillId="27" borderId="109" xfId="0" applyFont="1" applyFill="1" applyBorder="1" applyAlignment="1">
      <alignment horizontal="left" vertical="center"/>
    </xf>
    <xf numFmtId="0" fontId="7" fillId="31" borderId="129" xfId="0" applyFont="1" applyFill="1" applyBorder="1">
      <alignment vertical="center"/>
    </xf>
    <xf numFmtId="0" fontId="24" fillId="31" borderId="129" xfId="0" applyFont="1" applyFill="1" applyBorder="1" applyAlignment="1">
      <alignment horizontal="left"/>
    </xf>
    <xf numFmtId="40" fontId="33" fillId="42" borderId="10" xfId="35" applyNumberFormat="1" applyFont="1" applyFill="1" applyBorder="1" applyAlignment="1" applyProtection="1">
      <alignment horizontal="center" vertical="center"/>
    </xf>
    <xf numFmtId="40" fontId="33" fillId="42" borderId="27" xfId="35" applyNumberFormat="1" applyFont="1" applyFill="1" applyBorder="1" applyAlignment="1" applyProtection="1">
      <alignment horizontal="center" vertical="center"/>
    </xf>
    <xf numFmtId="40" fontId="33" fillId="42" borderId="26" xfId="35" applyNumberFormat="1" applyFont="1" applyFill="1" applyBorder="1" applyAlignment="1" applyProtection="1">
      <alignment horizontal="center" vertical="center"/>
    </xf>
    <xf numFmtId="0" fontId="33" fillId="42" borderId="10" xfId="0" applyFont="1" applyFill="1" applyBorder="1" applyAlignment="1">
      <alignment horizontal="left" vertical="center" shrinkToFit="1"/>
    </xf>
    <xf numFmtId="0" fontId="33" fillId="42" borderId="10" xfId="0" applyFont="1" applyFill="1" applyBorder="1" applyAlignment="1">
      <alignment horizontal="left" vertical="center"/>
    </xf>
    <xf numFmtId="209" fontId="33" fillId="42" borderId="10" xfId="35" applyNumberFormat="1" applyFont="1" applyFill="1" applyBorder="1" applyAlignment="1" applyProtection="1">
      <alignment horizontal="center" vertical="center"/>
    </xf>
    <xf numFmtId="209" fontId="33" fillId="42" borderId="26" xfId="35" applyNumberFormat="1" applyFont="1" applyFill="1" applyBorder="1" applyAlignment="1" applyProtection="1">
      <alignment horizontal="center" vertical="center"/>
    </xf>
    <xf numFmtId="210" fontId="33" fillId="42" borderId="10" xfId="35" applyNumberFormat="1" applyFont="1" applyFill="1" applyBorder="1" applyAlignment="1" applyProtection="1">
      <alignment horizontal="center" vertical="center"/>
    </xf>
    <xf numFmtId="0" fontId="133" fillId="0" borderId="50" xfId="0" applyFont="1" applyBorder="1">
      <alignment vertical="center"/>
    </xf>
    <xf numFmtId="0" fontId="133" fillId="0" borderId="10" xfId="0" applyFont="1" applyBorder="1" applyAlignment="1">
      <alignment horizontal="center" vertical="center"/>
    </xf>
    <xf numFmtId="0" fontId="127" fillId="0" borderId="56" xfId="29" applyFont="1" applyFill="1" applyBorder="1" applyAlignment="1" applyProtection="1">
      <alignment horizontal="center" vertical="center"/>
    </xf>
    <xf numFmtId="0" fontId="122" fillId="0" borderId="62" xfId="0" quotePrefix="1" applyFont="1" applyBorder="1" applyAlignment="1">
      <alignment horizontal="center" vertical="center"/>
    </xf>
    <xf numFmtId="188" fontId="33" fillId="42" borderId="10" xfId="35" applyNumberFormat="1" applyFont="1" applyFill="1" applyBorder="1" applyAlignment="1" applyProtection="1"/>
    <xf numFmtId="187" fontId="33" fillId="42" borderId="10" xfId="0" applyNumberFormat="1" applyFont="1" applyFill="1" applyBorder="1">
      <alignment vertical="center"/>
    </xf>
    <xf numFmtId="210" fontId="33" fillId="27" borderId="27" xfId="35" applyNumberFormat="1" applyFont="1" applyFill="1" applyBorder="1" applyAlignment="1" applyProtection="1">
      <alignment horizontal="center" vertical="center"/>
    </xf>
    <xf numFmtId="0" fontId="0" fillId="0" borderId="71" xfId="0" applyBorder="1">
      <alignment vertical="center"/>
    </xf>
    <xf numFmtId="183" fontId="36" fillId="27" borderId="144" xfId="0" applyNumberFormat="1" applyFont="1" applyFill="1" applyBorder="1" applyAlignment="1">
      <alignment horizontal="center" vertical="center"/>
    </xf>
    <xf numFmtId="183" fontId="36" fillId="27" borderId="223" xfId="0" applyNumberFormat="1" applyFont="1" applyFill="1" applyBorder="1" applyAlignment="1">
      <alignment horizontal="center" vertical="center"/>
    </xf>
    <xf numFmtId="183" fontId="36" fillId="27" borderId="68" xfId="0" applyNumberFormat="1" applyFont="1" applyFill="1" applyBorder="1" applyAlignment="1">
      <alignment horizontal="center" vertical="center"/>
    </xf>
    <xf numFmtId="0" fontId="127" fillId="0" borderId="56" xfId="29" applyNumberFormat="1" applyFont="1" applyFill="1" applyBorder="1" applyAlignment="1" applyProtection="1">
      <alignment horizontal="center" vertical="center"/>
    </xf>
    <xf numFmtId="0" fontId="122" fillId="0" borderId="62" xfId="0" applyFont="1" applyBorder="1" applyAlignment="1">
      <alignment horizontal="center"/>
    </xf>
    <xf numFmtId="0" fontId="127" fillId="0" borderId="64" xfId="29" applyNumberFormat="1" applyFont="1" applyFill="1" applyBorder="1" applyAlignment="1" applyProtection="1">
      <alignment horizontal="center" vertical="center"/>
    </xf>
    <xf numFmtId="0" fontId="122" fillId="27" borderId="77" xfId="0" applyFont="1" applyFill="1" applyBorder="1" applyAlignment="1">
      <alignment horizontal="center" vertical="center"/>
    </xf>
    <xf numFmtId="0" fontId="122" fillId="0" borderId="62" xfId="0" applyFont="1" applyBorder="1" applyAlignment="1">
      <alignment horizontal="center" vertical="center"/>
    </xf>
    <xf numFmtId="0" fontId="127" fillId="0" borderId="64" xfId="29" applyFont="1" applyFill="1" applyBorder="1" applyAlignment="1" applyProtection="1">
      <alignment horizontal="center" vertical="center"/>
    </xf>
    <xf numFmtId="183" fontId="36" fillId="27" borderId="112" xfId="0" applyNumberFormat="1" applyFont="1" applyFill="1" applyBorder="1" applyAlignment="1">
      <alignment horizontal="center" vertical="center"/>
    </xf>
    <xf numFmtId="183" fontId="36" fillId="27" borderId="150" xfId="0" applyNumberFormat="1" applyFont="1" applyFill="1" applyBorder="1" applyAlignment="1">
      <alignment horizontal="center" vertical="center"/>
    </xf>
    <xf numFmtId="183" fontId="36" fillId="27" borderId="89" xfId="0" applyNumberFormat="1" applyFont="1" applyFill="1" applyBorder="1" applyAlignment="1">
      <alignment horizontal="center" vertical="center"/>
    </xf>
    <xf numFmtId="183" fontId="50" fillId="0" borderId="100" xfId="0" applyNumberFormat="1" applyFont="1" applyBorder="1" applyAlignment="1">
      <alignment horizontal="center" vertical="center"/>
    </xf>
    <xf numFmtId="183" fontId="50" fillId="0" borderId="119" xfId="0" applyNumberFormat="1" applyFont="1" applyBorder="1" applyAlignment="1">
      <alignment horizontal="center" vertical="center"/>
    </xf>
    <xf numFmtId="183" fontId="50" fillId="0" borderId="62" xfId="0" applyNumberFormat="1" applyFont="1" applyBorder="1" applyAlignment="1">
      <alignment horizontal="center" vertical="center"/>
    </xf>
    <xf numFmtId="0" fontId="0" fillId="38" borderId="100" xfId="0" applyFill="1" applyBorder="1">
      <alignment vertical="center"/>
    </xf>
    <xf numFmtId="0" fontId="129" fillId="27" borderId="56" xfId="29" applyFont="1" applyFill="1" applyBorder="1" applyAlignment="1" applyProtection="1">
      <alignment horizontal="center" vertical="center"/>
    </xf>
    <xf numFmtId="0" fontId="128" fillId="27" borderId="120" xfId="0" applyFont="1" applyFill="1" applyBorder="1" applyAlignment="1">
      <alignment horizontal="center" vertical="center"/>
    </xf>
    <xf numFmtId="183" fontId="50" fillId="0" borderId="115" xfId="0" applyNumberFormat="1" applyFont="1" applyBorder="1" applyAlignment="1">
      <alignment horizontal="center" vertical="center"/>
    </xf>
    <xf numFmtId="183" fontId="50" fillId="0" borderId="117" xfId="0" applyNumberFormat="1" applyFont="1" applyBorder="1" applyAlignment="1">
      <alignment horizontal="center" vertical="center"/>
    </xf>
    <xf numFmtId="183" fontId="50" fillId="0" borderId="65" xfId="0" applyNumberFormat="1" applyFont="1" applyBorder="1" applyAlignment="1">
      <alignment horizontal="center" vertical="center"/>
    </xf>
    <xf numFmtId="0" fontId="129" fillId="27" borderId="64" xfId="29" applyFont="1" applyFill="1" applyBorder="1" applyAlignment="1" applyProtection="1">
      <alignment horizontal="center" vertical="center"/>
    </xf>
    <xf numFmtId="183" fontId="50" fillId="0" borderId="92" xfId="0" applyNumberFormat="1" applyFont="1" applyBorder="1" applyAlignment="1">
      <alignment horizontal="center" vertical="center"/>
    </xf>
    <xf numFmtId="183" fontId="50" fillId="0" borderId="114" xfId="0" applyNumberFormat="1" applyFont="1" applyBorder="1" applyAlignment="1">
      <alignment horizontal="center" vertical="center"/>
    </xf>
    <xf numFmtId="183" fontId="50" fillId="0" borderId="59" xfId="0" applyNumberFormat="1" applyFont="1" applyBorder="1" applyAlignment="1">
      <alignment horizontal="center" vertical="center"/>
    </xf>
    <xf numFmtId="0" fontId="167" fillId="27" borderId="52" xfId="0" applyFont="1" applyFill="1" applyBorder="1">
      <alignment vertical="center"/>
    </xf>
    <xf numFmtId="209" fontId="33" fillId="27" borderId="10" xfId="0" applyNumberFormat="1" applyFont="1" applyFill="1" applyBorder="1" applyAlignment="1">
      <alignment horizontal="center"/>
    </xf>
    <xf numFmtId="210" fontId="33" fillId="27" borderId="10" xfId="0" applyNumberFormat="1" applyFont="1" applyFill="1" applyBorder="1" applyAlignment="1">
      <alignment horizontal="center"/>
    </xf>
    <xf numFmtId="0" fontId="122" fillId="27" borderId="120" xfId="0" applyFont="1" applyFill="1" applyBorder="1" applyAlignment="1">
      <alignment horizontal="center"/>
    </xf>
    <xf numFmtId="0" fontId="33" fillId="59" borderId="57" xfId="0" applyFont="1" applyFill="1" applyBorder="1">
      <alignment vertical="center"/>
    </xf>
    <xf numFmtId="0" fontId="133" fillId="59" borderId="57" xfId="0" applyFont="1" applyFill="1" applyBorder="1">
      <alignment vertical="center"/>
    </xf>
    <xf numFmtId="0" fontId="133" fillId="59" borderId="10" xfId="0" applyFont="1" applyFill="1" applyBorder="1" applyAlignment="1">
      <alignment horizontal="center" vertical="center"/>
    </xf>
    <xf numFmtId="0" fontId="127" fillId="59" borderId="64" xfId="29" applyFont="1" applyFill="1" applyBorder="1" applyAlignment="1" applyProtection="1">
      <alignment horizontal="center" vertical="center"/>
    </xf>
    <xf numFmtId="0" fontId="122" fillId="59" borderId="62" xfId="0" applyFont="1" applyFill="1" applyBorder="1" applyAlignment="1">
      <alignment horizontal="center"/>
    </xf>
    <xf numFmtId="187" fontId="122" fillId="27" borderId="10" xfId="0" applyNumberFormat="1" applyFont="1" applyFill="1" applyBorder="1">
      <alignment vertical="center"/>
    </xf>
    <xf numFmtId="180" fontId="196" fillId="31" borderId="108" xfId="0" applyNumberFormat="1" applyFont="1" applyFill="1" applyBorder="1" applyAlignment="1">
      <alignment horizontal="center" vertical="center"/>
    </xf>
    <xf numFmtId="180" fontId="37" fillId="31" borderId="214" xfId="0" applyNumberFormat="1" applyFont="1" applyFill="1" applyBorder="1" applyAlignment="1">
      <alignment horizontal="left"/>
    </xf>
    <xf numFmtId="180" fontId="37" fillId="31" borderId="104" xfId="0" applyNumberFormat="1" applyFont="1" applyFill="1" applyBorder="1" applyAlignment="1">
      <alignment horizontal="left"/>
    </xf>
    <xf numFmtId="0" fontId="33" fillId="31" borderId="102" xfId="0" applyFont="1" applyFill="1" applyBorder="1" applyAlignment="1">
      <alignment horizontal="left" vertical="center"/>
    </xf>
    <xf numFmtId="0" fontId="24" fillId="31" borderId="101" xfId="0" applyFont="1" applyFill="1" applyBorder="1">
      <alignment vertical="center"/>
    </xf>
    <xf numFmtId="40" fontId="33" fillId="35" borderId="10" xfId="35" applyNumberFormat="1" applyFont="1" applyFill="1" applyBorder="1" applyAlignment="1" applyProtection="1">
      <alignment horizontal="center" vertical="top"/>
    </xf>
    <xf numFmtId="40" fontId="33" fillId="35" borderId="10" xfId="0" applyNumberFormat="1" applyFont="1" applyFill="1" applyBorder="1" applyAlignment="1">
      <alignment horizontal="center" vertical="top"/>
    </xf>
    <xf numFmtId="40" fontId="33" fillId="35" borderId="27" xfId="0" applyNumberFormat="1" applyFont="1" applyFill="1" applyBorder="1" applyAlignment="1">
      <alignment horizontal="center" vertical="top"/>
    </xf>
    <xf numFmtId="0" fontId="7" fillId="35" borderId="10" xfId="0" applyFont="1" applyFill="1" applyBorder="1" applyAlignment="1">
      <alignment horizontal="center" vertical="center" shrinkToFit="1"/>
    </xf>
    <xf numFmtId="209" fontId="33" fillId="35" borderId="10" xfId="35" applyNumberFormat="1" applyFont="1" applyFill="1" applyBorder="1" applyAlignment="1" applyProtection="1">
      <alignment horizontal="center" vertical="top"/>
    </xf>
    <xf numFmtId="209" fontId="33" fillId="35" borderId="26" xfId="35" applyNumberFormat="1" applyFont="1" applyFill="1" applyBorder="1" applyAlignment="1" applyProtection="1">
      <alignment horizontal="center" vertical="top"/>
    </xf>
    <xf numFmtId="210" fontId="122" fillId="35" borderId="10" xfId="35" applyNumberFormat="1" applyFont="1" applyFill="1" applyBorder="1" applyAlignment="1" applyProtection="1">
      <alignment horizontal="center"/>
    </xf>
    <xf numFmtId="210" fontId="122" fillId="35" borderId="27" xfId="35" applyNumberFormat="1" applyFont="1" applyFill="1" applyBorder="1" applyAlignment="1" applyProtection="1"/>
    <xf numFmtId="180" fontId="37" fillId="33" borderId="92" xfId="0" applyNumberFormat="1" applyFont="1" applyFill="1" applyBorder="1" applyAlignment="1">
      <alignment horizontal="left"/>
    </xf>
    <xf numFmtId="180" fontId="37" fillId="33" borderId="119" xfId="0" applyNumberFormat="1" applyFont="1" applyFill="1" applyBorder="1" applyAlignment="1">
      <alignment horizontal="left"/>
    </xf>
    <xf numFmtId="180" fontId="37" fillId="33" borderId="62" xfId="0" applyNumberFormat="1" applyFont="1" applyFill="1" applyBorder="1" applyAlignment="1">
      <alignment horizontal="left"/>
    </xf>
    <xf numFmtId="182" fontId="60" fillId="33" borderId="129" xfId="0" applyNumberFormat="1" applyFont="1" applyFill="1" applyBorder="1" applyAlignment="1">
      <alignment horizontal="center" vertical="center"/>
    </xf>
    <xf numFmtId="182" fontId="120" fillId="33" borderId="129" xfId="0" applyNumberFormat="1" applyFont="1" applyFill="1" applyBorder="1" applyAlignment="1">
      <alignment horizontal="center" vertical="center"/>
    </xf>
    <xf numFmtId="0" fontId="121" fillId="33" borderId="129" xfId="0" applyFont="1" applyFill="1" applyBorder="1" applyAlignment="1">
      <alignment horizontal="left" vertical="center"/>
    </xf>
    <xf numFmtId="0" fontId="60" fillId="33" borderId="128" xfId="0" applyFont="1" applyFill="1" applyBorder="1">
      <alignment vertical="center"/>
    </xf>
    <xf numFmtId="0" fontId="7" fillId="35" borderId="10" xfId="0" applyFont="1" applyFill="1" applyBorder="1" applyAlignment="1">
      <alignment horizontal="center" vertical="center"/>
    </xf>
    <xf numFmtId="178" fontId="33" fillId="35" borderId="10" xfId="35" applyNumberFormat="1" applyFont="1" applyFill="1" applyBorder="1" applyAlignment="1" applyProtection="1">
      <alignment horizontal="center"/>
    </xf>
    <xf numFmtId="187" fontId="33" fillId="35" borderId="27" xfId="35" applyNumberFormat="1" applyFont="1" applyFill="1" applyBorder="1" applyAlignment="1" applyProtection="1"/>
    <xf numFmtId="184" fontId="26" fillId="27" borderId="117" xfId="0" applyNumberFormat="1" applyFont="1" applyFill="1" applyBorder="1" applyAlignment="1">
      <alignment horizontal="center" vertical="center" wrapText="1"/>
    </xf>
    <xf numFmtId="184" fontId="26" fillId="27" borderId="147" xfId="0" applyNumberFormat="1" applyFont="1" applyFill="1" applyBorder="1" applyAlignment="1">
      <alignment horizontal="center" vertical="center" wrapText="1"/>
    </xf>
    <xf numFmtId="184" fontId="26" fillId="27" borderId="226" xfId="0" applyNumberFormat="1" applyFont="1" applyFill="1" applyBorder="1" applyAlignment="1">
      <alignment horizontal="center" vertical="center" wrapText="1"/>
    </xf>
    <xf numFmtId="183" fontId="26" fillId="27" borderId="221" xfId="0" applyNumberFormat="1" applyFont="1" applyFill="1" applyBorder="1" applyAlignment="1">
      <alignment horizontal="center" vertical="center" wrapText="1"/>
    </xf>
    <xf numFmtId="183" fontId="26" fillId="27" borderId="77" xfId="0" applyNumberFormat="1" applyFont="1" applyFill="1" applyBorder="1" applyAlignment="1">
      <alignment horizontal="center" vertical="center" wrapText="1"/>
    </xf>
    <xf numFmtId="0" fontId="116" fillId="27" borderId="0" xfId="0" applyFont="1" applyFill="1" applyAlignment="1">
      <alignment vertical="top"/>
    </xf>
    <xf numFmtId="0" fontId="115" fillId="27" borderId="0" xfId="0" applyFont="1" applyFill="1" applyAlignment="1">
      <alignment vertical="top"/>
    </xf>
    <xf numFmtId="0" fontId="82" fillId="27" borderId="0" xfId="0" applyFont="1" applyFill="1" applyAlignment="1">
      <alignment horizontal="left" vertical="top"/>
    </xf>
    <xf numFmtId="0" fontId="24" fillId="27" borderId="62" xfId="0" applyFont="1" applyFill="1" applyBorder="1" applyAlignment="1">
      <alignment vertical="top"/>
    </xf>
    <xf numFmtId="0" fontId="33" fillId="35" borderId="58" xfId="0" applyFont="1" applyFill="1" applyBorder="1" applyAlignment="1">
      <alignment horizontal="center" vertical="center" shrinkToFit="1"/>
    </xf>
    <xf numFmtId="0" fontId="7" fillId="35" borderId="56" xfId="0" applyFont="1" applyFill="1" applyBorder="1" applyAlignment="1">
      <alignment horizontal="center" vertical="center"/>
    </xf>
    <xf numFmtId="2" fontId="33" fillId="35" borderId="10" xfId="0" applyNumberFormat="1" applyFont="1" applyFill="1" applyBorder="1" applyAlignment="1" applyProtection="1">
      <alignment horizontal="center" vertical="center" shrinkToFit="1"/>
      <protection hidden="1"/>
    </xf>
    <xf numFmtId="2" fontId="33" fillId="35" borderId="27" xfId="0" applyNumberFormat="1" applyFont="1" applyFill="1" applyBorder="1" applyAlignment="1" applyProtection="1">
      <alignment horizontal="center" vertical="center" shrinkToFit="1"/>
      <protection hidden="1"/>
    </xf>
    <xf numFmtId="2" fontId="33" fillId="35" borderId="10" xfId="0" applyNumberFormat="1" applyFont="1" applyFill="1" applyBorder="1" applyAlignment="1" applyProtection="1">
      <alignment horizontal="center" vertical="center"/>
      <protection hidden="1"/>
    </xf>
    <xf numFmtId="2" fontId="33" fillId="35" borderId="26" xfId="0" applyNumberFormat="1" applyFont="1" applyFill="1" applyBorder="1" applyAlignment="1" applyProtection="1">
      <alignment horizontal="center" vertical="center" shrinkToFit="1"/>
      <protection hidden="1"/>
    </xf>
    <xf numFmtId="2" fontId="33" fillId="35" borderId="10" xfId="0" applyNumberFormat="1" applyFont="1" applyFill="1" applyBorder="1" applyAlignment="1">
      <alignment horizontal="center" vertical="center" shrinkToFit="1"/>
    </xf>
    <xf numFmtId="2" fontId="33" fillId="35" borderId="27" xfId="0" applyNumberFormat="1" applyFont="1" applyFill="1" applyBorder="1" applyAlignment="1">
      <alignment horizontal="center" vertical="center" shrinkToFit="1"/>
    </xf>
    <xf numFmtId="2" fontId="33" fillId="35" borderId="10" xfId="0" applyNumberFormat="1" applyFont="1" applyFill="1" applyBorder="1" applyAlignment="1">
      <alignment horizontal="center" vertical="center"/>
    </xf>
    <xf numFmtId="2" fontId="33" fillId="35" borderId="26" xfId="0" applyNumberFormat="1" applyFont="1" applyFill="1" applyBorder="1" applyAlignment="1">
      <alignment horizontal="center" vertical="center" shrinkToFit="1"/>
    </xf>
    <xf numFmtId="178" fontId="33" fillId="35" borderId="10" xfId="35" applyNumberFormat="1" applyFont="1" applyFill="1" applyBorder="1" applyAlignment="1" applyProtection="1">
      <alignment horizontal="center" shrinkToFit="1"/>
    </xf>
    <xf numFmtId="2" fontId="28" fillId="27" borderId="148" xfId="0" applyNumberFormat="1" applyFont="1" applyFill="1" applyBorder="1" applyAlignment="1">
      <alignment horizontal="centerContinuous" vertical="center"/>
    </xf>
    <xf numFmtId="2" fontId="28" fillId="27" borderId="26" xfId="0" applyNumberFormat="1" applyFont="1" applyFill="1" applyBorder="1" applyAlignment="1">
      <alignment horizontal="centerContinuous" vertical="center"/>
    </xf>
    <xf numFmtId="2" fontId="28" fillId="27" borderId="80" xfId="0" applyNumberFormat="1" applyFont="1" applyFill="1" applyBorder="1" applyAlignment="1">
      <alignment horizontal="centerContinuous" vertical="center"/>
    </xf>
    <xf numFmtId="0" fontId="28" fillId="27" borderId="148" xfId="0" applyFont="1" applyFill="1" applyBorder="1" applyAlignment="1">
      <alignment horizontal="centerContinuous" vertical="center" wrapText="1"/>
    </xf>
    <xf numFmtId="0" fontId="28" fillId="27" borderId="80" xfId="0" applyFont="1" applyFill="1" applyBorder="1" applyAlignment="1">
      <alignment horizontal="centerContinuous" vertical="center" wrapText="1"/>
    </xf>
    <xf numFmtId="0" fontId="116" fillId="27" borderId="60" xfId="0" applyFont="1" applyFill="1" applyBorder="1">
      <alignment vertical="center"/>
    </xf>
    <xf numFmtId="0" fontId="115" fillId="27" borderId="60" xfId="0" applyFont="1" applyFill="1" applyBorder="1">
      <alignment vertical="center"/>
    </xf>
    <xf numFmtId="0" fontId="82" fillId="27" borderId="60" xfId="0" applyFont="1" applyFill="1" applyBorder="1" applyAlignment="1">
      <alignment horizontal="left" vertical="center"/>
    </xf>
    <xf numFmtId="0" fontId="24" fillId="27" borderId="59" xfId="0" applyFont="1" applyFill="1" applyBorder="1">
      <alignment vertical="center"/>
    </xf>
    <xf numFmtId="0" fontId="7" fillId="35" borderId="58" xfId="0" applyFont="1" applyFill="1" applyBorder="1" applyAlignment="1">
      <alignment horizontal="center" vertical="center" shrinkToFit="1"/>
    </xf>
    <xf numFmtId="0" fontId="7" fillId="35" borderId="56" xfId="0" applyFont="1" applyFill="1" applyBorder="1" applyAlignment="1">
      <alignment horizontal="center" vertical="center" shrinkToFit="1"/>
    </xf>
    <xf numFmtId="2" fontId="33" fillId="35" borderId="10" xfId="0" applyNumberFormat="1" applyFont="1" applyFill="1" applyBorder="1" applyAlignment="1" applyProtection="1">
      <alignment horizontal="centerContinuous" vertical="center"/>
      <protection hidden="1"/>
    </xf>
    <xf numFmtId="2" fontId="33" fillId="35" borderId="51" xfId="0" applyNumberFormat="1" applyFont="1" applyFill="1" applyBorder="1" applyAlignment="1" applyProtection="1">
      <alignment horizontal="centerContinuous" vertical="center"/>
      <protection hidden="1"/>
    </xf>
    <xf numFmtId="2" fontId="33" fillId="35" borderId="10" xfId="0" applyNumberFormat="1" applyFont="1" applyFill="1" applyBorder="1" applyAlignment="1">
      <alignment horizontal="centerContinuous" vertical="center"/>
    </xf>
    <xf numFmtId="2" fontId="33" fillId="35" borderId="51" xfId="0" applyNumberFormat="1" applyFont="1" applyFill="1" applyBorder="1" applyAlignment="1">
      <alignment horizontal="centerContinuous" vertical="center"/>
    </xf>
    <xf numFmtId="178" fontId="33" fillId="35" borderId="10" xfId="35" applyNumberFormat="1" applyFont="1" applyFill="1" applyBorder="1" applyAlignment="1" applyProtection="1">
      <alignment horizontal="centerContinuous" vertical="center"/>
    </xf>
    <xf numFmtId="0" fontId="7" fillId="35" borderId="26" xfId="0" applyFont="1" applyFill="1" applyBorder="1" applyAlignment="1">
      <alignment horizontal="centerContinuous" vertical="center"/>
    </xf>
    <xf numFmtId="2" fontId="28" fillId="27" borderId="224" xfId="0" applyNumberFormat="1" applyFont="1" applyFill="1" applyBorder="1" applyAlignment="1">
      <alignment horizontal="centerContinuous" vertical="center"/>
    </xf>
    <xf numFmtId="2" fontId="28" fillId="27" borderId="211" xfId="0" applyNumberFormat="1" applyFont="1" applyFill="1" applyBorder="1" applyAlignment="1">
      <alignment horizontal="centerContinuous" vertical="center"/>
    </xf>
    <xf numFmtId="2" fontId="28" fillId="27" borderId="72" xfId="0" applyNumberFormat="1" applyFont="1" applyFill="1" applyBorder="1" applyAlignment="1">
      <alignment horizontal="centerContinuous" vertical="center"/>
    </xf>
    <xf numFmtId="180" fontId="37" fillId="37" borderId="61" xfId="0" applyNumberFormat="1" applyFont="1" applyFill="1" applyBorder="1" applyAlignment="1">
      <alignment horizontal="left" vertical="center"/>
    </xf>
    <xf numFmtId="180" fontId="37" fillId="37" borderId="59" xfId="0" applyNumberFormat="1" applyFont="1" applyFill="1" applyBorder="1" applyAlignment="1">
      <alignment horizontal="left" vertical="center"/>
    </xf>
    <xf numFmtId="0" fontId="120" fillId="37" borderId="69" xfId="0" applyFont="1" applyFill="1" applyBorder="1">
      <alignment vertical="center"/>
    </xf>
    <xf numFmtId="0" fontId="82" fillId="37" borderId="69" xfId="0" applyFont="1" applyFill="1" applyBorder="1" applyAlignment="1">
      <alignment horizontal="left" vertical="center"/>
    </xf>
    <xf numFmtId="0" fontId="60" fillId="37" borderId="68" xfId="0" applyFont="1" applyFill="1" applyBorder="1" applyAlignment="1">
      <alignment horizontal="left" vertical="center"/>
    </xf>
    <xf numFmtId="0" fontId="33" fillId="35" borderId="27" xfId="0" applyFont="1" applyFill="1" applyBorder="1" applyAlignment="1">
      <alignment horizontal="centerContinuous" vertical="center"/>
    </xf>
    <xf numFmtId="0" fontId="33" fillId="35" borderId="26" xfId="0" applyFont="1" applyFill="1" applyBorder="1" applyAlignment="1">
      <alignment horizontal="centerContinuous" vertical="center"/>
    </xf>
    <xf numFmtId="0" fontId="33" fillId="35" borderId="50" xfId="0" applyFont="1" applyFill="1" applyBorder="1" applyAlignment="1">
      <alignment horizontal="centerContinuous" vertical="center"/>
    </xf>
    <xf numFmtId="0" fontId="7" fillId="35" borderId="27" xfId="0" applyFont="1" applyFill="1" applyBorder="1" applyAlignment="1">
      <alignment horizontal="centerContinuous" vertical="center"/>
    </xf>
    <xf numFmtId="0" fontId="7" fillId="35" borderId="54" xfId="0" applyFont="1" applyFill="1" applyBorder="1" applyAlignment="1">
      <alignment horizontal="center" vertical="center" shrinkToFit="1"/>
    </xf>
    <xf numFmtId="0" fontId="7" fillId="35" borderId="52" xfId="0" applyFont="1" applyFill="1" applyBorder="1" applyAlignment="1">
      <alignment horizontal="center" vertical="center"/>
    </xf>
    <xf numFmtId="2" fontId="146" fillId="0" borderId="0" xfId="0" applyNumberFormat="1" applyFont="1" applyAlignment="1">
      <alignment horizontal="center"/>
    </xf>
    <xf numFmtId="0" fontId="119" fillId="0" borderId="0" xfId="0" applyFont="1">
      <alignment vertical="center"/>
    </xf>
    <xf numFmtId="0" fontId="118" fillId="0" borderId="0" xfId="0" applyFont="1" applyAlignment="1">
      <alignment horizontal="left"/>
    </xf>
    <xf numFmtId="0" fontId="117" fillId="0" borderId="0" xfId="0" applyFont="1">
      <alignment vertical="center"/>
    </xf>
    <xf numFmtId="178" fontId="146" fillId="0" borderId="0" xfId="35" applyNumberFormat="1" applyFont="1" applyFill="1" applyBorder="1" applyAlignment="1" applyProtection="1"/>
    <xf numFmtId="0" fontId="146" fillId="0" borderId="0" xfId="0" applyFont="1" applyAlignment="1">
      <alignment horizontal="left" vertical="center"/>
    </xf>
    <xf numFmtId="178" fontId="145" fillId="0" borderId="0" xfId="35" applyNumberFormat="1" applyFont="1" applyFill="1" applyBorder="1" applyAlignment="1" applyProtection="1"/>
    <xf numFmtId="1" fontId="145" fillId="0" borderId="0" xfId="0" applyNumberFormat="1" applyFont="1" applyAlignment="1">
      <alignment horizontal="center"/>
    </xf>
    <xf numFmtId="0" fontId="112" fillId="37" borderId="71" xfId="0" applyFont="1" applyFill="1" applyBorder="1">
      <alignment vertical="center"/>
    </xf>
    <xf numFmtId="0" fontId="112" fillId="37" borderId="69" xfId="0" applyFont="1" applyFill="1" applyBorder="1">
      <alignment vertical="center"/>
    </xf>
    <xf numFmtId="0" fontId="112" fillId="37" borderId="68" xfId="0" applyFont="1" applyFill="1" applyBorder="1">
      <alignment vertical="center"/>
    </xf>
    <xf numFmtId="180" fontId="37" fillId="0" borderId="0" xfId="0" applyNumberFormat="1" applyFont="1" applyAlignment="1">
      <alignment horizontal="left"/>
    </xf>
    <xf numFmtId="0" fontId="0" fillId="0" borderId="62" xfId="0" applyBorder="1">
      <alignment vertical="center"/>
    </xf>
    <xf numFmtId="49" fontId="145" fillId="0" borderId="0" xfId="0" applyNumberFormat="1" applyFont="1">
      <alignment vertical="center"/>
    </xf>
    <xf numFmtId="2" fontId="145" fillId="0" borderId="0" xfId="0" applyNumberFormat="1" applyFont="1" applyAlignment="1">
      <alignment horizontal="left"/>
    </xf>
    <xf numFmtId="2" fontId="197" fillId="0" borderId="0" xfId="0" applyNumberFormat="1" applyFont="1" applyAlignment="1">
      <alignment horizontal="left"/>
    </xf>
    <xf numFmtId="0" fontId="188" fillId="0" borderId="0" xfId="0" applyFont="1">
      <alignment vertical="center"/>
    </xf>
    <xf numFmtId="0" fontId="112" fillId="37" borderId="60" xfId="0" applyFont="1" applyFill="1" applyBorder="1">
      <alignment vertical="center"/>
    </xf>
    <xf numFmtId="0" fontId="112" fillId="37" borderId="59" xfId="0" applyFont="1" applyFill="1" applyBorder="1">
      <alignment vertical="center"/>
    </xf>
    <xf numFmtId="193" fontId="26" fillId="31" borderId="92" xfId="0" applyNumberFormat="1" applyFont="1" applyFill="1" applyBorder="1" applyAlignment="1" applyProtection="1">
      <alignment horizontal="center" vertical="center"/>
      <protection locked="0"/>
    </xf>
    <xf numFmtId="0" fontId="26" fillId="51" borderId="168" xfId="0" applyFont="1" applyFill="1" applyBorder="1" applyAlignment="1" applyProtection="1">
      <alignment horizontal="center" vertical="center"/>
      <protection locked="0" hidden="1"/>
    </xf>
    <xf numFmtId="0" fontId="26" fillId="51" borderId="169" xfId="0" applyFont="1" applyFill="1" applyBorder="1" applyAlignment="1" applyProtection="1">
      <alignment horizontal="center" vertical="center"/>
      <protection locked="0" hidden="1"/>
    </xf>
    <xf numFmtId="0" fontId="26" fillId="51" borderId="115" xfId="0" applyFont="1" applyFill="1" applyBorder="1" applyAlignment="1" applyProtection="1">
      <alignment horizontal="center" vertical="center"/>
      <protection locked="0" hidden="1"/>
    </xf>
    <xf numFmtId="190" fontId="28" fillId="53" borderId="27" xfId="0" applyNumberFormat="1" applyFont="1" applyFill="1" applyBorder="1" applyAlignment="1" applyProtection="1">
      <alignment horizontal="center" vertical="center"/>
      <protection hidden="1"/>
    </xf>
    <xf numFmtId="190" fontId="28" fillId="53" borderId="50" xfId="0" applyNumberFormat="1" applyFont="1" applyFill="1" applyBorder="1" applyAlignment="1" applyProtection="1">
      <alignment horizontal="center" vertical="center"/>
      <protection hidden="1"/>
    </xf>
    <xf numFmtId="0" fontId="7" fillId="51" borderId="187" xfId="0" applyFont="1" applyFill="1" applyBorder="1">
      <alignment vertical="center"/>
    </xf>
    <xf numFmtId="0" fontId="28" fillId="51" borderId="52" xfId="0" applyFont="1" applyFill="1" applyBorder="1" applyProtection="1">
      <alignment vertical="center"/>
      <protection hidden="1"/>
    </xf>
    <xf numFmtId="0" fontId="28" fillId="51" borderId="54" xfId="0" applyFont="1" applyFill="1" applyBorder="1" applyProtection="1">
      <alignment vertical="center"/>
      <protection hidden="1"/>
    </xf>
    <xf numFmtId="0" fontId="28" fillId="51" borderId="56" xfId="0" applyFont="1" applyFill="1" applyBorder="1" applyProtection="1">
      <alignment vertical="center"/>
      <protection hidden="1"/>
    </xf>
    <xf numFmtId="0" fontId="7" fillId="51" borderId="58" xfId="0" applyFont="1" applyFill="1" applyBorder="1">
      <alignment vertical="center"/>
    </xf>
    <xf numFmtId="0" fontId="0" fillId="51" borderId="13" xfId="0" applyFill="1" applyBorder="1">
      <alignment vertical="center"/>
    </xf>
    <xf numFmtId="0" fontId="37" fillId="27" borderId="17" xfId="0" applyFont="1" applyFill="1" applyBorder="1" applyAlignment="1" applyProtection="1">
      <alignment horizontal="left" vertical="center"/>
      <protection hidden="1"/>
    </xf>
    <xf numFmtId="0" fontId="37" fillId="27" borderId="64" xfId="0" applyFont="1" applyFill="1" applyBorder="1" applyAlignment="1" applyProtection="1">
      <alignment horizontal="left" vertical="center"/>
      <protection hidden="1"/>
    </xf>
    <xf numFmtId="0" fontId="37" fillId="27" borderId="27" xfId="0" applyFont="1" applyFill="1" applyBorder="1" applyAlignment="1" applyProtection="1">
      <alignment horizontal="left" vertical="center"/>
      <protection hidden="1"/>
    </xf>
    <xf numFmtId="0" fontId="7" fillId="51" borderId="27" xfId="0" applyFont="1" applyFill="1" applyBorder="1">
      <alignment vertical="center"/>
    </xf>
    <xf numFmtId="0" fontId="28" fillId="0" borderId="50" xfId="0" applyFont="1" applyBorder="1">
      <alignment vertical="center"/>
    </xf>
    <xf numFmtId="0" fontId="28" fillId="0" borderId="27" xfId="0" applyFont="1" applyBorder="1">
      <alignment vertical="center"/>
    </xf>
    <xf numFmtId="0" fontId="28" fillId="0" borderId="0" xfId="0" applyFont="1" applyProtection="1">
      <alignment vertical="center"/>
      <protection locked="0"/>
    </xf>
    <xf numFmtId="0" fontId="160" fillId="0" borderId="50" xfId="0" applyFont="1" applyBorder="1">
      <alignment vertical="center"/>
    </xf>
    <xf numFmtId="0" fontId="37" fillId="0" borderId="0" xfId="0" applyFont="1" applyAlignment="1">
      <alignment horizontal="center" vertical="center"/>
    </xf>
    <xf numFmtId="0" fontId="28" fillId="27" borderId="162" xfId="0" applyFont="1" applyFill="1" applyBorder="1">
      <alignment vertical="center"/>
    </xf>
    <xf numFmtId="0" fontId="28" fillId="27" borderId="14" xfId="0" applyFont="1" applyFill="1" applyBorder="1">
      <alignment vertical="center"/>
    </xf>
    <xf numFmtId="0" fontId="28" fillId="27" borderId="166" xfId="0" applyFont="1" applyFill="1" applyBorder="1">
      <alignment vertical="center"/>
    </xf>
    <xf numFmtId="0" fontId="26" fillId="58" borderId="11" xfId="0" applyFont="1" applyFill="1" applyBorder="1" applyAlignment="1" applyProtection="1">
      <alignment horizontal="center" vertical="center"/>
      <protection locked="0" hidden="1"/>
    </xf>
    <xf numFmtId="0" fontId="26" fillId="58" borderId="164" xfId="0" applyFont="1" applyFill="1" applyBorder="1" applyAlignment="1" applyProtection="1">
      <alignment horizontal="center" vertical="center"/>
      <protection locked="0" hidden="1"/>
    </xf>
    <xf numFmtId="0" fontId="24" fillId="31" borderId="92" xfId="0" applyFont="1" applyFill="1" applyBorder="1" applyAlignment="1" applyProtection="1">
      <alignment horizontal="center" vertical="center"/>
      <protection locked="0"/>
    </xf>
    <xf numFmtId="0" fontId="24" fillId="31" borderId="184" xfId="0" applyFont="1" applyFill="1" applyBorder="1" applyAlignment="1" applyProtection="1">
      <alignment horizontal="center" vertical="center"/>
      <protection locked="0"/>
    </xf>
    <xf numFmtId="0" fontId="24" fillId="31" borderId="170" xfId="0" applyFont="1" applyFill="1" applyBorder="1" applyAlignment="1" applyProtection="1">
      <alignment horizontal="center" vertical="center"/>
      <protection locked="0"/>
    </xf>
    <xf numFmtId="0" fontId="28" fillId="0" borderId="0" xfId="0" applyFont="1" applyAlignment="1">
      <alignment horizontal="right" vertical="center"/>
    </xf>
    <xf numFmtId="0" fontId="26" fillId="58" borderId="163" xfId="0" applyFont="1" applyFill="1" applyBorder="1" applyAlignment="1" applyProtection="1">
      <alignment horizontal="center" vertical="center"/>
      <protection locked="0" hidden="1"/>
    </xf>
    <xf numFmtId="0" fontId="28" fillId="27" borderId="10" xfId="0" applyFont="1" applyFill="1" applyBorder="1" applyAlignment="1" applyProtection="1">
      <alignment horizontal="left" vertical="center"/>
      <protection hidden="1"/>
    </xf>
    <xf numFmtId="0" fontId="160" fillId="0" borderId="53" xfId="0" applyFont="1" applyBorder="1">
      <alignment vertical="center"/>
    </xf>
    <xf numFmtId="0" fontId="28" fillId="58" borderId="16" xfId="0" applyFont="1" applyFill="1" applyBorder="1" applyAlignment="1" applyProtection="1">
      <alignment vertical="center" shrinkToFit="1"/>
      <protection locked="0"/>
    </xf>
    <xf numFmtId="0" fontId="28" fillId="58" borderId="11" xfId="0" applyFont="1" applyFill="1" applyBorder="1" applyAlignment="1" applyProtection="1">
      <alignment vertical="center" shrinkToFit="1"/>
      <protection locked="0"/>
    </xf>
    <xf numFmtId="0" fontId="28" fillId="58" borderId="164" xfId="0" applyFont="1" applyFill="1" applyBorder="1" applyAlignment="1" applyProtection="1">
      <alignment vertical="center" shrinkToFit="1"/>
      <protection locked="0"/>
    </xf>
    <xf numFmtId="0" fontId="160" fillId="27" borderId="162" xfId="0" applyFont="1" applyFill="1" applyBorder="1">
      <alignment vertical="center"/>
    </xf>
    <xf numFmtId="0" fontId="160" fillId="27" borderId="14" xfId="0" applyFont="1" applyFill="1" applyBorder="1">
      <alignment vertical="center"/>
    </xf>
    <xf numFmtId="0" fontId="160" fillId="27" borderId="178" xfId="0" applyFont="1" applyFill="1" applyBorder="1">
      <alignment vertical="center"/>
    </xf>
    <xf numFmtId="0" fontId="160" fillId="27" borderId="166" xfId="0" applyFont="1" applyFill="1" applyBorder="1">
      <alignment vertical="center"/>
    </xf>
    <xf numFmtId="0" fontId="28" fillId="27" borderId="0" xfId="0" applyFont="1" applyFill="1" applyAlignment="1" applyProtection="1">
      <alignment horizontal="left" vertical="center" wrapText="1"/>
      <protection hidden="1"/>
    </xf>
    <xf numFmtId="0" fontId="28" fillId="27" borderId="17" xfId="0" applyFont="1" applyFill="1" applyBorder="1" applyAlignment="1" applyProtection="1">
      <alignment horizontal="left" vertical="center" wrapText="1"/>
      <protection hidden="1"/>
    </xf>
    <xf numFmtId="176" fontId="28" fillId="27" borderId="13" xfId="0" applyNumberFormat="1" applyFont="1" applyFill="1" applyBorder="1" applyAlignment="1" applyProtection="1">
      <alignment horizontal="left" vertical="center" wrapText="1"/>
      <protection hidden="1"/>
    </xf>
    <xf numFmtId="0" fontId="28" fillId="58" borderId="26" xfId="0" applyFont="1" applyFill="1" applyBorder="1" applyProtection="1">
      <alignment vertical="center"/>
      <protection locked="0"/>
    </xf>
    <xf numFmtId="0" fontId="28" fillId="58" borderId="10" xfId="0" applyFont="1" applyFill="1" applyBorder="1" applyProtection="1">
      <alignment vertical="center"/>
      <protection locked="0"/>
    </xf>
    <xf numFmtId="0" fontId="26" fillId="58" borderId="168" xfId="0" applyFont="1" applyFill="1" applyBorder="1" applyAlignment="1" applyProtection="1">
      <alignment horizontal="center" vertical="center"/>
      <protection locked="0" hidden="1"/>
    </xf>
    <xf numFmtId="0" fontId="26" fillId="58" borderId="169" xfId="0" applyFont="1" applyFill="1" applyBorder="1" applyAlignment="1" applyProtection="1">
      <alignment horizontal="center" vertical="center"/>
      <protection locked="0" hidden="1"/>
    </xf>
    <xf numFmtId="0" fontId="26" fillId="58" borderId="184" xfId="0" applyFont="1" applyFill="1" applyBorder="1" applyAlignment="1" applyProtection="1">
      <alignment horizontal="center" vertical="center"/>
      <protection locked="0" hidden="1"/>
    </xf>
    <xf numFmtId="0" fontId="26" fillId="58" borderId="170" xfId="0" applyFont="1" applyFill="1" applyBorder="1" applyAlignment="1" applyProtection="1">
      <alignment horizontal="center" vertical="center"/>
      <protection locked="0"/>
    </xf>
    <xf numFmtId="0" fontId="28" fillId="27" borderId="26" xfId="0" applyFont="1" applyFill="1" applyBorder="1" applyAlignment="1" applyProtection="1">
      <alignment horizontal="center" vertical="center" shrinkToFit="1"/>
      <protection hidden="1"/>
    </xf>
    <xf numFmtId="0" fontId="26" fillId="58" borderId="16" xfId="0" applyFont="1" applyFill="1" applyBorder="1" applyAlignment="1" applyProtection="1">
      <alignment horizontal="center" vertical="center"/>
      <protection locked="0" hidden="1"/>
    </xf>
    <xf numFmtId="0" fontId="37" fillId="0" borderId="0" xfId="0" applyFont="1">
      <alignment vertical="center"/>
    </xf>
    <xf numFmtId="0" fontId="28" fillId="0" borderId="57" xfId="0" applyFont="1" applyBorder="1" applyProtection="1">
      <alignment vertical="center"/>
      <protection hidden="1"/>
    </xf>
    <xf numFmtId="0" fontId="24" fillId="27" borderId="211" xfId="0" applyFont="1" applyFill="1" applyBorder="1" applyAlignment="1" applyProtection="1">
      <alignment horizontal="center" vertical="center" wrapText="1"/>
      <protection hidden="1"/>
    </xf>
    <xf numFmtId="0" fontId="28" fillId="27" borderId="50" xfId="0" applyFont="1" applyFill="1" applyBorder="1" applyAlignment="1" applyProtection="1">
      <alignment horizontal="left" vertical="center" wrapText="1"/>
      <protection hidden="1"/>
    </xf>
    <xf numFmtId="0" fontId="28" fillId="27" borderId="50" xfId="0" applyFont="1" applyFill="1" applyBorder="1" applyAlignment="1" applyProtection="1">
      <alignment horizontal="right" vertical="center" wrapText="1"/>
      <protection hidden="1"/>
    </xf>
    <xf numFmtId="190" fontId="28" fillId="31" borderId="50" xfId="0" applyNumberFormat="1" applyFont="1" applyFill="1" applyBorder="1" applyAlignment="1" applyProtection="1">
      <alignment horizontal="centerContinuous" vertical="center"/>
      <protection hidden="1"/>
    </xf>
    <xf numFmtId="190" fontId="28" fillId="31" borderId="27" xfId="0" applyNumberFormat="1" applyFont="1" applyFill="1" applyBorder="1" applyAlignment="1" applyProtection="1">
      <alignment horizontal="centerContinuous" vertical="center"/>
      <protection hidden="1"/>
    </xf>
    <xf numFmtId="176" fontId="28" fillId="27" borderId="167" xfId="0" applyNumberFormat="1" applyFont="1" applyFill="1" applyBorder="1" applyAlignment="1" applyProtection="1">
      <alignment horizontal="left" vertical="center" wrapText="1"/>
      <protection hidden="1"/>
    </xf>
    <xf numFmtId="0" fontId="28" fillId="27" borderId="50" xfId="0" applyFont="1" applyFill="1" applyBorder="1" applyAlignment="1" applyProtection="1">
      <alignment horizontal="right" vertical="center"/>
      <protection hidden="1"/>
    </xf>
    <xf numFmtId="0" fontId="42" fillId="27" borderId="211" xfId="0" applyFont="1" applyFill="1" applyBorder="1" applyAlignment="1" applyProtection="1">
      <alignment horizontal="center" vertical="center" wrapText="1"/>
      <protection hidden="1"/>
    </xf>
    <xf numFmtId="211" fontId="28" fillId="27" borderId="50" xfId="0" applyNumberFormat="1" applyFont="1" applyFill="1" applyBorder="1" applyAlignment="1" applyProtection="1">
      <alignment horizontal="left" vertical="center"/>
      <protection hidden="1"/>
    </xf>
    <xf numFmtId="193" fontId="26" fillId="27" borderId="51" xfId="0" applyNumberFormat="1" applyFont="1" applyFill="1" applyBorder="1" applyAlignment="1" applyProtection="1">
      <alignment horizontal="center" vertical="center" wrapText="1"/>
      <protection hidden="1"/>
    </xf>
    <xf numFmtId="0" fontId="24" fillId="58" borderId="168" xfId="0" applyFont="1" applyFill="1" applyBorder="1" applyAlignment="1" applyProtection="1">
      <alignment horizontal="center" vertical="center"/>
      <protection locked="0" hidden="1"/>
    </xf>
    <xf numFmtId="0" fontId="24" fillId="58" borderId="184" xfId="0" applyFont="1" applyFill="1" applyBorder="1" applyAlignment="1" applyProtection="1">
      <alignment horizontal="center" vertical="center"/>
      <protection locked="0" hidden="1"/>
    </xf>
    <xf numFmtId="0" fontId="24" fillId="58" borderId="169" xfId="0" applyFont="1" applyFill="1" applyBorder="1" applyAlignment="1" applyProtection="1">
      <alignment horizontal="center" vertical="center"/>
      <protection locked="0" hidden="1"/>
    </xf>
    <xf numFmtId="0" fontId="24" fillId="58" borderId="170" xfId="0" applyFont="1" applyFill="1" applyBorder="1" applyAlignment="1" applyProtection="1">
      <alignment horizontal="center" vertical="center"/>
      <protection locked="0" hidden="1"/>
    </xf>
    <xf numFmtId="0" fontId="64" fillId="0" borderId="0" xfId="0" applyFont="1" applyAlignment="1">
      <alignment horizontal="left" vertical="top" wrapText="1"/>
    </xf>
    <xf numFmtId="0" fontId="37" fillId="0" borderId="0" xfId="0" applyFont="1" applyAlignment="1">
      <alignment horizontal="left" vertical="top" wrapText="1"/>
    </xf>
    <xf numFmtId="0" fontId="28" fillId="0" borderId="0" xfId="0" applyFont="1" applyAlignment="1">
      <alignment vertical="center" wrapText="1"/>
    </xf>
    <xf numFmtId="0" fontId="37" fillId="0" borderId="0" xfId="0" applyFont="1" applyAlignment="1">
      <alignment vertical="top" wrapText="1"/>
    </xf>
    <xf numFmtId="0" fontId="28" fillId="27" borderId="172" xfId="0" applyFont="1" applyFill="1" applyBorder="1">
      <alignment vertical="center"/>
    </xf>
    <xf numFmtId="0" fontId="7" fillId="51" borderId="177" xfId="0" applyFont="1" applyFill="1" applyBorder="1">
      <alignment vertical="center"/>
    </xf>
    <xf numFmtId="0" fontId="28" fillId="51" borderId="178" xfId="0" applyFont="1" applyFill="1" applyBorder="1" applyAlignment="1">
      <alignment horizontal="right" vertical="center"/>
    </xf>
    <xf numFmtId="0" fontId="7" fillId="51" borderId="177" xfId="0" applyFont="1" applyFill="1" applyBorder="1" applyAlignment="1">
      <alignment vertical="center" wrapText="1"/>
    </xf>
    <xf numFmtId="9" fontId="28" fillId="58" borderId="10" xfId="28" applyFont="1" applyFill="1" applyBorder="1" applyProtection="1">
      <alignment vertical="center"/>
      <protection locked="0"/>
    </xf>
    <xf numFmtId="9" fontId="26" fillId="51" borderId="187" xfId="28" applyFont="1" applyFill="1" applyBorder="1" applyAlignment="1">
      <alignment horizontal="right" vertical="center" wrapText="1"/>
    </xf>
    <xf numFmtId="193" fontId="26" fillId="27" borderId="10" xfId="0" applyNumberFormat="1" applyFont="1" applyFill="1" applyBorder="1" applyAlignment="1" applyProtection="1">
      <alignment horizontal="center" vertical="center" wrapText="1"/>
      <protection hidden="1"/>
    </xf>
    <xf numFmtId="0" fontId="28" fillId="70" borderId="80" xfId="0" applyFont="1" applyFill="1" applyBorder="1" applyAlignment="1" applyProtection="1">
      <alignment horizontal="centerContinuous" vertical="center"/>
      <protection hidden="1"/>
    </xf>
    <xf numFmtId="0" fontId="37" fillId="0" borderId="0" xfId="0" applyFont="1" applyAlignment="1">
      <alignment horizontal="right" vertical="center"/>
    </xf>
    <xf numFmtId="0" fontId="42" fillId="27" borderId="26" xfId="0" applyFont="1" applyFill="1" applyBorder="1" applyAlignment="1" applyProtection="1">
      <alignment horizontal="center" vertical="center"/>
      <protection hidden="1"/>
    </xf>
    <xf numFmtId="0" fontId="26" fillId="58" borderId="206" xfId="0" applyFont="1" applyFill="1" applyBorder="1" applyAlignment="1" applyProtection="1">
      <alignment horizontal="center" vertical="center"/>
      <protection locked="0" hidden="1"/>
    </xf>
    <xf numFmtId="0" fontId="26" fillId="58" borderId="100" xfId="0" applyFont="1" applyFill="1" applyBorder="1" applyAlignment="1" applyProtection="1">
      <alignment horizontal="center" vertical="center"/>
      <protection locked="0" hidden="1"/>
    </xf>
    <xf numFmtId="0" fontId="26" fillId="58" borderId="216" xfId="0" applyFont="1" applyFill="1" applyBorder="1" applyAlignment="1" applyProtection="1">
      <alignment horizontal="center" vertical="center"/>
      <protection locked="0" hidden="1"/>
    </xf>
    <xf numFmtId="0" fontId="26" fillId="58" borderId="215" xfId="0" applyFont="1" applyFill="1" applyBorder="1" applyAlignment="1" applyProtection="1">
      <alignment horizontal="center" vertical="center"/>
      <protection locked="0" hidden="1"/>
    </xf>
    <xf numFmtId="0" fontId="26" fillId="58" borderId="170" xfId="0" applyFont="1" applyFill="1" applyBorder="1" applyAlignment="1" applyProtection="1">
      <alignment horizontal="center" vertical="center"/>
      <protection locked="0" hidden="1"/>
    </xf>
    <xf numFmtId="0" fontId="26" fillId="58" borderId="144" xfId="0" applyFont="1" applyFill="1" applyBorder="1" applyAlignment="1" applyProtection="1">
      <alignment horizontal="center" vertical="center"/>
      <protection locked="0"/>
    </xf>
    <xf numFmtId="0" fontId="33" fillId="0" borderId="0" xfId="0" applyFont="1" applyAlignment="1">
      <alignment horizontal="center" vertical="center"/>
    </xf>
    <xf numFmtId="0" fontId="24" fillId="58" borderId="92" xfId="0" applyFont="1" applyFill="1" applyBorder="1" applyAlignment="1" applyProtection="1">
      <alignment horizontal="center" vertical="center"/>
      <protection locked="0" hidden="1"/>
    </xf>
    <xf numFmtId="0" fontId="28" fillId="27" borderId="64" xfId="0" applyFont="1" applyFill="1" applyBorder="1" applyAlignment="1" applyProtection="1">
      <alignment horizontal="left" vertical="center"/>
      <protection hidden="1"/>
    </xf>
    <xf numFmtId="0" fontId="7" fillId="27" borderId="173" xfId="0" applyFont="1" applyFill="1" applyBorder="1" applyAlignment="1" applyProtection="1">
      <alignment horizontal="center" vertical="center" wrapText="1"/>
      <protection hidden="1"/>
    </xf>
    <xf numFmtId="0" fontId="7" fillId="27" borderId="173" xfId="0" quotePrefix="1" applyFont="1" applyFill="1" applyBorder="1" applyAlignment="1" applyProtection="1">
      <alignment horizontal="center" vertical="center" wrapText="1"/>
      <protection hidden="1"/>
    </xf>
    <xf numFmtId="0" fontId="28" fillId="27" borderId="177" xfId="0" applyFont="1" applyFill="1" applyBorder="1" applyAlignment="1" applyProtection="1">
      <alignment horizontal="left" vertical="center" wrapText="1" indent="1"/>
      <protection hidden="1"/>
    </xf>
    <xf numFmtId="0" fontId="28" fillId="27" borderId="178" xfId="0" applyFont="1" applyFill="1" applyBorder="1" applyAlignment="1" applyProtection="1">
      <alignment horizontal="left" vertical="center" wrapText="1" indent="1"/>
      <protection hidden="1"/>
    </xf>
    <xf numFmtId="0" fontId="28" fillId="27" borderId="177" xfId="0" applyFont="1" applyFill="1" applyBorder="1">
      <alignment vertical="center"/>
    </xf>
    <xf numFmtId="0" fontId="28" fillId="27" borderId="178" xfId="0" applyFont="1" applyFill="1" applyBorder="1">
      <alignment vertical="center"/>
    </xf>
    <xf numFmtId="0" fontId="0" fillId="71" borderId="0" xfId="0" applyFill="1">
      <alignment vertical="center"/>
    </xf>
    <xf numFmtId="0" fontId="7" fillId="51" borderId="161" xfId="0" applyFont="1" applyFill="1" applyBorder="1" applyAlignment="1">
      <alignment vertical="center" wrapText="1"/>
    </xf>
    <xf numFmtId="0" fontId="7" fillId="51" borderId="162" xfId="0" applyFont="1" applyFill="1" applyBorder="1" applyAlignment="1">
      <alignment vertical="center" wrapText="1"/>
    </xf>
    <xf numFmtId="0" fontId="28" fillId="51" borderId="12" xfId="0" applyFont="1" applyFill="1" applyBorder="1" applyAlignment="1" applyProtection="1">
      <alignment vertical="center" wrapText="1"/>
      <protection hidden="1"/>
    </xf>
    <xf numFmtId="0" fontId="28" fillId="51" borderId="165" xfId="0" applyFont="1" applyFill="1" applyBorder="1" applyAlignment="1" applyProtection="1">
      <alignment vertical="center" wrapText="1"/>
      <protection hidden="1"/>
    </xf>
    <xf numFmtId="0" fontId="26" fillId="51" borderId="171" xfId="0" applyFont="1" applyFill="1" applyBorder="1" applyAlignment="1" applyProtection="1">
      <alignment horizontal="center" vertical="center"/>
      <protection hidden="1"/>
    </xf>
    <xf numFmtId="0" fontId="26" fillId="51" borderId="165" xfId="0" applyFont="1" applyFill="1" applyBorder="1" applyAlignment="1" applyProtection="1">
      <alignment horizontal="center" vertical="center"/>
      <protection hidden="1"/>
    </xf>
    <xf numFmtId="0" fontId="28" fillId="51" borderId="160" xfId="0" applyFont="1" applyFill="1" applyBorder="1" applyAlignment="1" applyProtection="1">
      <alignment horizontal="left" vertical="center" shrinkToFit="1"/>
      <protection hidden="1"/>
    </xf>
    <xf numFmtId="0" fontId="28" fillId="51" borderId="11" xfId="0" applyFont="1" applyFill="1" applyBorder="1" applyAlignment="1">
      <alignment vertical="center" wrapText="1"/>
    </xf>
    <xf numFmtId="0" fontId="28" fillId="51" borderId="12" xfId="0" applyFont="1" applyFill="1" applyBorder="1" applyAlignment="1" applyProtection="1">
      <alignment horizontal="left" vertical="center" wrapText="1"/>
      <protection hidden="1"/>
    </xf>
    <xf numFmtId="0" fontId="28" fillId="51" borderId="164" xfId="0" applyFont="1" applyFill="1" applyBorder="1" applyAlignment="1">
      <alignment vertical="center" wrapText="1"/>
    </xf>
    <xf numFmtId="0" fontId="28" fillId="51" borderId="181" xfId="0" applyFont="1" applyFill="1" applyBorder="1" applyAlignment="1" applyProtection="1">
      <alignment horizontal="left" vertical="center"/>
      <protection hidden="1"/>
    </xf>
    <xf numFmtId="0" fontId="28" fillId="51" borderId="12" xfId="0" applyFont="1" applyFill="1" applyBorder="1">
      <alignment vertical="center"/>
    </xf>
    <xf numFmtId="0" fontId="7" fillId="51" borderId="187" xfId="0" applyFont="1" applyFill="1" applyBorder="1" applyAlignment="1">
      <alignment vertical="center" wrapText="1"/>
    </xf>
    <xf numFmtId="0" fontId="28" fillId="51" borderId="181" xfId="0" applyFont="1" applyFill="1" applyBorder="1" applyProtection="1">
      <alignment vertical="center"/>
      <protection hidden="1"/>
    </xf>
    <xf numFmtId="0" fontId="28" fillId="51" borderId="182" xfId="0" applyFont="1" applyFill="1" applyBorder="1" applyProtection="1">
      <alignment vertical="center"/>
      <protection hidden="1"/>
    </xf>
    <xf numFmtId="0" fontId="28" fillId="51" borderId="165" xfId="0" applyFont="1" applyFill="1" applyBorder="1" applyProtection="1">
      <alignment vertical="center"/>
      <protection hidden="1"/>
    </xf>
    <xf numFmtId="0" fontId="0" fillId="51" borderId="167" xfId="0" applyFill="1" applyBorder="1" applyAlignment="1">
      <alignment vertical="center" wrapText="1"/>
    </xf>
    <xf numFmtId="0" fontId="0" fillId="51" borderId="166" xfId="0" applyFill="1" applyBorder="1" applyAlignment="1">
      <alignment vertical="center" wrapText="1"/>
    </xf>
    <xf numFmtId="0" fontId="28" fillId="51" borderId="171" xfId="0" applyFont="1" applyFill="1" applyBorder="1" applyProtection="1">
      <alignment vertical="center"/>
      <protection hidden="1"/>
    </xf>
    <xf numFmtId="0" fontId="0" fillId="51" borderId="13" xfId="0" applyFill="1" applyBorder="1" applyAlignment="1">
      <alignment vertical="center" wrapText="1"/>
    </xf>
    <xf numFmtId="0" fontId="0" fillId="51" borderId="14" xfId="0" applyFill="1" applyBorder="1" applyAlignment="1">
      <alignment vertical="center" wrapText="1"/>
    </xf>
    <xf numFmtId="0" fontId="7" fillId="51" borderId="11" xfId="0" applyFont="1" applyFill="1" applyBorder="1" applyAlignment="1" applyProtection="1">
      <alignment horizontal="center" vertical="center"/>
      <protection hidden="1"/>
    </xf>
    <xf numFmtId="0" fontId="28" fillId="51" borderId="160" xfId="0" applyFont="1" applyFill="1" applyBorder="1" applyProtection="1">
      <alignment vertical="center"/>
      <protection hidden="1"/>
    </xf>
    <xf numFmtId="0" fontId="0" fillId="51" borderId="161" xfId="0" applyFill="1" applyBorder="1" applyAlignment="1">
      <alignment vertical="center" wrapText="1"/>
    </xf>
    <xf numFmtId="0" fontId="0" fillId="51" borderId="162" xfId="0" applyFill="1" applyBorder="1" applyAlignment="1">
      <alignment vertical="center" wrapText="1"/>
    </xf>
    <xf numFmtId="0" fontId="42" fillId="51" borderId="50" xfId="0" applyFont="1" applyFill="1" applyBorder="1" applyAlignment="1" applyProtection="1">
      <alignment horizontal="center" vertical="center" wrapText="1"/>
      <protection hidden="1"/>
    </xf>
    <xf numFmtId="178" fontId="26" fillId="51" borderId="27" xfId="0" applyNumberFormat="1" applyFont="1" applyFill="1" applyBorder="1" applyAlignment="1" applyProtection="1">
      <alignment horizontal="center" vertical="center" wrapText="1"/>
      <protection hidden="1"/>
    </xf>
    <xf numFmtId="0" fontId="26" fillId="51" borderId="50" xfId="0" applyFont="1" applyFill="1" applyBorder="1" applyAlignment="1" applyProtection="1">
      <alignment horizontal="center" vertical="center" wrapText="1"/>
      <protection hidden="1"/>
    </xf>
    <xf numFmtId="0" fontId="28" fillId="51" borderId="50" xfId="0" applyFont="1" applyFill="1" applyBorder="1" applyAlignment="1" applyProtection="1">
      <alignment vertical="center" wrapText="1"/>
      <protection hidden="1"/>
    </xf>
    <xf numFmtId="0" fontId="28" fillId="51" borderId="27" xfId="0" applyFont="1" applyFill="1" applyBorder="1" applyAlignment="1" applyProtection="1">
      <alignment vertical="center" wrapText="1"/>
      <protection hidden="1"/>
    </xf>
    <xf numFmtId="0" fontId="0" fillId="51" borderId="50" xfId="0" applyFill="1" applyBorder="1" applyAlignment="1">
      <alignment vertical="center" wrapText="1"/>
    </xf>
    <xf numFmtId="0" fontId="0" fillId="51" borderId="27" xfId="0" applyFill="1" applyBorder="1" applyAlignment="1">
      <alignment vertical="center" wrapText="1"/>
    </xf>
    <xf numFmtId="0" fontId="28" fillId="51" borderId="50" xfId="0" applyFont="1" applyFill="1" applyBorder="1" applyProtection="1">
      <alignment vertical="center"/>
      <protection hidden="1"/>
    </xf>
    <xf numFmtId="0" fontId="28" fillId="51" borderId="27" xfId="0" applyFont="1" applyFill="1" applyBorder="1" applyProtection="1">
      <alignment vertical="center"/>
      <protection hidden="1"/>
    </xf>
    <xf numFmtId="0" fontId="0" fillId="51" borderId="17" xfId="0" applyFill="1" applyBorder="1" applyAlignment="1">
      <alignment vertical="center" wrapText="1"/>
    </xf>
    <xf numFmtId="0" fontId="0" fillId="51" borderId="64" xfId="0" applyFill="1" applyBorder="1" applyAlignment="1">
      <alignment vertical="center" wrapText="1"/>
    </xf>
    <xf numFmtId="0" fontId="0" fillId="51" borderId="56" xfId="0" applyFill="1" applyBorder="1" applyAlignment="1">
      <alignment vertical="center" wrapText="1"/>
    </xf>
    <xf numFmtId="0" fontId="0" fillId="51" borderId="58" xfId="0" applyFill="1" applyBorder="1" applyAlignment="1">
      <alignment vertical="center" wrapText="1"/>
    </xf>
    <xf numFmtId="0" fontId="28" fillId="51" borderId="89" xfId="0" applyFont="1" applyFill="1" applyBorder="1" applyProtection="1">
      <alignment vertical="center"/>
      <protection hidden="1"/>
    </xf>
    <xf numFmtId="0" fontId="0" fillId="51" borderId="62" xfId="0" applyFill="1" applyBorder="1">
      <alignment vertical="center"/>
    </xf>
    <xf numFmtId="0" fontId="0" fillId="51" borderId="77" xfId="0" applyFill="1" applyBorder="1">
      <alignment vertical="center"/>
    </xf>
    <xf numFmtId="0" fontId="0" fillId="51" borderId="62" xfId="0" applyFill="1" applyBorder="1" applyAlignment="1">
      <alignment vertical="center" wrapText="1"/>
    </xf>
    <xf numFmtId="0" fontId="0" fillId="51" borderId="77" xfId="0" applyFill="1" applyBorder="1" applyAlignment="1">
      <alignment vertical="center" wrapText="1"/>
    </xf>
    <xf numFmtId="0" fontId="28" fillId="51" borderId="162" xfId="0" applyFont="1" applyFill="1" applyBorder="1" applyAlignment="1" applyProtection="1">
      <alignment horizontal="left" vertical="center"/>
      <protection hidden="1"/>
    </xf>
    <xf numFmtId="0" fontId="28" fillId="51" borderId="13" xfId="0" applyFont="1" applyFill="1" applyBorder="1" applyAlignment="1" applyProtection="1">
      <alignment vertical="center" wrapText="1"/>
      <protection hidden="1"/>
    </xf>
    <xf numFmtId="0" fontId="28" fillId="51" borderId="14" xfId="0" applyFont="1" applyFill="1" applyBorder="1" applyAlignment="1" applyProtection="1">
      <alignment horizontal="left" vertical="center"/>
      <protection hidden="1"/>
    </xf>
    <xf numFmtId="0" fontId="28" fillId="51" borderId="161" xfId="0" applyFont="1" applyFill="1" applyBorder="1" applyProtection="1">
      <alignment vertical="center"/>
      <protection hidden="1"/>
    </xf>
    <xf numFmtId="0" fontId="7" fillId="51" borderId="162" xfId="0" applyFont="1" applyFill="1" applyBorder="1">
      <alignment vertical="center"/>
    </xf>
    <xf numFmtId="0" fontId="7" fillId="51" borderId="167" xfId="0" applyFont="1" applyFill="1" applyBorder="1">
      <alignment vertical="center"/>
    </xf>
    <xf numFmtId="0" fontId="28" fillId="51" borderId="167" xfId="0" applyFont="1" applyFill="1" applyBorder="1" applyProtection="1">
      <alignment vertical="center"/>
      <protection hidden="1"/>
    </xf>
    <xf numFmtId="0" fontId="28" fillId="51" borderId="180" xfId="0" applyFont="1" applyFill="1" applyBorder="1" applyProtection="1">
      <alignment vertical="center"/>
      <protection hidden="1"/>
    </xf>
    <xf numFmtId="0" fontId="7" fillId="51" borderId="161" xfId="0" applyFont="1" applyFill="1" applyBorder="1">
      <alignment vertical="center"/>
    </xf>
    <xf numFmtId="0" fontId="28" fillId="51" borderId="162" xfId="0" applyFont="1" applyFill="1" applyBorder="1" applyAlignment="1" applyProtection="1">
      <alignment horizontal="left" vertical="top"/>
      <protection hidden="1"/>
    </xf>
    <xf numFmtId="0" fontId="28" fillId="51" borderId="14" xfId="0" applyFont="1" applyFill="1" applyBorder="1" applyAlignment="1" applyProtection="1">
      <alignment horizontal="left" vertical="top"/>
      <protection hidden="1"/>
    </xf>
    <xf numFmtId="0" fontId="28" fillId="51" borderId="167" xfId="0" applyFont="1" applyFill="1" applyBorder="1" applyAlignment="1" applyProtection="1">
      <alignment vertical="center" wrapText="1"/>
      <protection hidden="1"/>
    </xf>
    <xf numFmtId="0" fontId="28" fillId="51" borderId="166" xfId="0" applyFont="1" applyFill="1" applyBorder="1" applyAlignment="1" applyProtection="1">
      <alignment horizontal="left" vertical="top"/>
      <protection hidden="1"/>
    </xf>
    <xf numFmtId="0" fontId="26" fillId="51" borderId="10" xfId="0" applyFont="1" applyFill="1" applyBorder="1" applyAlignment="1">
      <alignment horizontal="center" vertical="center"/>
    </xf>
    <xf numFmtId="0" fontId="28" fillId="42" borderId="160" xfId="0" applyFont="1" applyFill="1" applyBorder="1" applyProtection="1">
      <alignment vertical="center"/>
      <protection hidden="1"/>
    </xf>
    <xf numFmtId="0" fontId="28" fillId="42" borderId="12" xfId="0" applyFont="1" applyFill="1" applyBorder="1" applyProtection="1">
      <alignment vertical="center"/>
      <protection hidden="1"/>
    </xf>
    <xf numFmtId="0" fontId="28" fillId="42" borderId="165" xfId="0" applyFont="1" applyFill="1" applyBorder="1" applyProtection="1">
      <alignment vertical="center"/>
      <protection hidden="1"/>
    </xf>
    <xf numFmtId="0" fontId="28" fillId="51" borderId="162" xfId="0" applyFont="1" applyFill="1" applyBorder="1" applyProtection="1">
      <alignment vertical="center"/>
      <protection hidden="1"/>
    </xf>
    <xf numFmtId="0" fontId="42" fillId="51" borderId="211" xfId="0" applyFont="1" applyFill="1" applyBorder="1" applyAlignment="1" applyProtection="1">
      <alignment horizontal="center" vertical="center" wrapText="1"/>
      <protection hidden="1"/>
    </xf>
    <xf numFmtId="0" fontId="28" fillId="27" borderId="50" xfId="0" quotePrefix="1" applyFont="1" applyFill="1" applyBorder="1" applyAlignment="1" applyProtection="1">
      <alignment horizontal="right" vertical="center"/>
      <protection hidden="1"/>
    </xf>
    <xf numFmtId="0" fontId="24" fillId="27" borderId="50" xfId="0" applyFont="1" applyFill="1" applyBorder="1" applyAlignment="1" applyProtection="1">
      <alignment horizontal="center" vertical="center"/>
      <protection hidden="1"/>
    </xf>
    <xf numFmtId="0" fontId="42" fillId="27" borderId="211" xfId="0" applyFont="1" applyFill="1" applyBorder="1" applyAlignment="1" applyProtection="1">
      <alignment vertical="center" wrapText="1"/>
      <protection hidden="1"/>
    </xf>
    <xf numFmtId="0" fontId="28" fillId="27" borderId="50" xfId="0" applyFont="1" applyFill="1" applyBorder="1" applyAlignment="1" applyProtection="1">
      <alignment horizontal="center" vertical="center" wrapText="1"/>
      <protection hidden="1"/>
    </xf>
    <xf numFmtId="0" fontId="28" fillId="27" borderId="26" xfId="0" applyFont="1" applyFill="1" applyBorder="1" applyAlignment="1" applyProtection="1">
      <alignment horizontal="center" vertical="center" wrapText="1"/>
      <protection hidden="1"/>
    </xf>
    <xf numFmtId="9" fontId="28" fillId="58" borderId="168" xfId="0" applyNumberFormat="1" applyFont="1" applyFill="1" applyBorder="1" applyAlignment="1" applyProtection="1">
      <alignment horizontal="center" vertical="center"/>
      <protection locked="0" hidden="1"/>
    </xf>
    <xf numFmtId="9" fontId="28" fillId="58" borderId="169" xfId="0" applyNumberFormat="1" applyFont="1" applyFill="1" applyBorder="1" applyAlignment="1" applyProtection="1">
      <alignment horizontal="center" vertical="center"/>
      <protection locked="0" hidden="1"/>
    </xf>
    <xf numFmtId="9" fontId="28" fillId="58" borderId="170" xfId="0" applyNumberFormat="1" applyFont="1" applyFill="1" applyBorder="1" applyAlignment="1" applyProtection="1">
      <alignment horizontal="center" vertical="center"/>
      <protection locked="0" hidden="1"/>
    </xf>
    <xf numFmtId="0" fontId="24" fillId="58" borderId="184" xfId="0" applyFont="1" applyFill="1" applyBorder="1" applyProtection="1">
      <alignment vertical="center"/>
      <protection locked="0" hidden="1"/>
    </xf>
    <xf numFmtId="0" fontId="24" fillId="58" borderId="206" xfId="0" applyFont="1" applyFill="1" applyBorder="1" applyProtection="1">
      <alignment vertical="center"/>
      <protection locked="0" hidden="1"/>
    </xf>
    <xf numFmtId="0" fontId="0" fillId="58" borderId="115" xfId="0" applyFill="1" applyBorder="1">
      <alignment vertical="center"/>
    </xf>
    <xf numFmtId="0" fontId="26" fillId="27" borderId="27" xfId="0" applyFont="1" applyFill="1" applyBorder="1" applyAlignment="1" applyProtection="1">
      <alignment horizontal="center" vertical="top"/>
      <protection hidden="1"/>
    </xf>
    <xf numFmtId="0" fontId="26" fillId="58" borderId="51" xfId="0" applyFont="1" applyFill="1" applyBorder="1" applyAlignment="1" applyProtection="1">
      <alignment horizontal="center" vertical="center"/>
      <protection locked="0" hidden="1"/>
    </xf>
    <xf numFmtId="0" fontId="26" fillId="58" borderId="115" xfId="0" applyFont="1" applyFill="1" applyBorder="1" applyAlignment="1" applyProtection="1">
      <alignment horizontal="center" vertical="center"/>
      <protection locked="0" hidden="1"/>
    </xf>
    <xf numFmtId="0" fontId="26" fillId="27" borderId="27" xfId="0" applyFont="1" applyFill="1" applyBorder="1" applyAlignment="1" applyProtection="1">
      <alignment horizontal="center" vertical="center"/>
      <protection hidden="1"/>
    </xf>
    <xf numFmtId="0" fontId="37" fillId="0" borderId="50" xfId="0" applyFont="1" applyBorder="1">
      <alignment vertical="center"/>
    </xf>
    <xf numFmtId="0" fontId="37" fillId="0" borderId="0" xfId="0" applyFont="1" applyAlignment="1">
      <alignment horizontal="right" vertical="top"/>
    </xf>
    <xf numFmtId="207" fontId="28" fillId="58" borderId="10" xfId="28" applyNumberFormat="1" applyFont="1" applyFill="1" applyBorder="1" applyProtection="1">
      <alignment vertical="center"/>
      <protection locked="0"/>
    </xf>
    <xf numFmtId="182" fontId="28" fillId="58" borderId="10" xfId="0" applyNumberFormat="1" applyFont="1" applyFill="1" applyBorder="1" applyProtection="1">
      <alignment vertical="center"/>
      <protection locked="0"/>
    </xf>
    <xf numFmtId="0" fontId="28" fillId="0" borderId="0" xfId="0" applyFont="1" applyAlignment="1">
      <alignment horizontal="right"/>
    </xf>
    <xf numFmtId="0" fontId="28" fillId="51" borderId="166" xfId="0" applyFont="1" applyFill="1" applyBorder="1">
      <alignment vertical="center"/>
    </xf>
    <xf numFmtId="0" fontId="0" fillId="0" borderId="0" xfId="0" applyAlignment="1">
      <alignment horizontal="right"/>
    </xf>
    <xf numFmtId="0" fontId="37" fillId="0" borderId="0" xfId="0" applyFont="1" applyAlignment="1" applyProtection="1">
      <alignment horizontal="right" vertical="top"/>
      <protection hidden="1"/>
    </xf>
    <xf numFmtId="207" fontId="28" fillId="51" borderId="10" xfId="28" applyNumberFormat="1" applyFont="1" applyFill="1" applyBorder="1">
      <alignment vertical="center"/>
    </xf>
    <xf numFmtId="183" fontId="24" fillId="0" borderId="10" xfId="0" applyNumberFormat="1" applyFont="1" applyBorder="1" applyAlignment="1">
      <alignment horizontal="center" vertical="center"/>
    </xf>
    <xf numFmtId="183" fontId="24" fillId="0" borderId="0" xfId="0" applyNumberFormat="1" applyFont="1" applyAlignment="1">
      <alignment horizontal="center" vertical="center"/>
    </xf>
    <xf numFmtId="0" fontId="33" fillId="0" borderId="0" xfId="0" applyFont="1" applyAlignment="1">
      <alignment horizontal="center" vertical="top"/>
    </xf>
    <xf numFmtId="0" fontId="37" fillId="31" borderId="56" xfId="0" applyFont="1" applyFill="1" applyBorder="1" applyAlignment="1" applyProtection="1">
      <alignment horizontal="centerContinuous" vertical="center" wrapText="1"/>
      <protection hidden="1"/>
    </xf>
    <xf numFmtId="0" fontId="28" fillId="51" borderId="50" xfId="0" applyFont="1" applyFill="1" applyBorder="1" applyAlignment="1" applyProtection="1">
      <alignment horizontal="left" vertical="center" wrapText="1"/>
      <protection hidden="1"/>
    </xf>
    <xf numFmtId="0" fontId="28" fillId="51" borderId="26" xfId="0" applyFont="1" applyFill="1" applyBorder="1" applyAlignment="1" applyProtection="1">
      <alignment horizontal="center" vertical="center" wrapText="1"/>
      <protection hidden="1"/>
    </xf>
    <xf numFmtId="0" fontId="28" fillId="51" borderId="50" xfId="0" applyFont="1" applyFill="1" applyBorder="1" applyAlignment="1" applyProtection="1">
      <alignment horizontal="right" vertical="center" wrapText="1"/>
      <protection hidden="1"/>
    </xf>
    <xf numFmtId="0" fontId="28" fillId="51" borderId="50" xfId="0" applyFont="1" applyFill="1" applyBorder="1" applyAlignment="1" applyProtection="1">
      <alignment horizontal="center" vertical="center" wrapText="1"/>
      <protection hidden="1"/>
    </xf>
    <xf numFmtId="0" fontId="37" fillId="51" borderId="50" xfId="0" applyFont="1" applyFill="1" applyBorder="1" applyAlignment="1" applyProtection="1">
      <alignment horizontal="right" vertical="center" wrapText="1"/>
      <protection hidden="1"/>
    </xf>
    <xf numFmtId="211" fontId="26" fillId="51" borderId="27" xfId="0" applyNumberFormat="1" applyFont="1" applyFill="1" applyBorder="1" applyAlignment="1" applyProtection="1">
      <alignment horizontal="center" vertical="center"/>
      <protection hidden="1"/>
    </xf>
    <xf numFmtId="0" fontId="28" fillId="53" borderId="89" xfId="0" applyFont="1" applyFill="1" applyBorder="1" applyAlignment="1" applyProtection="1">
      <alignment horizontal="centerContinuous" vertical="center"/>
      <protection hidden="1"/>
    </xf>
    <xf numFmtId="0" fontId="0" fillId="53" borderId="50" xfId="0" applyFill="1" applyBorder="1" applyAlignment="1">
      <alignment horizontal="centerContinuous" vertical="center"/>
    </xf>
    <xf numFmtId="0" fontId="28" fillId="31" borderId="56" xfId="0" applyFont="1" applyFill="1" applyBorder="1" applyAlignment="1" applyProtection="1">
      <alignment horizontal="centerContinuous" vertical="center"/>
      <protection hidden="1"/>
    </xf>
    <xf numFmtId="0" fontId="37" fillId="0" borderId="0" xfId="0" applyFont="1" applyAlignment="1">
      <alignment horizontal="left" vertical="center"/>
    </xf>
    <xf numFmtId="40" fontId="46" fillId="0" borderId="10" xfId="35" applyNumberFormat="1" applyFont="1" applyFill="1" applyBorder="1" applyAlignment="1" applyProtection="1">
      <alignment horizontal="right" vertical="center"/>
      <protection locked="0"/>
    </xf>
    <xf numFmtId="0" fontId="29" fillId="27" borderId="0" xfId="0" applyFont="1" applyFill="1" applyAlignment="1" applyProtection="1">
      <alignment horizontal="left" vertical="center"/>
      <protection hidden="1"/>
    </xf>
    <xf numFmtId="179" fontId="46" fillId="27" borderId="25" xfId="0" applyNumberFormat="1" applyFont="1" applyFill="1" applyBorder="1" applyAlignment="1">
      <alignment horizontal="right" vertical="center"/>
    </xf>
    <xf numFmtId="40" fontId="46" fillId="27" borderId="10" xfId="35" applyNumberFormat="1" applyFont="1" applyFill="1" applyBorder="1" applyAlignment="1" applyProtection="1">
      <alignment horizontal="right" vertical="center"/>
    </xf>
    <xf numFmtId="0" fontId="34" fillId="0" borderId="10" xfId="0" applyFont="1" applyBorder="1" applyAlignment="1" applyProtection="1">
      <alignment horizontal="right" vertical="center"/>
      <protection locked="0"/>
    </xf>
    <xf numFmtId="179" fontId="46" fillId="27" borderId="0" xfId="0" applyNumberFormat="1" applyFont="1" applyFill="1" applyAlignment="1">
      <alignment horizontal="right" vertical="center"/>
    </xf>
    <xf numFmtId="0" fontId="34" fillId="27" borderId="0" xfId="0" applyFont="1" applyFill="1" applyAlignment="1" applyProtection="1">
      <protection hidden="1"/>
    </xf>
    <xf numFmtId="0" fontId="34" fillId="27" borderId="25" xfId="0" applyFont="1" applyFill="1" applyBorder="1" applyAlignment="1" applyProtection="1">
      <protection hidden="1"/>
    </xf>
    <xf numFmtId="0" fontId="83" fillId="28" borderId="19" xfId="0" applyFont="1" applyFill="1" applyBorder="1" applyProtection="1">
      <alignment vertical="center"/>
      <protection hidden="1"/>
    </xf>
    <xf numFmtId="0" fontId="83" fillId="28" borderId="20" xfId="0" applyFont="1" applyFill="1" applyBorder="1" applyProtection="1">
      <alignment vertical="center"/>
      <protection hidden="1"/>
    </xf>
    <xf numFmtId="179" fontId="29" fillId="27" borderId="25" xfId="0" applyNumberFormat="1" applyFont="1" applyFill="1" applyBorder="1" applyAlignment="1">
      <alignment horizontal="left" vertical="center"/>
    </xf>
    <xf numFmtId="31" fontId="34" fillId="0" borderId="10" xfId="0" applyNumberFormat="1" applyFont="1" applyBorder="1" applyAlignment="1" applyProtection="1">
      <alignment horizontal="right" vertical="center"/>
      <protection locked="0"/>
    </xf>
    <xf numFmtId="179" fontId="34" fillId="0" borderId="10" xfId="35" applyNumberFormat="1" applyFont="1" applyFill="1" applyBorder="1" applyAlignment="1" applyProtection="1">
      <alignment horizontal="right" vertical="center"/>
      <protection locked="0"/>
    </xf>
    <xf numFmtId="181" fontId="34" fillId="0" borderId="10" xfId="0" applyNumberFormat="1" applyFont="1" applyBorder="1" applyAlignment="1" applyProtection="1">
      <alignment horizontal="right" vertical="center"/>
      <protection locked="0"/>
    </xf>
    <xf numFmtId="0" fontId="199" fillId="27" borderId="0" xfId="0" applyFont="1" applyFill="1" applyAlignment="1" applyProtection="1">
      <alignment horizontal="left" vertical="center"/>
      <protection hidden="1"/>
    </xf>
    <xf numFmtId="0" fontId="46" fillId="0" borderId="0" xfId="0" applyFont="1">
      <alignment vertical="center"/>
    </xf>
    <xf numFmtId="0" fontId="200" fillId="0" borderId="10" xfId="0" applyFont="1" applyBorder="1" applyAlignment="1" applyProtection="1">
      <alignment horizontal="center" vertical="center"/>
      <protection locked="0" hidden="1"/>
    </xf>
    <xf numFmtId="0" fontId="200" fillId="0" borderId="31" xfId="0" applyFont="1" applyBorder="1" applyAlignment="1" applyProtection="1">
      <alignment horizontal="right" vertical="center"/>
      <protection locked="0"/>
    </xf>
    <xf numFmtId="0" fontId="201" fillId="27" borderId="32" xfId="0" applyFont="1" applyFill="1" applyBorder="1" applyProtection="1">
      <alignment vertical="center"/>
      <protection hidden="1"/>
    </xf>
    <xf numFmtId="0" fontId="46" fillId="27" borderId="33" xfId="0" applyFont="1" applyFill="1" applyBorder="1" applyAlignment="1" applyProtection="1">
      <protection hidden="1"/>
    </xf>
    <xf numFmtId="0" fontId="34" fillId="27" borderId="19" xfId="0" applyFont="1" applyFill="1" applyBorder="1" applyAlignment="1" applyProtection="1">
      <alignment horizontal="left" vertical="top" wrapText="1"/>
      <protection hidden="1"/>
    </xf>
    <xf numFmtId="0" fontId="202" fillId="0" borderId="35" xfId="0" applyFont="1" applyBorder="1" applyProtection="1">
      <alignment vertical="center"/>
      <protection hidden="1"/>
    </xf>
    <xf numFmtId="0" fontId="202" fillId="0" borderId="36" xfId="0" applyFont="1" applyBorder="1" applyProtection="1">
      <alignment vertical="center"/>
      <protection hidden="1"/>
    </xf>
    <xf numFmtId="0" fontId="99" fillId="28" borderId="24" xfId="0" applyFont="1" applyFill="1" applyBorder="1" applyAlignment="1" applyProtection="1">
      <alignment horizontal="center" vertical="center"/>
      <protection hidden="1"/>
    </xf>
    <xf numFmtId="0" fontId="99" fillId="28" borderId="37" xfId="0" applyFont="1" applyFill="1" applyBorder="1" applyAlignment="1" applyProtection="1">
      <alignment horizontal="center" vertical="center"/>
      <protection hidden="1"/>
    </xf>
    <xf numFmtId="0" fontId="99" fillId="28" borderId="25" xfId="0" applyFont="1" applyFill="1" applyBorder="1" applyAlignment="1" applyProtection="1">
      <alignment horizontal="center" vertical="center"/>
      <protection hidden="1"/>
    </xf>
    <xf numFmtId="179" fontId="46" fillId="0" borderId="10" xfId="35" applyNumberFormat="1" applyFont="1" applyFill="1" applyBorder="1" applyAlignment="1" applyProtection="1">
      <alignment horizontal="right" vertical="center"/>
      <protection locked="0"/>
    </xf>
    <xf numFmtId="0" fontId="29" fillId="27" borderId="0" xfId="0" applyFont="1" applyFill="1" applyAlignment="1" applyProtection="1">
      <alignment horizontal="right" vertical="center"/>
      <protection hidden="1"/>
    </xf>
    <xf numFmtId="0" fontId="64" fillId="27" borderId="0" xfId="0" applyFont="1" applyFill="1" applyAlignment="1" applyProtection="1">
      <alignment horizontal="left" vertical="center"/>
      <protection hidden="1"/>
    </xf>
    <xf numFmtId="0" fontId="99" fillId="28" borderId="0" xfId="0" applyFont="1" applyFill="1" applyAlignment="1" applyProtection="1">
      <alignment horizontal="center" vertical="center"/>
      <protection hidden="1"/>
    </xf>
    <xf numFmtId="0" fontId="34" fillId="27" borderId="0" xfId="0" applyFont="1" applyFill="1" applyProtection="1">
      <alignment vertical="center"/>
      <protection hidden="1"/>
    </xf>
    <xf numFmtId="0" fontId="46" fillId="0" borderId="28" xfId="0" applyFont="1" applyBorder="1" applyAlignment="1" applyProtection="1">
      <alignment horizontal="center" vertical="center"/>
      <protection locked="0"/>
    </xf>
    <xf numFmtId="0" fontId="34" fillId="27" borderId="0" xfId="0" applyFont="1" applyFill="1" applyAlignment="1" applyProtection="1">
      <alignment horizontal="center" vertical="center"/>
      <protection hidden="1"/>
    </xf>
    <xf numFmtId="178" fontId="34" fillId="27" borderId="28" xfId="0" applyNumberFormat="1" applyFont="1" applyFill="1" applyBorder="1" applyProtection="1">
      <alignment vertical="center"/>
      <protection hidden="1"/>
    </xf>
    <xf numFmtId="0" fontId="34" fillId="27" borderId="32" xfId="0" applyFont="1" applyFill="1" applyBorder="1" applyProtection="1">
      <alignment vertical="center"/>
      <protection hidden="1"/>
    </xf>
    <xf numFmtId="0" fontId="34" fillId="27" borderId="33" xfId="0" applyFont="1" applyFill="1" applyBorder="1" applyProtection="1">
      <alignment vertical="center"/>
      <protection hidden="1"/>
    </xf>
    <xf numFmtId="0" fontId="203" fillId="28" borderId="0" xfId="0" applyFont="1" applyFill="1" applyAlignment="1" applyProtection="1">
      <alignment horizontal="centerContinuous" vertical="center"/>
      <protection hidden="1"/>
    </xf>
    <xf numFmtId="0" fontId="36" fillId="27" borderId="0" xfId="0" applyFont="1" applyFill="1" applyAlignment="1">
      <alignment horizontal="left" vertical="center"/>
    </xf>
    <xf numFmtId="0" fontId="46" fillId="27" borderId="0" xfId="0" applyFont="1" applyFill="1" applyProtection="1">
      <alignment vertical="center"/>
      <protection hidden="1"/>
    </xf>
    <xf numFmtId="0" fontId="202" fillId="0" borderId="18" xfId="0" applyFont="1" applyBorder="1" applyProtection="1">
      <alignment vertical="center"/>
      <protection hidden="1"/>
    </xf>
    <xf numFmtId="0" fontId="99" fillId="28" borderId="21" xfId="0" applyFont="1" applyFill="1" applyBorder="1" applyProtection="1">
      <alignment vertical="center"/>
      <protection hidden="1"/>
    </xf>
    <xf numFmtId="0" fontId="99" fillId="28" borderId="24" xfId="0" applyFont="1" applyFill="1" applyBorder="1" applyProtection="1">
      <alignment vertical="center"/>
      <protection hidden="1"/>
    </xf>
    <xf numFmtId="49" fontId="34" fillId="27" borderId="24" xfId="0" applyNumberFormat="1" applyFont="1" applyFill="1" applyBorder="1" applyAlignment="1" applyProtection="1">
      <protection hidden="1"/>
    </xf>
    <xf numFmtId="0" fontId="34" fillId="27" borderId="24" xfId="0" applyFont="1" applyFill="1" applyBorder="1" applyAlignment="1" applyProtection="1">
      <protection hidden="1"/>
    </xf>
    <xf numFmtId="0" fontId="67" fillId="27" borderId="24" xfId="0" applyFont="1" applyFill="1" applyBorder="1" applyAlignment="1" applyProtection="1">
      <protection hidden="1"/>
    </xf>
    <xf numFmtId="0" fontId="34" fillId="27" borderId="24" xfId="0" applyFont="1" applyFill="1" applyBorder="1" applyAlignment="1" applyProtection="1">
      <alignment horizontal="left"/>
      <protection hidden="1"/>
    </xf>
    <xf numFmtId="0" fontId="99" fillId="28" borderId="29" xfId="0" applyFont="1" applyFill="1" applyBorder="1" applyProtection="1">
      <alignment vertical="center"/>
      <protection hidden="1"/>
    </xf>
    <xf numFmtId="0" fontId="204" fillId="27" borderId="24" xfId="0" applyFont="1" applyFill="1" applyBorder="1" applyAlignment="1" applyProtection="1">
      <protection hidden="1"/>
    </xf>
    <xf numFmtId="0" fontId="34" fillId="27" borderId="24" xfId="0" applyFont="1" applyFill="1" applyBorder="1" applyProtection="1">
      <alignment vertical="center"/>
      <protection hidden="1"/>
    </xf>
    <xf numFmtId="0" fontId="34" fillId="27" borderId="30" xfId="0" applyFont="1" applyFill="1" applyBorder="1" applyProtection="1">
      <alignment vertical="center"/>
      <protection hidden="1"/>
    </xf>
    <xf numFmtId="0" fontId="205" fillId="28" borderId="0" xfId="0" applyFont="1" applyFill="1" applyAlignment="1" applyProtection="1">
      <alignment horizontal="centerContinuous" vertical="center"/>
      <protection hidden="1"/>
    </xf>
    <xf numFmtId="0" fontId="46" fillId="27" borderId="0" xfId="0" applyFont="1" applyFill="1">
      <alignment vertical="center"/>
    </xf>
    <xf numFmtId="0" fontId="203" fillId="28" borderId="0" xfId="0" applyFont="1" applyFill="1" applyAlignment="1" applyProtection="1">
      <alignment horizontal="centerContinuous" vertical="top"/>
      <protection hidden="1"/>
    </xf>
    <xf numFmtId="0" fontId="46" fillId="0" borderId="19" xfId="0" applyFont="1" applyBorder="1" applyProtection="1">
      <alignment vertical="center"/>
      <protection hidden="1"/>
    </xf>
    <xf numFmtId="0" fontId="46" fillId="0" borderId="20" xfId="0" applyFont="1" applyBorder="1" applyProtection="1">
      <alignment vertical="center"/>
      <protection hidden="1"/>
    </xf>
    <xf numFmtId="0" fontId="83" fillId="28" borderId="22" xfId="0" applyFont="1" applyFill="1" applyBorder="1" applyProtection="1">
      <alignment vertical="center"/>
      <protection hidden="1"/>
    </xf>
    <xf numFmtId="0" fontId="83" fillId="28" borderId="23" xfId="0" applyFont="1" applyFill="1" applyBorder="1" applyProtection="1">
      <alignment vertical="center"/>
      <protection hidden="1"/>
    </xf>
    <xf numFmtId="0" fontId="83" fillId="28" borderId="0" xfId="0" applyFont="1" applyFill="1" applyProtection="1">
      <alignment vertical="center"/>
      <protection hidden="1"/>
    </xf>
    <xf numFmtId="0" fontId="83" fillId="28" borderId="25" xfId="0" applyFont="1" applyFill="1" applyBorder="1" applyProtection="1">
      <alignment vertical="center"/>
      <protection hidden="1"/>
    </xf>
    <xf numFmtId="0" fontId="200" fillId="0" borderId="28" xfId="0" applyFont="1" applyBorder="1" applyAlignment="1" applyProtection="1">
      <alignment horizontal="center" vertical="center"/>
      <protection locked="0"/>
    </xf>
    <xf numFmtId="0" fontId="34" fillId="0" borderId="26" xfId="0" applyFont="1" applyBorder="1" applyAlignment="1" applyProtection="1">
      <alignment horizontal="left" vertical="center"/>
      <protection locked="0"/>
    </xf>
    <xf numFmtId="0" fontId="34" fillId="0" borderId="50" xfId="0" applyFont="1" applyBorder="1" applyAlignment="1" applyProtection="1">
      <alignment horizontal="left" vertical="center"/>
      <protection locked="0"/>
    </xf>
    <xf numFmtId="0" fontId="34" fillId="29" borderId="27" xfId="0" applyFont="1" applyFill="1" applyBorder="1" applyAlignment="1" applyProtection="1">
      <alignment horizontal="left" vertical="center"/>
      <protection locked="0"/>
    </xf>
    <xf numFmtId="55" fontId="34" fillId="0" borderId="10" xfId="0" applyNumberFormat="1" applyFont="1" applyBorder="1" applyAlignment="1" applyProtection="1">
      <alignment horizontal="right" vertical="center"/>
      <protection locked="0"/>
    </xf>
    <xf numFmtId="0" fontId="46" fillId="27" borderId="0" xfId="0" applyFont="1" applyFill="1" applyAlignment="1"/>
    <xf numFmtId="0" fontId="34" fillId="27" borderId="0" xfId="0" applyFont="1" applyFill="1">
      <alignment vertical="center"/>
    </xf>
    <xf numFmtId="0" fontId="202" fillId="0" borderId="34" xfId="0" applyFont="1" applyBorder="1" applyProtection="1">
      <alignment vertical="center"/>
      <protection hidden="1"/>
    </xf>
    <xf numFmtId="0" fontId="34" fillId="27" borderId="18" xfId="0" applyFont="1" applyFill="1" applyBorder="1" applyProtection="1">
      <alignment vertical="center"/>
      <protection hidden="1"/>
    </xf>
    <xf numFmtId="0" fontId="34" fillId="27" borderId="24" xfId="0" applyFont="1" applyFill="1" applyBorder="1" applyAlignment="1" applyProtection="1">
      <alignment horizontal="right" vertical="center"/>
      <protection hidden="1"/>
    </xf>
    <xf numFmtId="0" fontId="202" fillId="0" borderId="29" xfId="0" applyFont="1" applyBorder="1" applyProtection="1">
      <alignment vertical="center"/>
      <protection hidden="1"/>
    </xf>
    <xf numFmtId="0" fontId="206" fillId="0" borderId="38" xfId="0" applyFont="1" applyBorder="1" applyAlignment="1" applyProtection="1">
      <alignment horizontal="left" vertical="center" indent="1"/>
      <protection hidden="1"/>
    </xf>
    <xf numFmtId="0" fontId="206" fillId="0" borderId="38" xfId="0" applyFont="1" applyBorder="1" applyAlignment="1" applyProtection="1">
      <alignment horizontal="right" vertical="center"/>
      <protection hidden="1"/>
    </xf>
    <xf numFmtId="0" fontId="206" fillId="0" borderId="39" xfId="0" applyFont="1" applyBorder="1" applyAlignment="1" applyProtection="1">
      <alignment horizontal="right" vertical="center"/>
      <protection hidden="1"/>
    </xf>
    <xf numFmtId="0" fontId="99" fillId="28" borderId="40" xfId="0" applyFont="1" applyFill="1" applyBorder="1" applyProtection="1">
      <alignment vertical="center"/>
      <protection hidden="1"/>
    </xf>
    <xf numFmtId="0" fontId="8" fillId="27" borderId="41" xfId="29" applyFill="1" applyBorder="1" applyAlignment="1" applyProtection="1">
      <alignment horizontal="left" vertical="center" indent="1"/>
      <protection hidden="1"/>
    </xf>
    <xf numFmtId="0" fontId="8" fillId="27" borderId="42" xfId="29" applyFill="1" applyBorder="1" applyAlignment="1" applyProtection="1">
      <alignment horizontal="left" vertical="center" indent="1"/>
      <protection hidden="1"/>
    </xf>
    <xf numFmtId="0" fontId="46" fillId="27" borderId="42" xfId="0" applyFont="1" applyFill="1" applyBorder="1" applyAlignment="1" applyProtection="1">
      <alignment horizontal="left" vertical="center" indent="1"/>
      <protection hidden="1"/>
    </xf>
    <xf numFmtId="0" fontId="46" fillId="27" borderId="43" xfId="0" applyFont="1" applyFill="1" applyBorder="1" applyAlignment="1" applyProtection="1">
      <alignment horizontal="left" vertical="center" indent="1"/>
      <protection hidden="1"/>
    </xf>
    <xf numFmtId="0" fontId="99" fillId="28" borderId="44" xfId="0" applyFont="1" applyFill="1" applyBorder="1" applyProtection="1">
      <alignment vertical="center"/>
      <protection hidden="1"/>
    </xf>
    <xf numFmtId="0" fontId="8" fillId="27" borderId="45" xfId="29" applyFill="1" applyBorder="1" applyAlignment="1" applyProtection="1">
      <alignment horizontal="left" vertical="center" indent="1"/>
      <protection hidden="1"/>
    </xf>
    <xf numFmtId="0" fontId="8" fillId="27" borderId="13" xfId="29" applyFill="1" applyBorder="1" applyAlignment="1" applyProtection="1">
      <alignment horizontal="left" vertical="center" indent="1"/>
      <protection hidden="1"/>
    </xf>
    <xf numFmtId="0" fontId="46" fillId="27" borderId="46" xfId="0" applyFont="1" applyFill="1" applyBorder="1" applyAlignment="1" applyProtection="1">
      <alignment horizontal="left" vertical="center" indent="1"/>
      <protection hidden="1"/>
    </xf>
    <xf numFmtId="0" fontId="8" fillId="27" borderId="47" xfId="29" applyFill="1" applyBorder="1" applyAlignment="1" applyProtection="1">
      <alignment horizontal="left" vertical="center" indent="1"/>
      <protection hidden="1"/>
    </xf>
    <xf numFmtId="0" fontId="8" fillId="27" borderId="48" xfId="29" applyFill="1" applyBorder="1" applyAlignment="1" applyProtection="1">
      <alignment horizontal="left" vertical="center" indent="1"/>
      <protection hidden="1"/>
    </xf>
    <xf numFmtId="0" fontId="46" fillId="27" borderId="49" xfId="0" applyFont="1" applyFill="1" applyBorder="1" applyAlignment="1" applyProtection="1">
      <alignment horizontal="left" vertical="center" indent="1"/>
      <protection hidden="1"/>
    </xf>
    <xf numFmtId="0" fontId="34" fillId="27" borderId="10" xfId="0" applyFont="1" applyFill="1" applyBorder="1" applyAlignment="1">
      <alignment horizontal="left" vertical="center"/>
    </xf>
    <xf numFmtId="0" fontId="34" fillId="27" borderId="26" xfId="0" applyFont="1" applyFill="1" applyBorder="1" applyAlignment="1" applyProtection="1">
      <alignment horizontal="left" vertical="center"/>
      <protection hidden="1"/>
    </xf>
    <xf numFmtId="0" fontId="34" fillId="27" borderId="50" xfId="0" applyFont="1" applyFill="1" applyBorder="1" applyAlignment="1" applyProtection="1">
      <alignment horizontal="left" vertical="center"/>
      <protection hidden="1"/>
    </xf>
    <xf numFmtId="0" fontId="83" fillId="27" borderId="50" xfId="0" applyFont="1" applyFill="1" applyBorder="1" applyAlignment="1" applyProtection="1">
      <alignment horizontal="left" vertical="top"/>
      <protection hidden="1"/>
    </xf>
    <xf numFmtId="0" fontId="34" fillId="27" borderId="27" xfId="0" applyFont="1" applyFill="1" applyBorder="1" applyAlignment="1">
      <alignment horizontal="left" vertical="top"/>
    </xf>
    <xf numFmtId="0" fontId="34" fillId="27" borderId="51" xfId="0" applyFont="1" applyFill="1" applyBorder="1" applyAlignment="1" applyProtection="1">
      <alignment horizontal="left" vertical="center"/>
      <protection hidden="1"/>
    </xf>
    <xf numFmtId="0" fontId="34" fillId="27" borderId="52" xfId="0" applyFont="1" applyFill="1" applyBorder="1" applyAlignment="1" applyProtection="1">
      <alignment horizontal="left" vertical="center"/>
      <protection hidden="1"/>
    </xf>
    <xf numFmtId="0" fontId="34" fillId="27" borderId="53" xfId="0" applyFont="1" applyFill="1" applyBorder="1" applyAlignment="1" applyProtection="1">
      <alignment horizontal="left" vertical="center"/>
      <protection hidden="1"/>
    </xf>
    <xf numFmtId="0" fontId="34" fillId="27" borderId="53" xfId="0" applyFont="1" applyFill="1" applyBorder="1" applyAlignment="1" applyProtection="1">
      <alignment horizontal="left" vertical="top"/>
      <protection hidden="1"/>
    </xf>
    <xf numFmtId="0" fontId="34" fillId="27" borderId="54" xfId="0" applyFont="1" applyFill="1" applyBorder="1" applyAlignment="1">
      <alignment horizontal="left" vertical="top"/>
    </xf>
    <xf numFmtId="0" fontId="34" fillId="27" borderId="0" xfId="0" applyFont="1" applyFill="1" applyAlignment="1">
      <alignment horizontal="left" vertical="top"/>
    </xf>
    <xf numFmtId="0" fontId="34" fillId="27" borderId="11" xfId="0" applyFont="1" applyFill="1" applyBorder="1" applyAlignment="1" applyProtection="1">
      <alignment horizontal="left" vertical="center"/>
      <protection hidden="1"/>
    </xf>
    <xf numFmtId="0" fontId="34" fillId="27" borderId="12" xfId="0" applyFont="1" applyFill="1" applyBorder="1" applyAlignment="1" applyProtection="1">
      <alignment horizontal="left" vertical="center"/>
      <protection hidden="1"/>
    </xf>
    <xf numFmtId="0" fontId="34" fillId="27" borderId="13" xfId="0" applyFont="1" applyFill="1" applyBorder="1" applyAlignment="1" applyProtection="1">
      <alignment horizontal="left" vertical="center"/>
      <protection hidden="1"/>
    </xf>
    <xf numFmtId="0" fontId="34" fillId="27" borderId="13" xfId="0" applyFont="1" applyFill="1" applyBorder="1" applyAlignment="1" applyProtection="1">
      <alignment horizontal="left" vertical="top"/>
      <protection hidden="1"/>
    </xf>
    <xf numFmtId="0" fontId="34" fillId="27" borderId="14" xfId="0" applyFont="1" applyFill="1" applyBorder="1" applyAlignment="1">
      <alignment horizontal="left" vertical="top"/>
    </xf>
    <xf numFmtId="0" fontId="29" fillId="27" borderId="12" xfId="0" applyFont="1" applyFill="1" applyBorder="1" applyAlignment="1" applyProtection="1">
      <alignment horizontal="left" vertical="center"/>
      <protection hidden="1"/>
    </xf>
    <xf numFmtId="0" fontId="207" fillId="27" borderId="13" xfId="0" applyFont="1" applyFill="1" applyBorder="1" applyAlignment="1" applyProtection="1">
      <alignment horizontal="left" vertical="top"/>
      <protection hidden="1"/>
    </xf>
    <xf numFmtId="0" fontId="34" fillId="27" borderId="55" xfId="0" applyFont="1" applyFill="1" applyBorder="1" applyAlignment="1" applyProtection="1">
      <alignment horizontal="left" vertical="center"/>
      <protection hidden="1"/>
    </xf>
    <xf numFmtId="0" fontId="34" fillId="27" borderId="56" xfId="0" applyFont="1" applyFill="1" applyBorder="1" applyAlignment="1" applyProtection="1">
      <alignment horizontal="left" vertical="center"/>
      <protection hidden="1"/>
    </xf>
    <xf numFmtId="0" fontId="34" fillId="27" borderId="57" xfId="0" applyFont="1" applyFill="1" applyBorder="1" applyAlignment="1" applyProtection="1">
      <alignment horizontal="left" vertical="center"/>
      <protection hidden="1"/>
    </xf>
    <xf numFmtId="0" fontId="207" fillId="27" borderId="57" xfId="0" applyFont="1" applyFill="1" applyBorder="1" applyAlignment="1" applyProtection="1">
      <alignment horizontal="left" vertical="top"/>
      <protection hidden="1"/>
    </xf>
    <xf numFmtId="0" fontId="34" fillId="27" borderId="58" xfId="0" applyFont="1" applyFill="1" applyBorder="1" applyAlignment="1">
      <alignment horizontal="left" vertical="top"/>
    </xf>
    <xf numFmtId="207" fontId="28" fillId="51" borderId="10" xfId="28" applyNumberFormat="1" applyFont="1" applyFill="1" applyBorder="1" applyProtection="1">
      <alignment vertical="center"/>
      <protection locked="0"/>
    </xf>
    <xf numFmtId="0" fontId="36" fillId="0" borderId="0" xfId="0" applyFont="1" applyAlignment="1" applyProtection="1">
      <alignment horizontal="left" vertical="center"/>
      <protection hidden="1"/>
    </xf>
    <xf numFmtId="0" fontId="36" fillId="0" borderId="0" xfId="0" applyFont="1" applyProtection="1">
      <alignment vertical="center"/>
      <protection hidden="1"/>
    </xf>
    <xf numFmtId="0" fontId="0" fillId="27" borderId="10" xfId="0" applyFill="1" applyBorder="1" applyAlignment="1" applyProtection="1">
      <alignment horizontal="center" vertical="center"/>
      <protection hidden="1"/>
    </xf>
    <xf numFmtId="213" fontId="28" fillId="58" borderId="10" xfId="0" applyNumberFormat="1" applyFont="1" applyFill="1" applyBorder="1" applyProtection="1">
      <alignment vertical="center"/>
      <protection locked="0"/>
    </xf>
    <xf numFmtId="213" fontId="28" fillId="51" borderId="10" xfId="0" applyNumberFormat="1" applyFont="1" applyFill="1" applyBorder="1" applyProtection="1">
      <alignment vertical="center"/>
      <protection locked="0"/>
    </xf>
    <xf numFmtId="0" fontId="37" fillId="70" borderId="10" xfId="0" applyFont="1" applyFill="1" applyBorder="1" applyAlignment="1">
      <alignment vertical="center" shrinkToFit="1"/>
    </xf>
    <xf numFmtId="0" fontId="37" fillId="70" borderId="51" xfId="0" applyFont="1" applyFill="1" applyBorder="1" applyAlignment="1">
      <alignment vertical="center" shrinkToFit="1"/>
    </xf>
    <xf numFmtId="40" fontId="28" fillId="51" borderId="10" xfId="35" applyNumberFormat="1" applyFont="1" applyFill="1" applyBorder="1">
      <alignment vertical="center"/>
    </xf>
    <xf numFmtId="40" fontId="0" fillId="0" borderId="0" xfId="35" applyNumberFormat="1" applyFont="1">
      <alignment vertical="center"/>
    </xf>
    <xf numFmtId="40" fontId="188" fillId="0" borderId="0" xfId="35" applyNumberFormat="1" applyFont="1">
      <alignment vertical="center"/>
    </xf>
    <xf numFmtId="0" fontId="164" fillId="27" borderId="50" xfId="0" applyFont="1" applyFill="1" applyBorder="1" applyAlignment="1">
      <alignment horizontal="center" vertical="center"/>
    </xf>
    <xf numFmtId="211" fontId="26" fillId="27" borderId="51" xfId="0" applyNumberFormat="1" applyFont="1" applyFill="1" applyBorder="1" applyAlignment="1" applyProtection="1">
      <alignment horizontal="center" vertical="center"/>
      <protection hidden="1"/>
    </xf>
    <xf numFmtId="0" fontId="37" fillId="0" borderId="0" xfId="0" applyFont="1" applyAlignment="1">
      <alignment vertical="top"/>
    </xf>
    <xf numFmtId="0" fontId="28" fillId="27" borderId="161" xfId="0" applyFont="1" applyFill="1" applyBorder="1" applyAlignment="1" applyProtection="1">
      <alignment vertical="center" shrinkToFit="1"/>
      <protection hidden="1"/>
    </xf>
    <xf numFmtId="0" fontId="28" fillId="27" borderId="173" xfId="0" applyFont="1" applyFill="1" applyBorder="1" applyAlignment="1" applyProtection="1">
      <alignment vertical="center" wrapText="1" shrinkToFit="1"/>
      <protection hidden="1"/>
    </xf>
    <xf numFmtId="0" fontId="28" fillId="27" borderId="164" xfId="0" applyFont="1" applyFill="1" applyBorder="1" applyAlignment="1" applyProtection="1">
      <alignment vertical="center" wrapText="1" shrinkToFit="1"/>
      <protection hidden="1"/>
    </xf>
    <xf numFmtId="200" fontId="28" fillId="58" borderId="10" xfId="0" applyNumberFormat="1" applyFont="1" applyFill="1" applyBorder="1" applyProtection="1">
      <alignment vertical="center"/>
      <protection locked="0"/>
    </xf>
    <xf numFmtId="40" fontId="28" fillId="58" borderId="10" xfId="35" applyNumberFormat="1" applyFont="1" applyFill="1" applyBorder="1" applyProtection="1">
      <alignment vertical="center"/>
      <protection locked="0"/>
    </xf>
    <xf numFmtId="179" fontId="28" fillId="58" borderId="10" xfId="28" applyNumberFormat="1" applyFont="1" applyFill="1" applyBorder="1" applyProtection="1">
      <alignment vertical="center"/>
      <protection locked="0"/>
    </xf>
    <xf numFmtId="211" fontId="26" fillId="65" borderId="27" xfId="0" applyNumberFormat="1" applyFont="1" applyFill="1" applyBorder="1" applyAlignment="1" applyProtection="1">
      <alignment horizontal="center" vertical="center"/>
      <protection hidden="1"/>
    </xf>
    <xf numFmtId="0" fontId="28" fillId="51" borderId="174" xfId="0" applyFont="1" applyFill="1" applyBorder="1" applyAlignment="1" applyProtection="1">
      <alignment horizontal="left" vertical="center"/>
      <protection hidden="1"/>
    </xf>
    <xf numFmtId="0" fontId="28" fillId="51" borderId="26" xfId="0" applyFont="1" applyFill="1" applyBorder="1" applyAlignment="1">
      <alignment horizontal="right" vertical="center"/>
    </xf>
    <xf numFmtId="0" fontId="24" fillId="51" borderId="50" xfId="0" applyFont="1" applyFill="1" applyBorder="1" applyAlignment="1" applyProtection="1">
      <alignment horizontal="center" vertical="center"/>
      <protection hidden="1"/>
    </xf>
    <xf numFmtId="0" fontId="28" fillId="51" borderId="26" xfId="0" applyFont="1" applyFill="1" applyBorder="1" applyAlignment="1" applyProtection="1">
      <alignment horizontal="right" vertical="center"/>
      <protection hidden="1"/>
    </xf>
    <xf numFmtId="0" fontId="37" fillId="0" borderId="0" xfId="0" applyFont="1" applyAlignment="1">
      <alignment vertical="center" shrinkToFit="1"/>
    </xf>
    <xf numFmtId="0" fontId="37" fillId="0" borderId="0" xfId="0" applyFont="1" applyAlignment="1">
      <alignment horizontal="right" vertical="center" shrinkToFit="1"/>
    </xf>
    <xf numFmtId="0" fontId="28" fillId="27" borderId="50" xfId="0" applyFont="1" applyFill="1" applyBorder="1" applyAlignment="1" applyProtection="1">
      <alignment horizontal="centerContinuous" vertical="center"/>
      <protection hidden="1"/>
    </xf>
    <xf numFmtId="0" fontId="28" fillId="27" borderId="27" xfId="0" applyFont="1" applyFill="1" applyBorder="1" applyAlignment="1" applyProtection="1">
      <alignment horizontal="centerContinuous" vertical="center"/>
      <protection hidden="1"/>
    </xf>
    <xf numFmtId="0" fontId="28" fillId="27" borderId="52" xfId="0" applyFont="1" applyFill="1" applyBorder="1" applyAlignment="1" applyProtection="1">
      <alignment horizontal="centerContinuous" vertical="center"/>
      <protection hidden="1"/>
    </xf>
    <xf numFmtId="193" fontId="26" fillId="27" borderId="53" xfId="0" applyNumberFormat="1" applyFont="1" applyFill="1" applyBorder="1" applyAlignment="1" applyProtection="1">
      <alignment horizontal="centerContinuous" vertical="center"/>
      <protection hidden="1"/>
    </xf>
    <xf numFmtId="0" fontId="26" fillId="27" borderId="53" xfId="0" applyFont="1" applyFill="1" applyBorder="1" applyAlignment="1" applyProtection="1">
      <alignment horizontal="centerContinuous" vertical="center"/>
      <protection hidden="1"/>
    </xf>
    <xf numFmtId="0" fontId="26" fillId="27" borderId="54" xfId="0" applyFont="1" applyFill="1" applyBorder="1" applyAlignment="1" applyProtection="1">
      <alignment horizontal="centerContinuous" vertical="center"/>
      <protection hidden="1"/>
    </xf>
    <xf numFmtId="0" fontId="28" fillId="51" borderId="26" xfId="0" applyFont="1" applyFill="1" applyBorder="1" applyAlignment="1" applyProtection="1">
      <alignment horizontal="centerContinuous" vertical="center"/>
      <protection hidden="1"/>
    </xf>
    <xf numFmtId="0" fontId="28" fillId="51" borderId="50" xfId="0" applyFont="1" applyFill="1" applyBorder="1" applyAlignment="1" applyProtection="1">
      <alignment horizontal="centerContinuous" vertical="center"/>
      <protection hidden="1"/>
    </xf>
    <xf numFmtId="0" fontId="0" fillId="51" borderId="50" xfId="0" applyFill="1" applyBorder="1" applyAlignment="1">
      <alignment horizontal="centerContinuous" vertical="center"/>
    </xf>
    <xf numFmtId="0" fontId="28" fillId="51" borderId="27" xfId="0" applyFont="1" applyFill="1" applyBorder="1" applyAlignment="1" applyProtection="1">
      <alignment horizontal="centerContinuous" vertical="center"/>
      <protection hidden="1"/>
    </xf>
    <xf numFmtId="0" fontId="26" fillId="27" borderId="50" xfId="0" applyFont="1" applyFill="1" applyBorder="1" applyAlignment="1" applyProtection="1">
      <alignment horizontal="centerContinuous" vertical="center"/>
      <protection hidden="1"/>
    </xf>
    <xf numFmtId="0" fontId="37" fillId="27" borderId="26" xfId="0" applyFont="1" applyFill="1" applyBorder="1" applyAlignment="1" applyProtection="1">
      <alignment horizontal="center" vertical="center"/>
      <protection hidden="1"/>
    </xf>
    <xf numFmtId="0" fontId="37" fillId="27" borderId="26" xfId="0" applyFont="1" applyFill="1" applyBorder="1">
      <alignment vertical="center"/>
    </xf>
    <xf numFmtId="0" fontId="37" fillId="27" borderId="13" xfId="0" applyFont="1" applyFill="1" applyBorder="1">
      <alignment vertical="center"/>
    </xf>
    <xf numFmtId="211" fontId="26" fillId="27" borderId="50" xfId="0" applyNumberFormat="1" applyFont="1" applyFill="1" applyBorder="1" applyAlignment="1" applyProtection="1">
      <alignment horizontal="center" vertical="center"/>
      <protection hidden="1"/>
    </xf>
    <xf numFmtId="0" fontId="37" fillId="27" borderId="160" xfId="0" applyFont="1" applyFill="1" applyBorder="1">
      <alignment vertical="center"/>
    </xf>
    <xf numFmtId="0" fontId="37" fillId="27" borderId="12" xfId="0" applyFont="1" applyFill="1" applyBorder="1">
      <alignment vertical="center"/>
    </xf>
    <xf numFmtId="0" fontId="37" fillId="27" borderId="165" xfId="0" applyFont="1" applyFill="1" applyBorder="1">
      <alignment vertical="center"/>
    </xf>
    <xf numFmtId="0" fontId="37" fillId="27" borderId="54" xfId="0" applyFont="1" applyFill="1" applyBorder="1" applyAlignment="1" applyProtection="1">
      <alignment horizontal="center" vertical="center"/>
      <protection hidden="1"/>
    </xf>
    <xf numFmtId="0" fontId="37" fillId="27" borderId="16" xfId="0" applyFont="1" applyFill="1" applyBorder="1">
      <alignment vertical="center"/>
    </xf>
    <xf numFmtId="0" fontId="37" fillId="27" borderId="11" xfId="0" applyFont="1" applyFill="1" applyBorder="1">
      <alignment vertical="center"/>
    </xf>
    <xf numFmtId="0" fontId="37" fillId="27" borderId="164" xfId="0" applyFont="1" applyFill="1" applyBorder="1">
      <alignment vertical="center"/>
    </xf>
    <xf numFmtId="0" fontId="160" fillId="27" borderId="161" xfId="0" applyFont="1" applyFill="1" applyBorder="1" applyAlignment="1">
      <alignment horizontal="centerContinuous" vertical="center"/>
    </xf>
    <xf numFmtId="0" fontId="160" fillId="27" borderId="162" xfId="0" applyFont="1" applyFill="1" applyBorder="1" applyAlignment="1">
      <alignment horizontal="centerContinuous" vertical="center"/>
    </xf>
    <xf numFmtId="0" fontId="28" fillId="0" borderId="162" xfId="0" applyFont="1" applyBorder="1">
      <alignment vertical="center"/>
    </xf>
    <xf numFmtId="0" fontId="28" fillId="0" borderId="14" xfId="0" applyFont="1" applyBorder="1">
      <alignment vertical="center"/>
    </xf>
    <xf numFmtId="0" fontId="28" fillId="0" borderId="166" xfId="0" applyFont="1" applyBorder="1">
      <alignment vertical="center"/>
    </xf>
    <xf numFmtId="0" fontId="37" fillId="58" borderId="160" xfId="0" applyFont="1" applyFill="1" applyBorder="1" applyProtection="1">
      <alignment vertical="center"/>
      <protection locked="0"/>
    </xf>
    <xf numFmtId="0" fontId="37" fillId="58" borderId="12" xfId="0" applyFont="1" applyFill="1" applyBorder="1" applyProtection="1">
      <alignment vertical="center"/>
      <protection locked="0"/>
    </xf>
    <xf numFmtId="0" fontId="37" fillId="58" borderId="165" xfId="0" applyFont="1" applyFill="1" applyBorder="1" applyProtection="1">
      <alignment vertical="center"/>
      <protection locked="0"/>
    </xf>
    <xf numFmtId="0" fontId="37" fillId="27" borderId="52" xfId="0" applyFont="1" applyFill="1" applyBorder="1" applyAlignment="1">
      <alignment horizontal="center" vertical="center"/>
    </xf>
    <xf numFmtId="0" fontId="198" fillId="0" borderId="0" xfId="0" applyFont="1" applyProtection="1">
      <alignment vertical="center"/>
      <protection hidden="1"/>
    </xf>
    <xf numFmtId="0" fontId="37" fillId="27" borderId="161" xfId="0" applyFont="1" applyFill="1" applyBorder="1">
      <alignment vertical="center"/>
    </xf>
    <xf numFmtId="0" fontId="28" fillId="27" borderId="50" xfId="0" applyFont="1" applyFill="1" applyBorder="1">
      <alignment vertical="center"/>
    </xf>
    <xf numFmtId="0" fontId="28" fillId="27" borderId="57" xfId="0" applyFont="1" applyFill="1" applyBorder="1">
      <alignment vertical="center"/>
    </xf>
    <xf numFmtId="0" fontId="37" fillId="27" borderId="10" xfId="0" applyFont="1" applyFill="1" applyBorder="1">
      <alignment vertical="center"/>
    </xf>
    <xf numFmtId="40" fontId="29" fillId="27" borderId="0" xfId="35" applyNumberFormat="1" applyFont="1" applyFill="1" applyBorder="1" applyAlignment="1" applyProtection="1">
      <alignment horizontal="left" vertical="center"/>
      <protection hidden="1"/>
    </xf>
    <xf numFmtId="186" fontId="26" fillId="27" borderId="144" xfId="35" applyNumberFormat="1" applyFont="1" applyFill="1" applyBorder="1" applyAlignment="1" applyProtection="1">
      <alignment horizontal="center" vertical="center"/>
      <protection locked="0"/>
    </xf>
    <xf numFmtId="190" fontId="28" fillId="31" borderId="54" xfId="0" applyNumberFormat="1" applyFont="1" applyFill="1" applyBorder="1" applyAlignment="1">
      <alignment horizontal="center" vertical="center"/>
    </xf>
    <xf numFmtId="0" fontId="28" fillId="53" borderId="52" xfId="0" applyFont="1" applyFill="1" applyBorder="1" applyAlignment="1">
      <alignment horizontal="centerContinuous" vertical="center"/>
    </xf>
    <xf numFmtId="0" fontId="28" fillId="53" borderId="53" xfId="0" applyFont="1" applyFill="1" applyBorder="1" applyAlignment="1">
      <alignment horizontal="centerContinuous" vertical="center"/>
    </xf>
    <xf numFmtId="190" fontId="28" fillId="53" borderId="54" xfId="0" applyNumberFormat="1" applyFont="1" applyFill="1" applyBorder="1" applyAlignment="1">
      <alignment horizontal="center" vertical="center"/>
    </xf>
    <xf numFmtId="0" fontId="28" fillId="31" borderId="53" xfId="0" applyFont="1" applyFill="1" applyBorder="1" applyAlignment="1">
      <alignment horizontal="centerContinuous" vertical="center"/>
    </xf>
    <xf numFmtId="0" fontId="28" fillId="31" borderId="26" xfId="0" applyFont="1" applyFill="1" applyBorder="1" applyAlignment="1">
      <alignment horizontal="centerContinuous" vertical="center"/>
    </xf>
    <xf numFmtId="0" fontId="28" fillId="31" borderId="27" xfId="0" applyFont="1" applyFill="1" applyBorder="1" applyAlignment="1">
      <alignment horizontal="centerContinuous" vertical="center"/>
    </xf>
    <xf numFmtId="0" fontId="28" fillId="53" borderId="56" xfId="0" applyFont="1" applyFill="1" applyBorder="1" applyAlignment="1">
      <alignment horizontal="centerContinuous" vertical="center"/>
    </xf>
    <xf numFmtId="0" fontId="0" fillId="53" borderId="57" xfId="0" applyFill="1" applyBorder="1" applyAlignment="1">
      <alignment horizontal="centerContinuous" vertical="center"/>
    </xf>
    <xf numFmtId="0" fontId="0" fillId="53" borderId="58" xfId="0" applyFill="1" applyBorder="1" applyAlignment="1">
      <alignment horizontal="centerContinuous" vertical="center"/>
    </xf>
    <xf numFmtId="0" fontId="26" fillId="27" borderId="171" xfId="0" applyFont="1" applyFill="1" applyBorder="1" applyAlignment="1">
      <alignment horizontal="centerContinuous" vertical="center"/>
    </xf>
    <xf numFmtId="0" fontId="26" fillId="27" borderId="12" xfId="0" applyFont="1" applyFill="1" applyBorder="1" applyAlignment="1">
      <alignment horizontal="centerContinuous" vertical="center"/>
    </xf>
    <xf numFmtId="0" fontId="26" fillId="27" borderId="56" xfId="0" applyFont="1" applyFill="1" applyBorder="1" applyAlignment="1">
      <alignment horizontal="centerContinuous" vertical="center"/>
    </xf>
    <xf numFmtId="0" fontId="28" fillId="27" borderId="165" xfId="0" applyFont="1" applyFill="1" applyBorder="1" applyAlignment="1">
      <alignment horizontal="left" vertical="center"/>
    </xf>
    <xf numFmtId="0" fontId="28" fillId="27" borderId="167" xfId="0" applyFont="1" applyFill="1" applyBorder="1" applyAlignment="1">
      <alignment horizontal="left" vertical="center"/>
    </xf>
    <xf numFmtId="0" fontId="28" fillId="27" borderId="166" xfId="0" applyFont="1" applyFill="1" applyBorder="1" applyAlignment="1">
      <alignment horizontal="left" vertical="center"/>
    </xf>
    <xf numFmtId="0" fontId="7" fillId="27" borderId="59" xfId="0" applyFont="1" applyFill="1" applyBorder="1" applyAlignment="1"/>
    <xf numFmtId="0" fontId="37" fillId="0" borderId="0" xfId="0" applyFont="1" applyAlignment="1" applyProtection="1">
      <alignment horizontal="centerContinuous" vertical="center"/>
      <protection hidden="1"/>
    </xf>
    <xf numFmtId="0" fontId="28" fillId="27" borderId="53" xfId="0" applyFont="1" applyFill="1" applyBorder="1">
      <alignment vertical="center"/>
    </xf>
    <xf numFmtId="0" fontId="37" fillId="27" borderId="27" xfId="0" applyFont="1" applyFill="1" applyBorder="1">
      <alignment vertical="center"/>
    </xf>
    <xf numFmtId="0" fontId="208" fillId="27" borderId="51" xfId="0" applyFont="1" applyFill="1" applyBorder="1">
      <alignment vertical="center"/>
    </xf>
    <xf numFmtId="0" fontId="208" fillId="27" borderId="27" xfId="0" applyFont="1" applyFill="1" applyBorder="1">
      <alignment vertical="center"/>
    </xf>
    <xf numFmtId="0" fontId="208" fillId="27" borderId="55" xfId="0" applyFont="1" applyFill="1" applyBorder="1">
      <alignment vertical="center"/>
    </xf>
    <xf numFmtId="0" fontId="26" fillId="58" borderId="15" xfId="0" applyFont="1" applyFill="1" applyBorder="1" applyAlignment="1" applyProtection="1">
      <alignment horizontal="center" vertical="center"/>
      <protection locked="0" hidden="1"/>
    </xf>
    <xf numFmtId="0" fontId="208" fillId="27" borderId="11" xfId="0" applyFont="1" applyFill="1" applyBorder="1">
      <alignment vertical="center"/>
    </xf>
    <xf numFmtId="0" fontId="26" fillId="27" borderId="51" xfId="0" applyFont="1" applyFill="1" applyBorder="1" applyAlignment="1">
      <alignment horizontal="center" vertical="center"/>
    </xf>
    <xf numFmtId="0" fontId="26" fillId="58" borderId="16" xfId="0" applyFont="1" applyFill="1" applyBorder="1" applyAlignment="1" applyProtection="1">
      <alignment horizontal="center" vertical="center"/>
      <protection locked="0"/>
    </xf>
    <xf numFmtId="0" fontId="26" fillId="58" borderId="55" xfId="0" applyFont="1" applyFill="1" applyBorder="1" applyAlignment="1" applyProtection="1">
      <alignment horizontal="center" vertical="center"/>
      <protection locked="0"/>
    </xf>
    <xf numFmtId="0" fontId="26" fillId="58" borderId="10" xfId="0" applyFont="1" applyFill="1" applyBorder="1" applyAlignment="1" applyProtection="1">
      <alignment horizontal="center" vertical="center"/>
      <protection locked="0"/>
    </xf>
    <xf numFmtId="0" fontId="22" fillId="27" borderId="16" xfId="0" applyFont="1" applyFill="1" applyBorder="1">
      <alignment vertical="center"/>
    </xf>
    <xf numFmtId="0" fontId="22" fillId="27" borderId="15" xfId="0" applyFont="1" applyFill="1" applyBorder="1">
      <alignment vertical="center"/>
    </xf>
    <xf numFmtId="0" fontId="28" fillId="27" borderId="53" xfId="0" applyFont="1" applyFill="1" applyBorder="1" applyAlignment="1" applyProtection="1">
      <alignment horizontal="centerContinuous" vertical="center"/>
      <protection hidden="1"/>
    </xf>
    <xf numFmtId="0" fontId="28" fillId="27" borderId="54" xfId="0" applyFont="1" applyFill="1" applyBorder="1" applyAlignment="1" applyProtection="1">
      <alignment horizontal="centerContinuous" vertical="center"/>
      <protection hidden="1"/>
    </xf>
    <xf numFmtId="0" fontId="112" fillId="37" borderId="59" xfId="0" applyFont="1" applyFill="1" applyBorder="1" applyAlignment="1">
      <alignment horizontal="left" vertical="center"/>
    </xf>
    <xf numFmtId="0" fontId="34" fillId="0" borderId="0" xfId="0" applyFont="1" applyAlignment="1">
      <alignment horizontal="left" vertical="center"/>
    </xf>
    <xf numFmtId="0" fontId="109" fillId="0" borderId="0" xfId="0" applyFont="1" applyAlignment="1">
      <alignment horizontal="right" vertical="top"/>
    </xf>
    <xf numFmtId="184" fontId="34" fillId="0" borderId="0" xfId="0" applyNumberFormat="1" applyFont="1">
      <alignment vertical="center"/>
    </xf>
    <xf numFmtId="0" fontId="28" fillId="0" borderId="0" xfId="0" applyFont="1" applyAlignment="1">
      <alignment horizontal="center" vertical="justify"/>
    </xf>
    <xf numFmtId="0" fontId="26" fillId="0" borderId="0" xfId="0" applyFont="1" applyAlignment="1">
      <alignment horizontal="center" vertical="justify"/>
    </xf>
    <xf numFmtId="0" fontId="117" fillId="0" borderId="0" xfId="0" applyFont="1" applyAlignment="1">
      <alignment horizontal="left" vertical="center"/>
    </xf>
    <xf numFmtId="180" fontId="104" fillId="0" borderId="0" xfId="0" applyNumberFormat="1" applyFont="1" applyAlignment="1">
      <alignment horizontal="left"/>
    </xf>
    <xf numFmtId="180" fontId="37" fillId="37" borderId="68" xfId="0" applyNumberFormat="1" applyFont="1" applyFill="1" applyBorder="1" applyAlignment="1">
      <alignment horizontal="left" vertical="center"/>
    </xf>
    <xf numFmtId="180" fontId="37" fillId="37" borderId="69" xfId="0" applyNumberFormat="1" applyFont="1" applyFill="1" applyBorder="1" applyAlignment="1">
      <alignment horizontal="left" vertical="center"/>
    </xf>
    <xf numFmtId="183" fontId="31" fillId="37" borderId="71" xfId="0" applyNumberFormat="1" applyFont="1" applyFill="1" applyBorder="1">
      <alignment vertical="center"/>
    </xf>
    <xf numFmtId="0" fontId="24" fillId="27" borderId="62" xfId="0" applyFont="1" applyFill="1" applyBorder="1" applyAlignment="1">
      <alignment horizontal="left" vertical="center"/>
    </xf>
    <xf numFmtId="0" fontId="82" fillId="27" borderId="0" xfId="0" applyFont="1" applyFill="1" applyAlignment="1">
      <alignment horizontal="left" vertical="center"/>
    </xf>
    <xf numFmtId="0" fontId="115" fillId="27" borderId="0" xfId="0" applyFont="1" applyFill="1">
      <alignment vertical="center"/>
    </xf>
    <xf numFmtId="0" fontId="116" fillId="27" borderId="0" xfId="0" applyFont="1" applyFill="1">
      <alignment vertical="center"/>
    </xf>
    <xf numFmtId="0" fontId="116" fillId="27" borderId="63" xfId="0" applyFont="1" applyFill="1" applyBorder="1">
      <alignment vertical="center"/>
    </xf>
    <xf numFmtId="180" fontId="24" fillId="27" borderId="62" xfId="0" applyNumberFormat="1" applyFont="1" applyFill="1" applyBorder="1" applyAlignment="1">
      <alignment horizontal="centerContinuous" vertical="center"/>
    </xf>
    <xf numFmtId="180" fontId="24" fillId="27" borderId="0" xfId="0" applyNumberFormat="1" applyFont="1" applyFill="1" applyAlignment="1">
      <alignment horizontal="centerContinuous" vertical="center"/>
    </xf>
    <xf numFmtId="0" fontId="28" fillId="27" borderId="56" xfId="0" applyFont="1" applyFill="1" applyBorder="1" applyAlignment="1">
      <alignment horizontal="centerContinuous" vertical="center"/>
    </xf>
    <xf numFmtId="0" fontId="7" fillId="27" borderId="58" xfId="0" applyFont="1" applyFill="1" applyBorder="1" applyAlignment="1">
      <alignment horizontal="centerContinuous" vertical="center"/>
    </xf>
    <xf numFmtId="0" fontId="7" fillId="27" borderId="57" xfId="0" applyFont="1" applyFill="1" applyBorder="1" applyAlignment="1">
      <alignment horizontal="centerContinuous" vertical="center"/>
    </xf>
    <xf numFmtId="0" fontId="7" fillId="27" borderId="100" xfId="0" applyFont="1" applyFill="1" applyBorder="1" applyAlignment="1">
      <alignment horizontal="center" vertical="distributed"/>
    </xf>
    <xf numFmtId="0" fontId="24" fillId="27" borderId="62" xfId="0" applyFont="1" applyFill="1" applyBorder="1" applyAlignment="1">
      <alignment horizontal="left" vertical="top"/>
    </xf>
    <xf numFmtId="0" fontId="116" fillId="27" borderId="63" xfId="0" applyFont="1" applyFill="1" applyBorder="1" applyAlignment="1">
      <alignment vertical="top"/>
    </xf>
    <xf numFmtId="180" fontId="24" fillId="27" borderId="65" xfId="0" applyNumberFormat="1" applyFont="1" applyFill="1" applyBorder="1" applyAlignment="1">
      <alignment horizontal="centerContinuous" vertical="top"/>
    </xf>
    <xf numFmtId="180" fontId="24" fillId="27" borderId="66" xfId="0" applyNumberFormat="1" applyFont="1" applyFill="1" applyBorder="1" applyAlignment="1">
      <alignment horizontal="centerContinuous" vertical="top"/>
    </xf>
    <xf numFmtId="180" fontId="24" fillId="27" borderId="84" xfId="0" applyNumberFormat="1" applyFont="1" applyFill="1" applyBorder="1" applyAlignment="1">
      <alignment horizontal="centerContinuous" vertical="top"/>
    </xf>
    <xf numFmtId="183" fontId="26" fillId="27" borderId="147" xfId="0" applyNumberFormat="1" applyFont="1" applyFill="1" applyBorder="1" applyAlignment="1">
      <alignment horizontal="center" vertical="center" wrapText="1"/>
    </xf>
    <xf numFmtId="183" fontId="82" fillId="27" borderId="227" xfId="0" applyNumberFormat="1" applyFont="1" applyFill="1" applyBorder="1" applyAlignment="1">
      <alignment horizontal="center" vertical="center" wrapText="1"/>
    </xf>
    <xf numFmtId="183" fontId="26" fillId="27" borderId="66" xfId="0" applyNumberFormat="1" applyFont="1" applyFill="1" applyBorder="1" applyAlignment="1">
      <alignment horizontal="center" vertical="center" wrapText="1"/>
    </xf>
    <xf numFmtId="183" fontId="82" fillId="27" borderId="137" xfId="0" applyNumberFormat="1" applyFont="1" applyFill="1" applyBorder="1" applyAlignment="1">
      <alignment horizontal="center" vertical="center" wrapText="1"/>
    </xf>
    <xf numFmtId="183" fontId="16" fillId="27" borderId="115" xfId="0" applyNumberFormat="1" applyFont="1" applyFill="1" applyBorder="1" applyAlignment="1">
      <alignment horizontal="center" vertical="top" wrapText="1"/>
    </xf>
    <xf numFmtId="0" fontId="60" fillId="33" borderId="128" xfId="0" applyFont="1" applyFill="1" applyBorder="1" applyAlignment="1">
      <alignment horizontal="left" vertical="center"/>
    </xf>
    <xf numFmtId="182" fontId="60" fillId="33" borderId="130" xfId="0" applyNumberFormat="1" applyFont="1" applyFill="1" applyBorder="1" applyAlignment="1">
      <alignment horizontal="center" vertical="center"/>
    </xf>
    <xf numFmtId="180" fontId="28" fillId="33" borderId="62" xfId="0" applyNumberFormat="1" applyFont="1" applyFill="1" applyBorder="1" applyAlignment="1">
      <alignment horizontal="left" vertical="center"/>
    </xf>
    <xf numFmtId="180" fontId="28" fillId="33" borderId="0" xfId="0" applyNumberFormat="1" applyFont="1" applyFill="1" applyAlignment="1">
      <alignment horizontal="left" vertical="center"/>
    </xf>
    <xf numFmtId="180" fontId="28" fillId="33" borderId="0" xfId="0" applyNumberFormat="1" applyFont="1" applyFill="1" applyAlignment="1">
      <alignment horizontal="left"/>
    </xf>
    <xf numFmtId="180" fontId="37" fillId="33" borderId="97" xfId="0" applyNumberFormat="1" applyFont="1" applyFill="1" applyBorder="1" applyAlignment="1">
      <alignment horizontal="left"/>
    </xf>
    <xf numFmtId="191" fontId="99" fillId="33" borderId="98" xfId="0" applyNumberFormat="1" applyFont="1" applyFill="1" applyBorder="1" applyAlignment="1">
      <alignment horizontal="center" vertical="center"/>
    </xf>
    <xf numFmtId="183" fontId="29" fillId="33" borderId="0" xfId="0" applyNumberFormat="1" applyFont="1" applyFill="1" applyAlignment="1">
      <alignment horizontal="center" vertical="center"/>
    </xf>
    <xf numFmtId="191" fontId="99" fillId="33" borderId="99" xfId="0" applyNumberFormat="1" applyFont="1" applyFill="1" applyBorder="1" applyAlignment="1">
      <alignment horizontal="center" vertical="center"/>
    </xf>
    <xf numFmtId="183" fontId="61" fillId="33" borderId="100" xfId="0" applyNumberFormat="1" applyFont="1" applyFill="1" applyBorder="1" applyAlignment="1">
      <alignment horizontal="center" vertical="center"/>
    </xf>
    <xf numFmtId="0" fontId="24" fillId="31" borderId="101" xfId="0" applyFont="1" applyFill="1" applyBorder="1" applyAlignment="1">
      <alignment horizontal="left" vertical="center"/>
    </xf>
    <xf numFmtId="0" fontId="33" fillId="31" borderId="103" xfId="0" applyFont="1" applyFill="1" applyBorder="1" applyAlignment="1">
      <alignment horizontal="left" vertical="center"/>
    </xf>
    <xf numFmtId="180" fontId="28" fillId="31" borderId="104" xfId="0" applyNumberFormat="1" applyFont="1" applyFill="1" applyBorder="1" applyAlignment="1">
      <alignment horizontal="left" vertical="center"/>
    </xf>
    <xf numFmtId="180" fontId="28" fillId="31" borderId="102" xfId="0" applyNumberFormat="1" applyFont="1" applyFill="1" applyBorder="1" applyAlignment="1">
      <alignment horizontal="left" vertical="center"/>
    </xf>
    <xf numFmtId="180" fontId="28" fillId="31" borderId="102" xfId="0" applyNumberFormat="1" applyFont="1" applyFill="1" applyBorder="1" applyAlignment="1">
      <alignment horizontal="left"/>
    </xf>
    <xf numFmtId="180" fontId="37" fillId="31" borderId="105" xfId="0" applyNumberFormat="1" applyFont="1" applyFill="1" applyBorder="1" applyAlignment="1">
      <alignment horizontal="left"/>
    </xf>
    <xf numFmtId="191" fontId="123" fillId="31" borderId="106" xfId="0" applyNumberFormat="1" applyFont="1" applyFill="1" applyBorder="1" applyAlignment="1">
      <alignment horizontal="center" vertical="center"/>
    </xf>
    <xf numFmtId="183" fontId="124" fillId="31" borderId="102" xfId="0" applyNumberFormat="1" applyFont="1" applyFill="1" applyBorder="1" applyAlignment="1">
      <alignment horizontal="center" vertical="center"/>
    </xf>
    <xf numFmtId="183" fontId="124" fillId="31" borderId="108" xfId="0" applyNumberFormat="1" applyFont="1" applyFill="1" applyBorder="1" applyAlignment="1">
      <alignment horizontal="center" vertical="center"/>
    </xf>
    <xf numFmtId="0" fontId="24" fillId="27" borderId="62" xfId="0" quotePrefix="1" applyFont="1" applyFill="1" applyBorder="1" applyAlignment="1">
      <alignment horizontal="left" vertical="center"/>
    </xf>
    <xf numFmtId="0" fontId="125" fillId="27" borderId="63" xfId="0" applyFont="1" applyFill="1" applyBorder="1">
      <alignment vertical="center"/>
    </xf>
    <xf numFmtId="180" fontId="28" fillId="0" borderId="62" xfId="0" applyNumberFormat="1" applyFont="1" applyBorder="1" applyAlignment="1">
      <alignment horizontal="left" vertical="center" wrapText="1"/>
    </xf>
    <xf numFmtId="180" fontId="28" fillId="0" borderId="0" xfId="0" applyNumberFormat="1" applyFont="1" applyAlignment="1">
      <alignment horizontal="left" vertical="center" wrapText="1"/>
    </xf>
    <xf numFmtId="180" fontId="28" fillId="0" borderId="0" xfId="0" applyNumberFormat="1" applyFont="1" applyAlignment="1">
      <alignment horizontal="left" wrapText="1"/>
    </xf>
    <xf numFmtId="183" fontId="36" fillId="27" borderId="143" xfId="0" applyNumberFormat="1" applyFont="1" applyFill="1" applyBorder="1" applyAlignment="1">
      <alignment horizontal="center" vertical="center"/>
    </xf>
    <xf numFmtId="191" fontId="126" fillId="27" borderId="98" xfId="0" applyNumberFormat="1" applyFont="1" applyFill="1" applyBorder="1" applyAlignment="1">
      <alignment horizontal="center" vertical="center"/>
    </xf>
    <xf numFmtId="191" fontId="126" fillId="27" borderId="99" xfId="0" applyNumberFormat="1" applyFont="1" applyFill="1" applyBorder="1" applyAlignment="1">
      <alignment horizontal="center" vertical="center"/>
    </xf>
    <xf numFmtId="183" fontId="123" fillId="27" borderId="100" xfId="0" applyNumberFormat="1" applyFont="1" applyFill="1" applyBorder="1" applyAlignment="1">
      <alignment horizontal="center" vertical="center"/>
    </xf>
    <xf numFmtId="0" fontId="122" fillId="27" borderId="62" xfId="0" applyFont="1" applyFill="1" applyBorder="1" applyAlignment="1">
      <alignment horizontal="left"/>
    </xf>
    <xf numFmtId="0" fontId="33" fillId="27" borderId="82" xfId="0" applyFont="1" applyFill="1" applyBorder="1">
      <alignment vertical="center"/>
    </xf>
    <xf numFmtId="191" fontId="126" fillId="27" borderId="53" xfId="0" applyNumberFormat="1" applyFont="1" applyFill="1" applyBorder="1" applyAlignment="1">
      <alignment horizontal="center" vertical="center"/>
    </xf>
    <xf numFmtId="183" fontId="123" fillId="27" borderId="112" xfId="0" applyNumberFormat="1" applyFont="1" applyFill="1" applyBorder="1" applyAlignment="1">
      <alignment horizontal="center" vertical="center"/>
    </xf>
    <xf numFmtId="0" fontId="122" fillId="59" borderId="62" xfId="0" applyFont="1" applyFill="1" applyBorder="1" applyAlignment="1">
      <alignment horizontal="left"/>
    </xf>
    <xf numFmtId="0" fontId="33" fillId="59" borderId="79" xfId="0" applyFont="1" applyFill="1" applyBorder="1">
      <alignment vertical="center"/>
    </xf>
    <xf numFmtId="191" fontId="126" fillId="27" borderId="0" xfId="0" applyNumberFormat="1" applyFont="1" applyFill="1" applyAlignment="1">
      <alignment horizontal="center" vertical="center"/>
    </xf>
    <xf numFmtId="0" fontId="122" fillId="0" borderId="62" xfId="0" applyFont="1" applyBorder="1" applyAlignment="1">
      <alignment horizontal="left"/>
    </xf>
    <xf numFmtId="0" fontId="125" fillId="0" borderId="82" xfId="0" applyFont="1" applyBorder="1">
      <alignment vertical="center"/>
    </xf>
    <xf numFmtId="183" fontId="36" fillId="27" borderId="146" xfId="0" applyNumberFormat="1" applyFont="1" applyFill="1" applyBorder="1" applyAlignment="1">
      <alignment horizontal="center" vertical="center"/>
    </xf>
    <xf numFmtId="0" fontId="122" fillId="27" borderId="120" xfId="0" applyFont="1" applyFill="1" applyBorder="1" applyAlignment="1">
      <alignment horizontal="left"/>
    </xf>
    <xf numFmtId="0" fontId="24" fillId="27" borderId="89" xfId="0" quotePrefix="1" applyFont="1" applyFill="1" applyBorder="1" applyAlignment="1">
      <alignment horizontal="left" vertical="center"/>
    </xf>
    <xf numFmtId="0" fontId="125" fillId="27" borderId="90" xfId="0" applyFont="1" applyFill="1" applyBorder="1">
      <alignment vertical="center"/>
    </xf>
    <xf numFmtId="180" fontId="28" fillId="0" borderId="80" xfId="0" applyNumberFormat="1" applyFont="1" applyBorder="1" applyAlignment="1">
      <alignment horizontal="left" vertical="center" wrapText="1"/>
    </xf>
    <xf numFmtId="180" fontId="28" fillId="0" borderId="50" xfId="0" applyNumberFormat="1" applyFont="1" applyBorder="1" applyAlignment="1">
      <alignment horizontal="left" vertical="center" wrapText="1"/>
    </xf>
    <xf numFmtId="180" fontId="28" fillId="0" borderId="27" xfId="0" applyNumberFormat="1" applyFont="1" applyBorder="1" applyAlignment="1">
      <alignment horizontal="left" wrapText="1"/>
    </xf>
    <xf numFmtId="183" fontId="36" fillId="27" borderId="93" xfId="0" applyNumberFormat="1" applyFont="1" applyFill="1" applyBorder="1" applyAlignment="1">
      <alignment horizontal="center" vertical="center"/>
    </xf>
    <xf numFmtId="191" fontId="126" fillId="27" borderId="121" xfId="0" applyNumberFormat="1" applyFont="1" applyFill="1" applyBorder="1" applyAlignment="1">
      <alignment horizontal="center" vertical="center"/>
    </xf>
    <xf numFmtId="183" fontId="36" fillId="27" borderId="110" xfId="0" applyNumberFormat="1" applyFont="1" applyFill="1" applyBorder="1" applyAlignment="1">
      <alignment horizontal="center" vertical="center"/>
    </xf>
    <xf numFmtId="191" fontId="126" fillId="27" borderId="122" xfId="0" applyNumberFormat="1" applyFont="1" applyFill="1" applyBorder="1" applyAlignment="1">
      <alignment horizontal="center" vertical="center"/>
    </xf>
    <xf numFmtId="183" fontId="123" fillId="27" borderId="123" xfId="0" applyNumberFormat="1" applyFont="1" applyFill="1" applyBorder="1" applyAlignment="1">
      <alignment horizontal="center" vertical="center"/>
    </xf>
    <xf numFmtId="183" fontId="36" fillId="27" borderId="111" xfId="0" applyNumberFormat="1" applyFont="1" applyFill="1" applyBorder="1" applyAlignment="1">
      <alignment horizontal="center" vertical="center"/>
    </xf>
    <xf numFmtId="191" fontId="126" fillId="27" borderId="124" xfId="0" applyNumberFormat="1" applyFont="1" applyFill="1" applyBorder="1" applyAlignment="1">
      <alignment horizontal="center" vertical="center"/>
    </xf>
    <xf numFmtId="183" fontId="36" fillId="27" borderId="218" xfId="0" applyNumberFormat="1" applyFont="1" applyFill="1" applyBorder="1" applyAlignment="1">
      <alignment horizontal="center" vertical="center"/>
    </xf>
    <xf numFmtId="191" fontId="126" fillId="27" borderId="125" xfId="0" applyNumberFormat="1" applyFont="1" applyFill="1" applyBorder="1" applyAlignment="1">
      <alignment horizontal="center" vertical="center"/>
    </xf>
    <xf numFmtId="0" fontId="125" fillId="27" borderId="82" xfId="0" applyFont="1" applyFill="1" applyBorder="1">
      <alignment vertical="center"/>
    </xf>
    <xf numFmtId="191" fontId="126" fillId="0" borderId="0" xfId="0" applyNumberFormat="1" applyFont="1" applyAlignment="1">
      <alignment horizontal="center" vertical="center"/>
    </xf>
    <xf numFmtId="183" fontId="123" fillId="0" borderId="100" xfId="0" applyNumberFormat="1" applyFont="1" applyBorder="1" applyAlignment="1">
      <alignment horizontal="center" vertical="center"/>
    </xf>
    <xf numFmtId="183" fontId="36" fillId="0" borderId="100" xfId="0" applyNumberFormat="1" applyFont="1" applyBorder="1" applyAlignment="1">
      <alignment horizontal="center" vertical="center"/>
    </xf>
    <xf numFmtId="0" fontId="166" fillId="27" borderId="82" xfId="0" applyFont="1" applyFill="1" applyBorder="1">
      <alignment vertical="center"/>
    </xf>
    <xf numFmtId="0" fontId="130" fillId="0" borderId="0" xfId="0" applyFont="1" applyAlignment="1">
      <alignment horizontal="center" vertical="justify"/>
    </xf>
    <xf numFmtId="0" fontId="128" fillId="27" borderId="120" xfId="0" applyFont="1" applyFill="1" applyBorder="1" applyAlignment="1">
      <alignment horizontal="left" vertical="center"/>
    </xf>
    <xf numFmtId="180" fontId="28" fillId="0" borderId="89" xfId="0" applyNumberFormat="1" applyFont="1" applyBorder="1" applyAlignment="1">
      <alignment horizontal="left" vertical="center" wrapText="1"/>
    </xf>
    <xf numFmtId="180" fontId="28" fillId="0" borderId="53" xfId="0" applyNumberFormat="1" applyFont="1" applyBorder="1" applyAlignment="1">
      <alignment horizontal="left" vertical="center" wrapText="1"/>
    </xf>
    <xf numFmtId="180" fontId="28" fillId="0" borderId="54" xfId="0" applyNumberFormat="1" applyFont="1" applyBorder="1" applyAlignment="1">
      <alignment horizontal="left" wrapText="1"/>
    </xf>
    <xf numFmtId="183" fontId="36" fillId="27" borderId="194" xfId="0" applyNumberFormat="1" applyFont="1" applyFill="1" applyBorder="1" applyAlignment="1">
      <alignment horizontal="center" vertical="center"/>
    </xf>
    <xf numFmtId="0" fontId="122" fillId="27" borderId="62" xfId="0" quotePrefix="1" applyFont="1" applyFill="1" applyBorder="1" applyAlignment="1">
      <alignment horizontal="left" vertical="center"/>
    </xf>
    <xf numFmtId="0" fontId="122" fillId="0" borderId="62" xfId="0" quotePrefix="1" applyFont="1" applyBorder="1" applyAlignment="1">
      <alignment horizontal="left" vertical="center"/>
    </xf>
    <xf numFmtId="0" fontId="122" fillId="27" borderId="62" xfId="0" applyFont="1" applyFill="1" applyBorder="1" applyAlignment="1">
      <alignment horizontal="left" vertical="center"/>
    </xf>
    <xf numFmtId="0" fontId="33" fillId="27" borderId="90" xfId="0" applyFont="1" applyFill="1" applyBorder="1" applyAlignment="1">
      <alignment horizontal="left" vertical="center"/>
    </xf>
    <xf numFmtId="0" fontId="122" fillId="0" borderId="62" xfId="0" applyFont="1" applyBorder="1" applyAlignment="1">
      <alignment horizontal="left" vertical="center"/>
    </xf>
    <xf numFmtId="0" fontId="122" fillId="27" borderId="77" xfId="0" applyFont="1" applyFill="1" applyBorder="1" applyAlignment="1">
      <alignment horizontal="left" vertical="center"/>
    </xf>
    <xf numFmtId="183" fontId="36" fillId="27" borderId="97" xfId="0" applyNumberFormat="1" applyFont="1" applyFill="1" applyBorder="1" applyAlignment="1">
      <alignment horizontal="center" vertical="center"/>
    </xf>
    <xf numFmtId="0" fontId="125" fillId="27" borderId="79" xfId="0" applyFont="1" applyFill="1" applyBorder="1">
      <alignment vertical="center"/>
    </xf>
    <xf numFmtId="0" fontId="24" fillId="31" borderId="128" xfId="0" applyFont="1" applyFill="1" applyBorder="1" applyAlignment="1">
      <alignment horizontal="left" vertical="center"/>
    </xf>
    <xf numFmtId="0" fontId="7" fillId="31" borderId="130" xfId="0" applyFont="1" applyFill="1" applyBorder="1">
      <alignment vertical="center"/>
    </xf>
    <xf numFmtId="0" fontId="26" fillId="31" borderId="129" xfId="0" applyFont="1" applyFill="1" applyBorder="1" applyAlignment="1">
      <alignment horizontal="left"/>
    </xf>
    <xf numFmtId="180" fontId="37" fillId="31" borderId="131" xfId="0" applyNumberFormat="1" applyFont="1" applyFill="1" applyBorder="1" applyAlignment="1">
      <alignment horizontal="center"/>
    </xf>
    <xf numFmtId="191" fontId="123" fillId="31" borderId="132" xfId="0" applyNumberFormat="1" applyFont="1" applyFill="1" applyBorder="1" applyAlignment="1">
      <alignment horizontal="center" vertical="center"/>
    </xf>
    <xf numFmtId="183" fontId="124" fillId="31" borderId="131" xfId="0" applyNumberFormat="1" applyFont="1" applyFill="1" applyBorder="1" applyAlignment="1">
      <alignment horizontal="center" vertical="center"/>
    </xf>
    <xf numFmtId="191" fontId="123" fillId="31" borderId="133" xfId="0" applyNumberFormat="1" applyFont="1" applyFill="1" applyBorder="1" applyAlignment="1">
      <alignment horizontal="center" vertical="center"/>
    </xf>
    <xf numFmtId="183" fontId="124" fillId="31" borderId="134" xfId="0" applyNumberFormat="1" applyFont="1" applyFill="1" applyBorder="1" applyAlignment="1">
      <alignment horizontal="center" vertical="center"/>
    </xf>
    <xf numFmtId="191" fontId="126" fillId="27" borderId="94" xfId="0" applyNumberFormat="1" applyFont="1" applyFill="1" applyBorder="1" applyAlignment="1">
      <alignment horizontal="center" vertical="center"/>
    </xf>
    <xf numFmtId="191" fontId="126" fillId="27" borderId="95" xfId="0" applyNumberFormat="1" applyFont="1" applyFill="1" applyBorder="1" applyAlignment="1">
      <alignment horizontal="center" vertical="center"/>
    </xf>
    <xf numFmtId="183" fontId="123" fillId="27" borderId="96" xfId="0" applyNumberFormat="1" applyFont="1" applyFill="1" applyBorder="1" applyAlignment="1">
      <alignment horizontal="center" vertical="center"/>
    </xf>
    <xf numFmtId="183" fontId="36" fillId="27" borderId="147" xfId="0" applyNumberFormat="1" applyFont="1" applyFill="1" applyBorder="1" applyAlignment="1">
      <alignment horizontal="center" vertical="center"/>
    </xf>
    <xf numFmtId="0" fontId="182" fillId="27" borderId="82" xfId="0" applyFont="1" applyFill="1" applyBorder="1">
      <alignment vertical="center"/>
    </xf>
    <xf numFmtId="0" fontId="182" fillId="27" borderId="55" xfId="0" applyFont="1" applyFill="1" applyBorder="1" applyAlignment="1">
      <alignment horizontal="center" vertical="center"/>
    </xf>
    <xf numFmtId="0" fontId="182" fillId="27" borderId="57" xfId="0" applyFont="1" applyFill="1" applyBorder="1">
      <alignment vertical="center"/>
    </xf>
    <xf numFmtId="0" fontId="182" fillId="27" borderId="0" xfId="0" applyFont="1" applyFill="1">
      <alignment vertical="center"/>
    </xf>
    <xf numFmtId="0" fontId="122" fillId="27" borderId="118" xfId="0" quotePrefix="1" applyFont="1" applyFill="1" applyBorder="1" applyAlignment="1">
      <alignment horizontal="left" vertical="center"/>
    </xf>
    <xf numFmtId="183" fontId="36" fillId="27" borderId="219" xfId="0" applyNumberFormat="1" applyFont="1" applyFill="1" applyBorder="1" applyAlignment="1">
      <alignment horizontal="center" vertical="center"/>
    </xf>
    <xf numFmtId="183" fontId="36" fillId="51" borderId="97" xfId="0" applyNumberFormat="1" applyFont="1" applyFill="1" applyBorder="1" applyAlignment="1">
      <alignment horizontal="center" vertical="center"/>
    </xf>
    <xf numFmtId="191" fontId="126" fillId="27" borderId="17" xfId="0" applyNumberFormat="1" applyFont="1" applyFill="1" applyBorder="1" applyAlignment="1">
      <alignment horizontal="center" vertical="center"/>
    </xf>
    <xf numFmtId="183" fontId="29" fillId="51" borderId="97" xfId="0" applyNumberFormat="1" applyFont="1" applyFill="1" applyBorder="1" applyAlignment="1">
      <alignment horizontal="center" vertical="center"/>
    </xf>
    <xf numFmtId="191" fontId="126" fillId="27" borderId="58" xfId="0" applyNumberFormat="1" applyFont="1" applyFill="1" applyBorder="1" applyAlignment="1">
      <alignment horizontal="center" vertical="center"/>
    </xf>
    <xf numFmtId="183" fontId="29" fillId="51" borderId="93" xfId="0" applyNumberFormat="1" applyFont="1" applyFill="1" applyBorder="1" applyAlignment="1">
      <alignment horizontal="center" vertical="center"/>
    </xf>
    <xf numFmtId="0" fontId="166" fillId="27" borderId="90" xfId="0" applyFont="1" applyFill="1" applyBorder="1">
      <alignment vertical="center"/>
    </xf>
    <xf numFmtId="183" fontId="36" fillId="51" borderId="111" xfId="0" applyNumberFormat="1" applyFont="1" applyFill="1" applyBorder="1" applyAlignment="1">
      <alignment horizontal="center" vertical="center"/>
    </xf>
    <xf numFmtId="0" fontId="122" fillId="27" borderId="77" xfId="0" applyFont="1" applyFill="1" applyBorder="1" applyAlignment="1">
      <alignment horizontal="left"/>
    </xf>
    <xf numFmtId="191" fontId="126" fillId="27" borderId="120" xfId="0" applyNumberFormat="1" applyFont="1" applyFill="1" applyBorder="1" applyAlignment="1">
      <alignment horizontal="center" vertical="center"/>
    </xf>
    <xf numFmtId="183" fontId="29" fillId="0" borderId="97" xfId="0" applyNumberFormat="1" applyFont="1" applyBorder="1" applyAlignment="1">
      <alignment horizontal="center" vertical="center"/>
    </xf>
    <xf numFmtId="183" fontId="36" fillId="27" borderId="135" xfId="0" applyNumberFormat="1" applyFont="1" applyFill="1" applyBorder="1" applyAlignment="1">
      <alignment horizontal="center" vertical="center"/>
    </xf>
    <xf numFmtId="183" fontId="36" fillId="27" borderId="138" xfId="0" applyNumberFormat="1" applyFont="1" applyFill="1" applyBorder="1" applyAlignment="1">
      <alignment horizontal="center" vertical="center"/>
    </xf>
    <xf numFmtId="0" fontId="122" fillId="27" borderId="65" xfId="0" quotePrefix="1" applyFont="1" applyFill="1" applyBorder="1" applyAlignment="1">
      <alignment horizontal="left" vertical="center"/>
    </xf>
    <xf numFmtId="0" fontId="125" fillId="27" borderId="127" xfId="0" applyFont="1" applyFill="1" applyBorder="1">
      <alignment vertical="center"/>
    </xf>
    <xf numFmtId="191" fontId="126" fillId="27" borderId="84" xfId="0" applyNumberFormat="1" applyFont="1" applyFill="1" applyBorder="1" applyAlignment="1">
      <alignment horizontal="center" vertical="center"/>
    </xf>
    <xf numFmtId="183" fontId="29" fillId="51" borderId="147" xfId="0" applyNumberFormat="1" applyFont="1" applyFill="1" applyBorder="1" applyAlignment="1">
      <alignment horizontal="center" vertical="center"/>
    </xf>
    <xf numFmtId="191" fontId="126" fillId="27" borderId="137" xfId="0" applyNumberFormat="1" applyFont="1" applyFill="1" applyBorder="1" applyAlignment="1">
      <alignment horizontal="center" vertical="center"/>
    </xf>
    <xf numFmtId="183" fontId="123" fillId="27" borderId="115" xfId="0" applyNumberFormat="1" applyFont="1" applyFill="1" applyBorder="1" applyAlignment="1">
      <alignment horizontal="center" vertical="center"/>
    </xf>
    <xf numFmtId="0" fontId="33" fillId="31" borderId="130" xfId="0" applyFont="1" applyFill="1" applyBorder="1" applyAlignment="1">
      <alignment horizontal="left" vertical="center"/>
    </xf>
    <xf numFmtId="180" fontId="28" fillId="31" borderId="128" xfId="0" applyNumberFormat="1" applyFont="1" applyFill="1" applyBorder="1" applyAlignment="1">
      <alignment horizontal="left" vertical="center"/>
    </xf>
    <xf numFmtId="180" fontId="28" fillId="31" borderId="129" xfId="0" applyNumberFormat="1" applyFont="1" applyFill="1" applyBorder="1" applyAlignment="1">
      <alignment horizontal="left" vertical="center"/>
    </xf>
    <xf numFmtId="180" fontId="28" fillId="31" borderId="129" xfId="0" applyNumberFormat="1" applyFont="1" applyFill="1" applyBorder="1" applyAlignment="1">
      <alignment horizontal="left"/>
    </xf>
    <xf numFmtId="180" fontId="37" fillId="31" borderId="138" xfId="0" applyNumberFormat="1" applyFont="1" applyFill="1" applyBorder="1" applyAlignment="1">
      <alignment horizontal="center"/>
    </xf>
    <xf numFmtId="183" fontId="36" fillId="51" borderId="143" xfId="0" applyNumberFormat="1" applyFont="1" applyFill="1" applyBorder="1" applyAlignment="1">
      <alignment horizontal="center" vertical="center"/>
    </xf>
    <xf numFmtId="0" fontId="183" fillId="27" borderId="89" xfId="0" quotePrefix="1" applyFont="1" applyFill="1" applyBorder="1" applyAlignment="1">
      <alignment horizontal="left" vertical="center"/>
    </xf>
    <xf numFmtId="183" fontId="36" fillId="27" borderId="220" xfId="0" applyNumberFormat="1" applyFont="1" applyFill="1" applyBorder="1" applyAlignment="1">
      <alignment horizontal="center" vertical="center"/>
    </xf>
    <xf numFmtId="0" fontId="183" fillId="27" borderId="62" xfId="0" quotePrefix="1" applyFont="1" applyFill="1" applyBorder="1" applyAlignment="1">
      <alignment horizontal="left" vertical="center"/>
    </xf>
    <xf numFmtId="191" fontId="126" fillId="27" borderId="157" xfId="0" applyNumberFormat="1" applyFont="1" applyFill="1" applyBorder="1" applyAlignment="1">
      <alignment horizontal="center" vertical="center"/>
    </xf>
    <xf numFmtId="183" fontId="36" fillId="51" borderId="135" xfId="0" applyNumberFormat="1" applyFont="1" applyFill="1" applyBorder="1" applyAlignment="1">
      <alignment horizontal="center" vertical="center"/>
    </xf>
    <xf numFmtId="0" fontId="24" fillId="27" borderId="80" xfId="0" quotePrefix="1" applyFont="1" applyFill="1" applyBorder="1" applyAlignment="1">
      <alignment horizontal="left" vertical="center"/>
    </xf>
    <xf numFmtId="191" fontId="126" fillId="27" borderId="27" xfId="0" applyNumberFormat="1" applyFont="1" applyFill="1" applyBorder="1" applyAlignment="1">
      <alignment horizontal="center" vertical="center"/>
    </xf>
    <xf numFmtId="183" fontId="36" fillId="51" borderId="93" xfId="0" applyNumberFormat="1" applyFont="1" applyFill="1" applyBorder="1" applyAlignment="1">
      <alignment horizontal="center" vertical="center"/>
    </xf>
    <xf numFmtId="191" fontId="126" fillId="27" borderId="140" xfId="0" applyNumberFormat="1" applyFont="1" applyFill="1" applyBorder="1" applyAlignment="1">
      <alignment horizontal="center" vertical="center"/>
    </xf>
    <xf numFmtId="191" fontId="123" fillId="27" borderId="98" xfId="0" applyNumberFormat="1" applyFont="1" applyFill="1" applyBorder="1" applyAlignment="1">
      <alignment horizontal="center" vertical="center"/>
    </xf>
    <xf numFmtId="183" fontId="29" fillId="0" borderId="147" xfId="0" applyNumberFormat="1" applyFont="1" applyBorder="1" applyAlignment="1">
      <alignment horizontal="center" vertical="center"/>
    </xf>
    <xf numFmtId="191" fontId="123" fillId="27" borderId="99" xfId="0" applyNumberFormat="1" applyFont="1" applyFill="1" applyBorder="1" applyAlignment="1">
      <alignment horizontal="center" vertical="center"/>
    </xf>
    <xf numFmtId="0" fontId="60" fillId="33" borderId="61" xfId="0" applyFont="1" applyFill="1" applyBorder="1" applyAlignment="1">
      <alignment horizontal="left" vertical="center"/>
    </xf>
    <xf numFmtId="180" fontId="28" fillId="33" borderId="59" xfId="0" applyNumberFormat="1" applyFont="1" applyFill="1" applyBorder="1" applyAlignment="1">
      <alignment horizontal="left" vertical="center"/>
    </xf>
    <xf numFmtId="180" fontId="28" fillId="33" borderId="60" xfId="0" applyNumberFormat="1" applyFont="1" applyFill="1" applyBorder="1" applyAlignment="1">
      <alignment horizontal="left" vertical="center"/>
    </xf>
    <xf numFmtId="180" fontId="28" fillId="33" borderId="60" xfId="0" applyNumberFormat="1" applyFont="1" applyFill="1" applyBorder="1" applyAlignment="1">
      <alignment horizontal="left"/>
    </xf>
    <xf numFmtId="180" fontId="37" fillId="33" borderId="138" xfId="0" applyNumberFormat="1" applyFont="1" applyFill="1" applyBorder="1" applyAlignment="1">
      <alignment horizontal="center"/>
    </xf>
    <xf numFmtId="191" fontId="126" fillId="33" borderId="141" xfId="0" applyNumberFormat="1" applyFont="1" applyFill="1" applyBorder="1" applyAlignment="1">
      <alignment horizontal="center" vertical="center"/>
    </xf>
    <xf numFmtId="183" fontId="29" fillId="33" borderId="60" xfId="0" applyNumberFormat="1" applyFont="1" applyFill="1" applyBorder="1" applyAlignment="1">
      <alignment horizontal="center" vertical="center"/>
    </xf>
    <xf numFmtId="191" fontId="126" fillId="33" borderId="142" xfId="0" applyNumberFormat="1" applyFont="1" applyFill="1" applyBorder="1" applyAlignment="1">
      <alignment horizontal="center" vertical="center"/>
    </xf>
    <xf numFmtId="183" fontId="61" fillId="33" borderId="92" xfId="0" applyNumberFormat="1" applyFont="1" applyFill="1" applyBorder="1" applyAlignment="1">
      <alignment horizontal="center" vertical="center"/>
    </xf>
    <xf numFmtId="0" fontId="24" fillId="31" borderId="104" xfId="0" applyFont="1" applyFill="1" applyBorder="1" applyAlignment="1">
      <alignment horizontal="left" vertical="center"/>
    </xf>
    <xf numFmtId="0" fontId="122" fillId="31" borderId="103" xfId="0" applyFont="1" applyFill="1" applyBorder="1" applyAlignment="1">
      <alignment horizontal="right" vertical="center"/>
    </xf>
    <xf numFmtId="180" fontId="37" fillId="31" borderId="143" xfId="0" applyNumberFormat="1" applyFont="1" applyFill="1" applyBorder="1" applyAlignment="1">
      <alignment horizontal="center"/>
    </xf>
    <xf numFmtId="191" fontId="123" fillId="31" borderId="107" xfId="0" applyNumberFormat="1" applyFont="1" applyFill="1" applyBorder="1" applyAlignment="1">
      <alignment horizontal="center" vertical="center"/>
    </xf>
    <xf numFmtId="0" fontId="122" fillId="27" borderId="63" xfId="0" applyFont="1" applyFill="1" applyBorder="1" applyAlignment="1">
      <alignment horizontal="right" vertical="center"/>
    </xf>
    <xf numFmtId="183" fontId="36" fillId="0" borderId="144" xfId="0" applyNumberFormat="1" applyFont="1" applyBorder="1" applyAlignment="1">
      <alignment horizontal="center" vertical="center"/>
    </xf>
    <xf numFmtId="183" fontId="36" fillId="51" borderId="110" xfId="0" applyNumberFormat="1" applyFont="1" applyFill="1" applyBorder="1" applyAlignment="1">
      <alignment horizontal="center" vertical="center"/>
    </xf>
    <xf numFmtId="0" fontId="24" fillId="27" borderId="89" xfId="0" applyFont="1" applyFill="1" applyBorder="1" applyAlignment="1">
      <alignment horizontal="left" vertical="center"/>
    </xf>
    <xf numFmtId="0" fontId="122" fillId="27" borderId="82" xfId="0" applyFont="1" applyFill="1" applyBorder="1" applyAlignment="1">
      <alignment horizontal="right" vertical="center"/>
    </xf>
    <xf numFmtId="0" fontId="24" fillId="27" borderId="120" xfId="0" applyFont="1" applyFill="1" applyBorder="1" applyAlignment="1">
      <alignment horizontal="left" vertical="center"/>
    </xf>
    <xf numFmtId="0" fontId="24" fillId="0" borderId="62" xfId="0" applyFont="1" applyBorder="1" applyAlignment="1">
      <alignment horizontal="left" vertical="center"/>
    </xf>
    <xf numFmtId="191" fontId="126" fillId="0" borderId="99" xfId="0" applyNumberFormat="1" applyFont="1" applyBorder="1" applyAlignment="1">
      <alignment horizontal="center" vertical="center"/>
    </xf>
    <xf numFmtId="0" fontId="139" fillId="0" borderId="62" xfId="0" applyFont="1" applyBorder="1" applyAlignment="1">
      <alignment horizontal="left" vertical="center"/>
    </xf>
    <xf numFmtId="191" fontId="126" fillId="0" borderId="17" xfId="0" applyNumberFormat="1" applyFont="1" applyBorder="1" applyAlignment="1">
      <alignment horizontal="center" vertical="center"/>
    </xf>
    <xf numFmtId="0" fontId="139" fillId="0" borderId="77" xfId="0" applyFont="1" applyBorder="1" applyAlignment="1">
      <alignment horizontal="left" vertical="center"/>
    </xf>
    <xf numFmtId="191" fontId="126" fillId="0" borderId="98" xfId="0" applyNumberFormat="1" applyFont="1" applyBorder="1" applyAlignment="1">
      <alignment horizontal="center" vertical="center"/>
    </xf>
    <xf numFmtId="183" fontId="36" fillId="51" borderId="64" xfId="0" applyNumberFormat="1" applyFont="1" applyFill="1" applyBorder="1" applyAlignment="1">
      <alignment horizontal="center" vertical="center"/>
    </xf>
    <xf numFmtId="183" fontId="29" fillId="51" borderId="64" xfId="0" applyNumberFormat="1" applyFont="1" applyFill="1" applyBorder="1" applyAlignment="1">
      <alignment horizontal="center" vertical="center"/>
    </xf>
    <xf numFmtId="0" fontId="122" fillId="27" borderId="77" xfId="0" quotePrefix="1" applyFont="1" applyFill="1" applyBorder="1" applyAlignment="1">
      <alignment horizontal="left" vertical="center"/>
    </xf>
    <xf numFmtId="183" fontId="124" fillId="31" borderId="212" xfId="0" applyNumberFormat="1" applyFont="1" applyFill="1" applyBorder="1" applyAlignment="1">
      <alignment horizontal="center" vertical="center"/>
    </xf>
    <xf numFmtId="0" fontId="24" fillId="27" borderId="145" xfId="0" quotePrefix="1" applyFont="1" applyFill="1" applyBorder="1" applyAlignment="1">
      <alignment horizontal="left" vertical="center"/>
    </xf>
    <xf numFmtId="191" fontId="126" fillId="27" borderId="54" xfId="0" applyNumberFormat="1" applyFont="1" applyFill="1" applyBorder="1" applyAlignment="1">
      <alignment horizontal="center" vertical="center"/>
    </xf>
    <xf numFmtId="183" fontId="36" fillId="51" borderId="52" xfId="0" applyNumberFormat="1" applyFont="1" applyFill="1" applyBorder="1" applyAlignment="1">
      <alignment horizontal="center" vertical="center"/>
    </xf>
    <xf numFmtId="183" fontId="36" fillId="51" borderId="26" xfId="0" applyNumberFormat="1" applyFont="1" applyFill="1" applyBorder="1" applyAlignment="1">
      <alignment horizontal="center" vertical="center"/>
    </xf>
    <xf numFmtId="0" fontId="175" fillId="27" borderId="82" xfId="0" applyFont="1" applyFill="1" applyBorder="1">
      <alignment vertical="center"/>
    </xf>
    <xf numFmtId="0" fontId="122" fillId="27" borderId="116" xfId="0" applyFont="1" applyFill="1" applyBorder="1" applyAlignment="1">
      <alignment horizontal="left" vertical="center"/>
    </xf>
    <xf numFmtId="183" fontId="29" fillId="51" borderId="83" xfId="0" applyNumberFormat="1" applyFont="1" applyFill="1" applyBorder="1" applyAlignment="1">
      <alignment horizontal="center" vertical="center"/>
    </xf>
    <xf numFmtId="180" fontId="37" fillId="31" borderId="146" xfId="0" applyNumberFormat="1" applyFont="1" applyFill="1" applyBorder="1" applyAlignment="1">
      <alignment horizontal="center"/>
    </xf>
    <xf numFmtId="191" fontId="126" fillId="27" borderId="50" xfId="0" applyNumberFormat="1" applyFont="1" applyFill="1" applyBorder="1" applyAlignment="1">
      <alignment horizontal="center" vertical="center"/>
    </xf>
    <xf numFmtId="191" fontId="126" fillId="27" borderId="64" xfId="0" applyNumberFormat="1" applyFont="1" applyFill="1" applyBorder="1" applyAlignment="1">
      <alignment horizontal="center" vertical="center"/>
    </xf>
    <xf numFmtId="191" fontId="126" fillId="27" borderId="57" xfId="0" applyNumberFormat="1" applyFont="1" applyFill="1" applyBorder="1" applyAlignment="1">
      <alignment horizontal="center" vertical="center"/>
    </xf>
    <xf numFmtId="0" fontId="139" fillId="27" borderId="62" xfId="0" applyFont="1" applyFill="1" applyBorder="1" applyAlignment="1">
      <alignment horizontal="left"/>
    </xf>
    <xf numFmtId="183" fontId="29" fillId="0" borderId="61" xfId="0" applyNumberFormat="1" applyFont="1" applyBorder="1" applyAlignment="1">
      <alignment horizontal="center" vertical="center"/>
    </xf>
    <xf numFmtId="183" fontId="29" fillId="0" borderId="63" xfId="0" applyNumberFormat="1" applyFont="1" applyBorder="1" applyAlignment="1">
      <alignment horizontal="center" vertical="center"/>
    </xf>
    <xf numFmtId="183" fontId="29" fillId="0" borderId="67" xfId="0" applyNumberFormat="1" applyFont="1" applyBorder="1" applyAlignment="1">
      <alignment horizontal="center" vertical="center"/>
    </xf>
    <xf numFmtId="191" fontId="126" fillId="27" borderId="118" xfId="0" applyNumberFormat="1" applyFont="1" applyFill="1" applyBorder="1" applyAlignment="1">
      <alignment horizontal="center" vertical="center"/>
    </xf>
    <xf numFmtId="183" fontId="36" fillId="51" borderId="83" xfId="0" applyNumberFormat="1" applyFont="1" applyFill="1" applyBorder="1" applyAlignment="1">
      <alignment horizontal="center" vertical="center"/>
    </xf>
    <xf numFmtId="0" fontId="0" fillId="0" borderId="60" xfId="0" applyBorder="1" applyAlignment="1">
      <alignment horizontal="left" vertical="center"/>
    </xf>
    <xf numFmtId="0" fontId="24" fillId="51" borderId="59" xfId="0" applyFont="1" applyFill="1" applyBorder="1" applyAlignment="1">
      <alignment horizontal="left" vertical="center"/>
    </xf>
    <xf numFmtId="0" fontId="24" fillId="51" borderId="60" xfId="0" applyFont="1" applyFill="1" applyBorder="1">
      <alignment vertical="center"/>
    </xf>
    <xf numFmtId="0" fontId="0" fillId="51" borderId="60" xfId="0" applyFill="1" applyBorder="1">
      <alignment vertical="center"/>
    </xf>
    <xf numFmtId="0" fontId="26" fillId="51" borderId="174" xfId="0" applyFont="1" applyFill="1" applyBorder="1" applyAlignment="1">
      <alignment horizontal="center" vertical="center"/>
    </xf>
    <xf numFmtId="0" fontId="29" fillId="51" borderId="174" xfId="0" applyFont="1" applyFill="1" applyBorder="1" applyAlignment="1">
      <alignment horizontal="center" vertical="center"/>
    </xf>
    <xf numFmtId="0" fontId="29" fillId="51" borderId="224" xfId="0" applyFont="1" applyFill="1" applyBorder="1" applyAlignment="1">
      <alignment horizontal="center" vertical="center"/>
    </xf>
    <xf numFmtId="0" fontId="0" fillId="51" borderId="62" xfId="0" applyFill="1" applyBorder="1" applyAlignment="1">
      <alignment horizontal="left" vertical="center"/>
    </xf>
    <xf numFmtId="0" fontId="0" fillId="51" borderId="10" xfId="0" applyFill="1" applyBorder="1">
      <alignment vertical="center"/>
    </xf>
    <xf numFmtId="0" fontId="29" fillId="51" borderId="10" xfId="0" applyFont="1" applyFill="1" applyBorder="1">
      <alignment vertical="center"/>
    </xf>
    <xf numFmtId="0" fontId="29" fillId="51" borderId="148" xfId="0" applyFont="1" applyFill="1" applyBorder="1">
      <alignment vertical="center"/>
    </xf>
    <xf numFmtId="183" fontId="24" fillId="51" borderId="10" xfId="0" applyNumberFormat="1" applyFont="1" applyFill="1" applyBorder="1" applyAlignment="1">
      <alignment horizontal="center" vertical="center"/>
    </xf>
    <xf numFmtId="183" fontId="24" fillId="51" borderId="148" xfId="0" applyNumberFormat="1" applyFont="1" applyFill="1" applyBorder="1" applyAlignment="1">
      <alignment horizontal="center" vertical="center"/>
    </xf>
    <xf numFmtId="0" fontId="0" fillId="51" borderId="148" xfId="0" applyFill="1" applyBorder="1">
      <alignment vertical="center"/>
    </xf>
    <xf numFmtId="183" fontId="24" fillId="51" borderId="51" xfId="0" applyNumberFormat="1" applyFont="1" applyFill="1" applyBorder="1" applyAlignment="1">
      <alignment horizontal="center" vertical="center"/>
    </xf>
    <xf numFmtId="183" fontId="24" fillId="51" borderId="150" xfId="0" applyNumberFormat="1" applyFont="1" applyFill="1" applyBorder="1" applyAlignment="1">
      <alignment horizontal="center" vertical="center"/>
    </xf>
    <xf numFmtId="0" fontId="24" fillId="31" borderId="80" xfId="0" applyFont="1" applyFill="1" applyBorder="1" applyAlignment="1">
      <alignment horizontal="left" vertical="center"/>
    </xf>
    <xf numFmtId="0" fontId="24" fillId="31" borderId="50" xfId="0" applyFont="1" applyFill="1" applyBorder="1" applyAlignment="1">
      <alignment horizontal="left" vertical="center"/>
    </xf>
    <xf numFmtId="0" fontId="33" fillId="31" borderId="50" xfId="0" applyFont="1" applyFill="1" applyBorder="1" applyAlignment="1">
      <alignment horizontal="left" vertical="center"/>
    </xf>
    <xf numFmtId="180" fontId="37" fillId="31" borderId="50" xfId="0" applyNumberFormat="1" applyFont="1" applyFill="1" applyBorder="1" applyAlignment="1">
      <alignment horizontal="left" vertical="center"/>
    </xf>
    <xf numFmtId="180" fontId="37" fillId="31" borderId="50" xfId="0" applyNumberFormat="1" applyFont="1" applyFill="1" applyBorder="1" applyAlignment="1">
      <alignment horizontal="left"/>
    </xf>
    <xf numFmtId="191" fontId="123" fillId="31" borderId="50" xfId="0" applyNumberFormat="1" applyFont="1" applyFill="1" applyBorder="1" applyAlignment="1">
      <alignment horizontal="center" vertical="center"/>
    </xf>
    <xf numFmtId="183" fontId="124" fillId="31" borderId="50" xfId="0" applyNumberFormat="1" applyFont="1" applyFill="1" applyBorder="1" applyAlignment="1">
      <alignment horizontal="center" vertical="center"/>
    </xf>
    <xf numFmtId="183" fontId="124" fillId="31" borderId="82" xfId="0" applyNumberFormat="1" applyFont="1" applyFill="1" applyBorder="1" applyAlignment="1">
      <alignment horizontal="center" vertical="center"/>
    </xf>
    <xf numFmtId="0" fontId="33" fillId="51" borderId="62" xfId="0" applyFont="1" applyFill="1" applyBorder="1" applyAlignment="1">
      <alignment horizontal="left" vertical="center"/>
    </xf>
    <xf numFmtId="0" fontId="33" fillId="51" borderId="0" xfId="0" applyFont="1" applyFill="1">
      <alignment vertical="center"/>
    </xf>
    <xf numFmtId="183" fontId="24" fillId="51" borderId="55" xfId="0" applyNumberFormat="1" applyFont="1" applyFill="1" applyBorder="1" applyAlignment="1">
      <alignment horizontal="center" vertical="center"/>
    </xf>
    <xf numFmtId="0" fontId="0" fillId="51" borderId="63" xfId="0" applyFill="1" applyBorder="1">
      <alignment vertical="center"/>
    </xf>
    <xf numFmtId="0" fontId="0" fillId="72" borderId="10" xfId="0" applyFill="1" applyBorder="1">
      <alignment vertical="center"/>
    </xf>
    <xf numFmtId="0" fontId="0" fillId="72" borderId="148" xfId="0" applyFill="1" applyBorder="1">
      <alignment vertical="center"/>
    </xf>
    <xf numFmtId="183" fontId="24" fillId="72" borderId="10" xfId="0" applyNumberFormat="1" applyFont="1" applyFill="1" applyBorder="1" applyAlignment="1">
      <alignment horizontal="center" vertical="center"/>
    </xf>
    <xf numFmtId="183" fontId="24" fillId="72" borderId="148" xfId="0" applyNumberFormat="1" applyFont="1" applyFill="1" applyBorder="1" applyAlignment="1">
      <alignment horizontal="center" vertical="center"/>
    </xf>
    <xf numFmtId="0" fontId="28" fillId="51" borderId="0" xfId="0" applyFont="1" applyFill="1">
      <alignment vertical="center"/>
    </xf>
    <xf numFmtId="0" fontId="37" fillId="51" borderId="0" xfId="0" applyFont="1" applyFill="1">
      <alignment vertical="center"/>
    </xf>
    <xf numFmtId="0" fontId="33" fillId="51" borderId="65" xfId="0" applyFont="1" applyFill="1" applyBorder="1" applyAlignment="1">
      <alignment horizontal="left" vertical="center"/>
    </xf>
    <xf numFmtId="0" fontId="22" fillId="51" borderId="66" xfId="0" applyFont="1" applyFill="1" applyBorder="1">
      <alignment vertical="center"/>
    </xf>
    <xf numFmtId="0" fontId="33" fillId="51" borderId="66" xfId="0" applyFont="1" applyFill="1" applyBorder="1">
      <alignment vertical="center"/>
    </xf>
    <xf numFmtId="183" fontId="24" fillId="51" borderId="136" xfId="0" applyNumberFormat="1" applyFont="1" applyFill="1" applyBorder="1" applyAlignment="1">
      <alignment horizontal="center" vertical="center"/>
    </xf>
    <xf numFmtId="183" fontId="24" fillId="72" borderId="136" xfId="0" applyNumberFormat="1" applyFont="1" applyFill="1" applyBorder="1" applyAlignment="1">
      <alignment horizontal="center" vertical="center"/>
    </xf>
    <xf numFmtId="183" fontId="24" fillId="72" borderId="153" xfId="0" applyNumberFormat="1" applyFont="1" applyFill="1" applyBorder="1" applyAlignment="1">
      <alignment horizontal="center" vertical="center"/>
    </xf>
    <xf numFmtId="183" fontId="24" fillId="0" borderId="55" xfId="0" applyNumberFormat="1" applyFont="1" applyBorder="1" applyAlignment="1">
      <alignment horizontal="center" vertical="center"/>
    </xf>
    <xf numFmtId="0" fontId="0" fillId="51" borderId="61" xfId="0" applyFill="1" applyBorder="1">
      <alignment vertical="center"/>
    </xf>
    <xf numFmtId="0" fontId="122" fillId="51" borderId="62" xfId="0" applyFont="1" applyFill="1" applyBorder="1" applyAlignment="1">
      <alignment horizontal="left" vertical="center"/>
    </xf>
    <xf numFmtId="0" fontId="122" fillId="51" borderId="0" xfId="0" applyFont="1" applyFill="1">
      <alignment vertical="center"/>
    </xf>
    <xf numFmtId="0" fontId="37" fillId="51" borderId="57" xfId="0" applyFont="1" applyFill="1" applyBorder="1">
      <alignment vertical="center"/>
    </xf>
    <xf numFmtId="183" fontId="37" fillId="51" borderId="57" xfId="0" applyNumberFormat="1" applyFont="1" applyFill="1" applyBorder="1">
      <alignment vertical="center"/>
    </xf>
    <xf numFmtId="183" fontId="37" fillId="51" borderId="57" xfId="0" applyNumberFormat="1" applyFont="1" applyFill="1" applyBorder="1" applyAlignment="1">
      <alignment horizontal="left" vertical="center"/>
    </xf>
    <xf numFmtId="0" fontId="37" fillId="51" borderId="57" xfId="0" applyFont="1" applyFill="1" applyBorder="1" applyAlignment="1">
      <alignment horizontal="left" vertical="center"/>
    </xf>
    <xf numFmtId="0" fontId="37" fillId="51" borderId="57" xfId="0" applyFont="1" applyFill="1" applyBorder="1" applyAlignment="1">
      <alignment horizontal="right" vertical="center"/>
    </xf>
    <xf numFmtId="0" fontId="37" fillId="51" borderId="57" xfId="0" applyFont="1" applyFill="1" applyBorder="1" applyAlignment="1">
      <alignment vertical="center" shrinkToFit="1"/>
    </xf>
    <xf numFmtId="207" fontId="37" fillId="51" borderId="57" xfId="0" applyNumberFormat="1" applyFont="1" applyFill="1" applyBorder="1" applyAlignment="1">
      <alignment vertical="center" shrinkToFit="1"/>
    </xf>
    <xf numFmtId="207" fontId="37" fillId="51" borderId="57" xfId="28" applyNumberFormat="1" applyFont="1" applyFill="1" applyBorder="1" applyProtection="1">
      <alignment vertical="center"/>
    </xf>
    <xf numFmtId="212" fontId="37" fillId="51" borderId="57" xfId="0" applyNumberFormat="1" applyFont="1" applyFill="1" applyBorder="1" applyAlignment="1">
      <alignment vertical="center" shrinkToFit="1"/>
    </xf>
    <xf numFmtId="182" fontId="37" fillId="51" borderId="57" xfId="0" applyNumberFormat="1" applyFont="1" applyFill="1" applyBorder="1">
      <alignment vertical="center"/>
    </xf>
    <xf numFmtId="0" fontId="37" fillId="51" borderId="0" xfId="0" applyFont="1" applyFill="1" applyAlignment="1">
      <alignment vertical="center" shrinkToFit="1"/>
    </xf>
    <xf numFmtId="180" fontId="37" fillId="51" borderId="57" xfId="35" applyNumberFormat="1" applyFont="1" applyFill="1" applyBorder="1" applyProtection="1">
      <alignment vertical="center"/>
    </xf>
    <xf numFmtId="9" fontId="37" fillId="51" borderId="57" xfId="28" applyFont="1" applyFill="1" applyBorder="1" applyProtection="1">
      <alignment vertical="center"/>
    </xf>
    <xf numFmtId="9" fontId="37" fillId="51" borderId="57" xfId="0" applyNumberFormat="1" applyFont="1" applyFill="1" applyBorder="1">
      <alignment vertical="center"/>
    </xf>
    <xf numFmtId="191" fontId="37" fillId="51" borderId="57" xfId="0" applyNumberFormat="1" applyFont="1" applyFill="1" applyBorder="1">
      <alignment vertical="center"/>
    </xf>
    <xf numFmtId="38" fontId="37" fillId="51" borderId="57" xfId="0" applyNumberFormat="1" applyFont="1" applyFill="1" applyBorder="1" applyAlignment="1">
      <alignment horizontal="right" vertical="center"/>
    </xf>
    <xf numFmtId="191" fontId="37" fillId="51" borderId="57" xfId="0" applyNumberFormat="1" applyFont="1" applyFill="1" applyBorder="1" applyAlignment="1">
      <alignment horizontal="right" vertical="center"/>
    </xf>
    <xf numFmtId="214" fontId="37" fillId="51" borderId="57" xfId="0" applyNumberFormat="1" applyFont="1" applyFill="1" applyBorder="1">
      <alignment vertical="center"/>
    </xf>
    <xf numFmtId="0" fontId="198" fillId="51" borderId="0" xfId="0" applyFont="1" applyFill="1">
      <alignment vertical="center"/>
    </xf>
    <xf numFmtId="0" fontId="37" fillId="51" borderId="0" xfId="0" applyFont="1" applyFill="1" applyAlignment="1">
      <alignment horizontal="right" vertical="center"/>
    </xf>
    <xf numFmtId="0" fontId="37" fillId="51" borderId="50" xfId="0" applyFont="1" applyFill="1" applyBorder="1">
      <alignment vertical="center"/>
    </xf>
    <xf numFmtId="0" fontId="37" fillId="51" borderId="50" xfId="0" applyFont="1" applyFill="1" applyBorder="1" applyAlignment="1">
      <alignment horizontal="right" vertical="center"/>
    </xf>
    <xf numFmtId="9" fontId="37" fillId="51" borderId="57" xfId="28" applyFont="1" applyFill="1" applyBorder="1" applyAlignment="1" applyProtection="1">
      <alignment vertical="center" shrinkToFit="1"/>
    </xf>
    <xf numFmtId="191" fontId="37" fillId="51" borderId="57" xfId="0" applyNumberFormat="1" applyFont="1" applyFill="1" applyBorder="1" applyAlignment="1">
      <alignment horizontal="left" vertical="center" shrinkToFit="1"/>
    </xf>
    <xf numFmtId="207" fontId="37" fillId="51" borderId="57" xfId="28" applyNumberFormat="1" applyFont="1" applyFill="1" applyBorder="1" applyAlignment="1" applyProtection="1">
      <alignment vertical="center" shrinkToFit="1"/>
    </xf>
    <xf numFmtId="0" fontId="37" fillId="51" borderId="50" xfId="0" applyFont="1" applyFill="1" applyBorder="1" applyAlignment="1">
      <alignment horizontal="left" vertical="center"/>
    </xf>
    <xf numFmtId="190" fontId="37" fillId="51" borderId="50" xfId="0" applyNumberFormat="1" applyFont="1" applyFill="1" applyBorder="1" applyAlignment="1">
      <alignment horizontal="right" vertical="center"/>
    </xf>
    <xf numFmtId="190" fontId="37" fillId="51" borderId="50" xfId="0" applyNumberFormat="1" applyFont="1" applyFill="1" applyBorder="1" applyAlignment="1">
      <alignment horizontal="right" vertical="center" shrinkToFit="1"/>
    </xf>
    <xf numFmtId="0" fontId="37" fillId="51" borderId="50" xfId="0" applyFont="1" applyFill="1" applyBorder="1" applyAlignment="1">
      <alignment horizontal="right" vertical="center" shrinkToFit="1"/>
    </xf>
    <xf numFmtId="0" fontId="0" fillId="51" borderId="66" xfId="0" applyFill="1" applyBorder="1">
      <alignment vertical="center"/>
    </xf>
    <xf numFmtId="0" fontId="0" fillId="51" borderId="67" xfId="0" applyFill="1" applyBorder="1">
      <alignment vertical="center"/>
    </xf>
    <xf numFmtId="0" fontId="28" fillId="58" borderId="10" xfId="0" applyFont="1" applyFill="1" applyBorder="1" applyAlignment="1" applyProtection="1">
      <alignment vertical="center" shrinkToFit="1"/>
      <protection locked="0"/>
    </xf>
    <xf numFmtId="40" fontId="28" fillId="51" borderId="10" xfId="35" applyNumberFormat="1" applyFont="1" applyFill="1" applyBorder="1" applyProtection="1">
      <alignment vertical="center"/>
      <protection locked="0"/>
    </xf>
    <xf numFmtId="40" fontId="28" fillId="0" borderId="0" xfId="35" applyNumberFormat="1" applyFont="1" applyProtection="1">
      <alignment vertical="center"/>
      <protection locked="0"/>
    </xf>
    <xf numFmtId="38" fontId="28" fillId="58" borderId="10" xfId="35" applyFont="1" applyFill="1" applyBorder="1" applyProtection="1">
      <alignment vertical="center"/>
      <protection locked="0"/>
    </xf>
    <xf numFmtId="190" fontId="22" fillId="51" borderId="50" xfId="0" applyNumberFormat="1" applyFont="1" applyFill="1" applyBorder="1">
      <alignment vertical="center"/>
    </xf>
    <xf numFmtId="0" fontId="29" fillId="0" borderId="65" xfId="0" applyFont="1" applyBorder="1" applyAlignment="1" applyProtection="1">
      <alignment horizontal="left" vertical="top" wrapText="1"/>
      <protection hidden="1"/>
    </xf>
    <xf numFmtId="0" fontId="29" fillId="29" borderId="66" xfId="0" applyFont="1" applyFill="1" applyBorder="1" applyAlignment="1" applyProtection="1">
      <alignment horizontal="left" vertical="top" wrapText="1"/>
      <protection hidden="1"/>
    </xf>
    <xf numFmtId="0" fontId="29" fillId="29" borderId="84" xfId="0" applyFont="1" applyFill="1" applyBorder="1" applyAlignment="1" applyProtection="1">
      <alignment horizontal="left" vertical="top" wrapText="1"/>
      <protection hidden="1"/>
    </xf>
    <xf numFmtId="0" fontId="29" fillId="0" borderId="83" xfId="0" applyFont="1" applyBorder="1" applyAlignment="1" applyProtection="1">
      <alignment horizontal="left" vertical="top" wrapText="1"/>
      <protection hidden="1"/>
    </xf>
    <xf numFmtId="0" fontId="29" fillId="29" borderId="67" xfId="0" applyFont="1" applyFill="1" applyBorder="1" applyAlignment="1" applyProtection="1">
      <alignment horizontal="left" vertical="top" wrapText="1"/>
      <protection hidden="1"/>
    </xf>
    <xf numFmtId="0" fontId="42" fillId="0" borderId="201" xfId="29" applyNumberFormat="1" applyFont="1" applyFill="1" applyBorder="1" applyAlignment="1" applyProtection="1">
      <alignment horizontal="center" vertical="center"/>
      <protection hidden="1"/>
    </xf>
    <xf numFmtId="0" fontId="42" fillId="0" borderId="202" xfId="29" applyNumberFormat="1" applyFont="1" applyFill="1" applyBorder="1" applyAlignment="1" applyProtection="1">
      <alignment horizontal="center" vertical="center"/>
      <protection hidden="1"/>
    </xf>
    <xf numFmtId="0" fontId="42" fillId="0" borderId="203" xfId="29" applyNumberFormat="1" applyFont="1" applyFill="1" applyBorder="1" applyAlignment="1" applyProtection="1">
      <alignment horizontal="center" vertical="center"/>
      <protection hidden="1"/>
    </xf>
    <xf numFmtId="0" fontId="36" fillId="0" borderId="0" xfId="0" applyFont="1" applyAlignment="1" applyProtection="1">
      <alignment horizontal="left" shrinkToFit="1"/>
      <protection hidden="1"/>
    </xf>
    <xf numFmtId="0" fontId="0" fillId="0" borderId="0" xfId="0" applyAlignment="1">
      <alignment shrinkToFit="1"/>
    </xf>
    <xf numFmtId="0" fontId="0" fillId="0" borderId="0" xfId="0" applyAlignment="1">
      <alignment horizontal="left" shrinkToFit="1"/>
    </xf>
    <xf numFmtId="55" fontId="33" fillId="0" borderId="217" xfId="0" applyNumberFormat="1" applyFont="1" applyBorder="1" applyAlignment="1" applyProtection="1">
      <alignment horizontal="left" vertical="center"/>
      <protection hidden="1"/>
    </xf>
    <xf numFmtId="0" fontId="0" fillId="0" borderId="53" xfId="0" applyBorder="1">
      <alignment vertical="center"/>
    </xf>
    <xf numFmtId="55" fontId="33" fillId="0" borderId="78" xfId="0" applyNumberFormat="1" applyFont="1" applyBorder="1" applyAlignment="1" applyProtection="1">
      <alignment horizontal="left" vertical="center"/>
      <protection hidden="1"/>
    </xf>
    <xf numFmtId="0" fontId="0" fillId="0" borderId="57" xfId="0" applyBorder="1">
      <alignment vertical="center"/>
    </xf>
    <xf numFmtId="0" fontId="29" fillId="0" borderId="77" xfId="0" applyFont="1" applyBorder="1" applyAlignment="1">
      <alignment horizontal="left" vertical="top" wrapText="1"/>
    </xf>
    <xf numFmtId="0" fontId="29" fillId="0" borderId="57" xfId="0" applyFont="1" applyBorder="1" applyAlignment="1">
      <alignment horizontal="left" vertical="top" wrapText="1"/>
    </xf>
    <xf numFmtId="0" fontId="29" fillId="0" borderId="58" xfId="0" applyFont="1" applyBorder="1" applyAlignment="1">
      <alignment horizontal="left" vertical="top" wrapText="1"/>
    </xf>
    <xf numFmtId="0" fontId="29" fillId="0" borderId="57" xfId="0" applyFont="1" applyBorder="1" applyAlignment="1" applyProtection="1">
      <alignment horizontal="left" vertical="top" wrapText="1"/>
      <protection hidden="1"/>
    </xf>
    <xf numFmtId="0" fontId="29" fillId="29" borderId="57" xfId="0" applyFont="1" applyFill="1" applyBorder="1" applyAlignment="1" applyProtection="1">
      <alignment horizontal="left" vertical="top" wrapText="1"/>
      <protection hidden="1"/>
    </xf>
    <xf numFmtId="0" fontId="29" fillId="29" borderId="79" xfId="0" applyFont="1" applyFill="1" applyBorder="1" applyAlignment="1" applyProtection="1">
      <alignment horizontal="left" vertical="top" wrapText="1"/>
      <protection hidden="1"/>
    </xf>
    <xf numFmtId="0" fontId="29" fillId="0" borderId="77" xfId="0" applyFont="1" applyBorder="1" applyAlignment="1" applyProtection="1">
      <alignment horizontal="left" vertical="top" wrapText="1"/>
      <protection hidden="1"/>
    </xf>
    <xf numFmtId="0" fontId="29" fillId="29" borderId="58" xfId="0" applyFont="1" applyFill="1" applyBorder="1" applyAlignment="1" applyProtection="1">
      <alignment horizontal="left" vertical="top" wrapText="1"/>
      <protection hidden="1"/>
    </xf>
    <xf numFmtId="0" fontId="29" fillId="0" borderId="56" xfId="0" applyFont="1" applyBorder="1" applyAlignment="1" applyProtection="1">
      <alignment horizontal="left" vertical="top" wrapText="1"/>
      <protection hidden="1"/>
    </xf>
    <xf numFmtId="0" fontId="34" fillId="0" borderId="26" xfId="0" applyFont="1" applyBorder="1" applyAlignment="1" applyProtection="1">
      <alignment horizontal="left" vertical="center" shrinkToFit="1"/>
      <protection locked="0"/>
    </xf>
    <xf numFmtId="0" fontId="34" fillId="0" borderId="50" xfId="0" applyFont="1" applyBorder="1" applyAlignment="1" applyProtection="1">
      <alignment horizontal="left" vertical="center" shrinkToFit="1"/>
      <protection locked="0"/>
    </xf>
    <xf numFmtId="0" fontId="34" fillId="0" borderId="27" xfId="0" applyFont="1" applyBorder="1" applyAlignment="1" applyProtection="1">
      <alignment horizontal="left" vertical="center" shrinkToFit="1"/>
      <protection locked="0"/>
    </xf>
    <xf numFmtId="0" fontId="34" fillId="0" borderId="26" xfId="0" applyFont="1" applyBorder="1" applyAlignment="1" applyProtection="1">
      <alignment horizontal="left" vertical="center"/>
      <protection locked="0"/>
    </xf>
    <xf numFmtId="0" fontId="34" fillId="0" borderId="50" xfId="0" applyFont="1" applyBorder="1" applyAlignment="1" applyProtection="1">
      <alignment horizontal="left" vertical="center"/>
      <protection locked="0"/>
    </xf>
    <xf numFmtId="0" fontId="34" fillId="29" borderId="27" xfId="0" applyFont="1" applyFill="1" applyBorder="1" applyAlignment="1" applyProtection="1">
      <alignment horizontal="left" vertical="center"/>
      <protection locked="0"/>
    </xf>
    <xf numFmtId="0" fontId="34" fillId="27" borderId="26" xfId="0" applyFont="1" applyFill="1" applyBorder="1" applyAlignment="1">
      <alignment horizontal="left" vertical="center" shrinkToFit="1"/>
    </xf>
    <xf numFmtId="0" fontId="34" fillId="27" borderId="50" xfId="0" applyFont="1" applyFill="1" applyBorder="1" applyAlignment="1">
      <alignment horizontal="left" vertical="center" shrinkToFit="1"/>
    </xf>
    <xf numFmtId="0" fontId="34" fillId="27" borderId="27" xfId="0" applyFont="1" applyFill="1" applyBorder="1" applyAlignment="1">
      <alignment horizontal="left" vertical="center" shrinkToFit="1"/>
    </xf>
    <xf numFmtId="0" fontId="64" fillId="0" borderId="62" xfId="0" applyFont="1" applyBorder="1" applyAlignment="1" applyProtection="1">
      <alignment horizontal="left" vertical="center" wrapText="1"/>
      <protection hidden="1"/>
    </xf>
    <xf numFmtId="0" fontId="64" fillId="0" borderId="0" xfId="0" applyFont="1" applyAlignment="1" applyProtection="1">
      <alignment horizontal="left" vertical="center" wrapText="1"/>
      <protection hidden="1"/>
    </xf>
    <xf numFmtId="0" fontId="64" fillId="0" borderId="63" xfId="0" applyFont="1" applyBorder="1" applyAlignment="1" applyProtection="1">
      <alignment horizontal="left" vertical="center" wrapText="1"/>
      <protection hidden="1"/>
    </xf>
    <xf numFmtId="0" fontId="64" fillId="0" borderId="65" xfId="0" applyFont="1" applyBorder="1" applyAlignment="1" applyProtection="1">
      <alignment horizontal="left" vertical="center" wrapText="1"/>
      <protection hidden="1"/>
    </xf>
    <xf numFmtId="0" fontId="64" fillId="0" borderId="66" xfId="0" applyFont="1" applyBorder="1" applyAlignment="1" applyProtection="1">
      <alignment horizontal="left" vertical="center" wrapText="1"/>
      <protection hidden="1"/>
    </xf>
    <xf numFmtId="0" fontId="64" fillId="0" borderId="67" xfId="0" applyFont="1" applyBorder="1" applyAlignment="1" applyProtection="1">
      <alignment horizontal="left" vertical="center" wrapText="1"/>
      <protection hidden="1"/>
    </xf>
    <xf numFmtId="0" fontId="0" fillId="58" borderId="196" xfId="0" applyFill="1" applyBorder="1" applyAlignment="1" applyProtection="1">
      <alignment horizontal="left" vertical="top" wrapText="1"/>
      <protection locked="0"/>
    </xf>
    <xf numFmtId="0" fontId="0" fillId="0" borderId="197" xfId="0" applyBorder="1" applyAlignment="1" applyProtection="1">
      <alignment horizontal="left" vertical="top" wrapText="1"/>
      <protection locked="0"/>
    </xf>
    <xf numFmtId="0" fontId="0" fillId="58" borderId="200" xfId="0" applyFill="1" applyBorder="1" applyAlignment="1" applyProtection="1">
      <alignment horizontal="left" vertical="top" wrapText="1"/>
      <protection locked="0"/>
    </xf>
    <xf numFmtId="0" fontId="0" fillId="58" borderId="198" xfId="0" applyFill="1" applyBorder="1" applyAlignment="1" applyProtection="1">
      <alignment horizontal="left" vertical="top" wrapText="1"/>
      <protection locked="0"/>
    </xf>
    <xf numFmtId="0" fontId="0" fillId="58" borderId="50" xfId="0" applyFill="1" applyBorder="1" applyAlignment="1" applyProtection="1">
      <alignment horizontal="left" vertical="top" wrapText="1"/>
      <protection locked="0"/>
    </xf>
    <xf numFmtId="0" fontId="0" fillId="0" borderId="82" xfId="0" applyBorder="1" applyAlignment="1" applyProtection="1">
      <alignment horizontal="left" vertical="top" wrapText="1"/>
      <protection locked="0"/>
    </xf>
    <xf numFmtId="0" fontId="0" fillId="58" borderId="186" xfId="0" applyFill="1" applyBorder="1" applyAlignment="1" applyProtection="1">
      <alignment horizontal="left" vertical="top" wrapText="1"/>
      <protection locked="0"/>
    </xf>
    <xf numFmtId="0" fontId="0" fillId="0" borderId="195" xfId="0" applyBorder="1" applyAlignment="1" applyProtection="1">
      <alignment horizontal="left" vertical="top" wrapText="1"/>
      <protection locked="0"/>
    </xf>
    <xf numFmtId="0" fontId="0" fillId="27" borderId="0" xfId="0" applyFill="1" applyAlignment="1">
      <alignment horizontal="left" vertical="top" wrapText="1"/>
    </xf>
    <xf numFmtId="0" fontId="7" fillId="27" borderId="0" xfId="0" applyFont="1" applyFill="1" applyAlignment="1">
      <alignment horizontal="left" vertical="top" wrapText="1"/>
    </xf>
    <xf numFmtId="0" fontId="33" fillId="27" borderId="50" xfId="0" applyFont="1" applyFill="1" applyBorder="1" applyAlignment="1">
      <alignment vertical="center" shrinkToFit="1"/>
    </xf>
    <xf numFmtId="0" fontId="0" fillId="0" borderId="50" xfId="0" applyBorder="1" applyAlignment="1">
      <alignment vertical="center" shrinkToFit="1"/>
    </xf>
    <xf numFmtId="0" fontId="33" fillId="27" borderId="26" xfId="0" applyFont="1" applyFill="1" applyBorder="1" applyAlignment="1">
      <alignment horizontal="left" vertical="center" shrinkToFit="1"/>
    </xf>
    <xf numFmtId="0" fontId="33" fillId="27" borderId="52" xfId="0" applyFont="1" applyFill="1" applyBorder="1" applyAlignment="1">
      <alignment horizontal="left" vertical="center" shrinkToFit="1"/>
    </xf>
    <xf numFmtId="0" fontId="0" fillId="0" borderId="53" xfId="0" applyBorder="1" applyAlignment="1">
      <alignment vertical="center" shrinkToFit="1"/>
    </xf>
    <xf numFmtId="0" fontId="93" fillId="0" borderId="65" xfId="0" applyFont="1" applyBorder="1" applyAlignment="1">
      <alignment vertical="center" shrinkToFit="1"/>
    </xf>
    <xf numFmtId="0" fontId="0" fillId="0" borderId="66" xfId="0" applyBorder="1" applyAlignment="1">
      <alignment vertical="center" shrinkToFit="1"/>
    </xf>
    <xf numFmtId="0" fontId="0" fillId="0" borderId="67" xfId="0" applyBorder="1" applyAlignment="1">
      <alignment vertical="center" shrinkToFit="1"/>
    </xf>
    <xf numFmtId="0" fontId="60" fillId="37" borderId="69" xfId="0" applyFont="1" applyFill="1" applyBorder="1" applyAlignment="1">
      <alignment horizontal="center" vertical="center"/>
    </xf>
    <xf numFmtId="0" fontId="33" fillId="27" borderId="26" xfId="0" applyFont="1" applyFill="1" applyBorder="1" applyAlignment="1">
      <alignment vertical="center" shrinkToFit="1"/>
    </xf>
    <xf numFmtId="180" fontId="28" fillId="0" borderId="62" xfId="0" applyNumberFormat="1" applyFont="1" applyBorder="1" applyAlignment="1">
      <alignment horizontal="left" vertical="top" wrapText="1"/>
    </xf>
    <xf numFmtId="180" fontId="28" fillId="0" borderId="0" xfId="0" applyNumberFormat="1" applyFont="1" applyAlignment="1">
      <alignment horizontal="left" vertical="top" wrapText="1"/>
    </xf>
    <xf numFmtId="180" fontId="28" fillId="0" borderId="63" xfId="0" applyNumberFormat="1" applyFont="1" applyBorder="1" applyAlignment="1">
      <alignment horizontal="left" vertical="top" wrapText="1"/>
    </xf>
    <xf numFmtId="0" fontId="60" fillId="37" borderId="71" xfId="0" applyFont="1" applyFill="1" applyBorder="1" applyAlignment="1">
      <alignment horizontal="center" vertical="center"/>
    </xf>
    <xf numFmtId="0" fontId="29" fillId="27" borderId="52" xfId="0" applyFont="1" applyFill="1" applyBorder="1" applyAlignment="1" applyProtection="1">
      <alignment horizontal="center" vertical="center" wrapText="1"/>
      <protection hidden="1"/>
    </xf>
    <xf numFmtId="0" fontId="46" fillId="27" borderId="54" xfId="0" applyFont="1" applyFill="1" applyBorder="1" applyAlignment="1">
      <alignment horizontal="center" vertical="center" wrapText="1"/>
    </xf>
    <xf numFmtId="0" fontId="46" fillId="27" borderId="56" xfId="0" applyFont="1" applyFill="1" applyBorder="1" applyAlignment="1">
      <alignment horizontal="center" vertical="center" wrapText="1"/>
    </xf>
    <xf numFmtId="0" fontId="46" fillId="27" borderId="58" xfId="0" applyFont="1" applyFill="1" applyBorder="1" applyAlignment="1">
      <alignment horizontal="center" vertical="center" wrapText="1"/>
    </xf>
    <xf numFmtId="180" fontId="28" fillId="0" borderId="89" xfId="0" applyNumberFormat="1" applyFont="1" applyBorder="1" applyAlignment="1">
      <alignment horizontal="left" vertical="top" wrapText="1"/>
    </xf>
    <xf numFmtId="180" fontId="28" fillId="0" borderId="53" xfId="0" applyNumberFormat="1" applyFont="1" applyBorder="1" applyAlignment="1">
      <alignment horizontal="left" vertical="top" wrapText="1"/>
    </xf>
    <xf numFmtId="180" fontId="28" fillId="0" borderId="90" xfId="0" applyNumberFormat="1" applyFont="1" applyBorder="1" applyAlignment="1">
      <alignment horizontal="left" vertical="top" wrapText="1"/>
    </xf>
    <xf numFmtId="0" fontId="0" fillId="0" borderId="82" xfId="0" applyBorder="1" applyAlignment="1">
      <alignment vertical="center" shrinkToFit="1"/>
    </xf>
    <xf numFmtId="180" fontId="28" fillId="0" borderId="77" xfId="0" applyNumberFormat="1" applyFont="1" applyBorder="1" applyAlignment="1">
      <alignment horizontal="left" vertical="top" wrapText="1"/>
    </xf>
    <xf numFmtId="180" fontId="28" fillId="0" borderId="57" xfId="0" applyNumberFormat="1" applyFont="1" applyBorder="1" applyAlignment="1">
      <alignment horizontal="left" vertical="top" wrapText="1"/>
    </xf>
    <xf numFmtId="180" fontId="28" fillId="0" borderId="79" xfId="0" applyNumberFormat="1" applyFont="1" applyBorder="1" applyAlignment="1">
      <alignment horizontal="left" vertical="top" wrapText="1"/>
    </xf>
    <xf numFmtId="0" fontId="33" fillId="27" borderId="53" xfId="0" applyFont="1" applyFill="1" applyBorder="1" applyAlignment="1">
      <alignment horizontal="left" vertical="center" shrinkToFit="1"/>
    </xf>
    <xf numFmtId="0" fontId="0" fillId="0" borderId="90" xfId="0" applyBorder="1" applyAlignment="1">
      <alignment vertical="center" shrinkToFit="1"/>
    </xf>
    <xf numFmtId="0" fontId="33" fillId="27" borderId="50" xfId="0" applyFont="1" applyFill="1" applyBorder="1" applyAlignment="1">
      <alignment horizontal="left" vertical="center" shrinkToFit="1"/>
    </xf>
    <xf numFmtId="180" fontId="28" fillId="0" borderId="80" xfId="0" applyNumberFormat="1" applyFont="1" applyBorder="1" applyAlignment="1">
      <alignment horizontal="left" vertical="top" wrapText="1"/>
    </xf>
    <xf numFmtId="180" fontId="28" fillId="0" borderId="50" xfId="0" applyNumberFormat="1" applyFont="1" applyBorder="1" applyAlignment="1">
      <alignment horizontal="left" vertical="top" wrapText="1"/>
    </xf>
    <xf numFmtId="180" fontId="28" fillId="0" borderId="82" xfId="0" applyNumberFormat="1" applyFont="1" applyBorder="1" applyAlignment="1">
      <alignment horizontal="left" vertical="top" wrapText="1"/>
    </xf>
    <xf numFmtId="0" fontId="28" fillId="27" borderId="51" xfId="0" applyFont="1" applyFill="1" applyBorder="1" applyAlignment="1">
      <alignment horizontal="left" vertical="top" wrapText="1"/>
    </xf>
    <xf numFmtId="0" fontId="28" fillId="27" borderId="55" xfId="0" applyFont="1" applyFill="1" applyBorder="1" applyAlignment="1">
      <alignment horizontal="left" vertical="top" wrapText="1"/>
    </xf>
    <xf numFmtId="0" fontId="28" fillId="27" borderId="15" xfId="0" applyFont="1" applyFill="1" applyBorder="1" applyAlignment="1">
      <alignment horizontal="left" vertical="center"/>
    </xf>
    <xf numFmtId="0" fontId="28" fillId="27" borderId="55" xfId="0" applyFont="1" applyFill="1" applyBorder="1" applyAlignment="1">
      <alignment horizontal="left" vertical="center"/>
    </xf>
    <xf numFmtId="0" fontId="28" fillId="31" borderId="26" xfId="0" applyFont="1" applyFill="1" applyBorder="1" applyAlignment="1" applyProtection="1">
      <alignment horizontal="center" vertical="center"/>
      <protection hidden="1"/>
    </xf>
    <xf numFmtId="0" fontId="28" fillId="31" borderId="27" xfId="0" applyFont="1" applyFill="1" applyBorder="1" applyAlignment="1" applyProtection="1">
      <alignment horizontal="center" vertical="center"/>
      <protection hidden="1"/>
    </xf>
    <xf numFmtId="0" fontId="28" fillId="27" borderId="160" xfId="0" applyFont="1" applyFill="1" applyBorder="1" applyAlignment="1" applyProtection="1">
      <alignment horizontal="left" vertical="center" wrapText="1"/>
      <protection hidden="1"/>
    </xf>
    <xf numFmtId="0" fontId="7" fillId="38" borderId="161" xfId="0" applyFont="1" applyFill="1" applyBorder="1" applyAlignment="1">
      <alignment horizontal="left" vertical="center" wrapText="1"/>
    </xf>
    <xf numFmtId="0" fontId="28" fillId="27" borderId="165" xfId="0" applyFont="1" applyFill="1" applyBorder="1" applyAlignment="1" applyProtection="1">
      <alignment horizontal="left" vertical="center" wrapText="1"/>
      <protection hidden="1"/>
    </xf>
    <xf numFmtId="0" fontId="7" fillId="38" borderId="166" xfId="0" applyFont="1" applyFill="1" applyBorder="1" applyAlignment="1">
      <alignment horizontal="left" vertical="center" wrapText="1"/>
    </xf>
    <xf numFmtId="0" fontId="28" fillId="27" borderId="12" xfId="0" applyFont="1" applyFill="1" applyBorder="1" applyAlignment="1" applyProtection="1">
      <alignment horizontal="left" vertical="center" wrapText="1"/>
      <protection hidden="1"/>
    </xf>
    <xf numFmtId="0" fontId="7" fillId="38" borderId="14" xfId="0" applyFont="1" applyFill="1" applyBorder="1" applyAlignment="1">
      <alignment horizontal="left" vertical="center" wrapText="1"/>
    </xf>
    <xf numFmtId="0" fontId="28" fillId="27" borderId="162" xfId="0" applyFont="1" applyFill="1" applyBorder="1" applyAlignment="1" applyProtection="1">
      <alignment horizontal="left" vertical="center" wrapText="1"/>
      <protection hidden="1"/>
    </xf>
    <xf numFmtId="0" fontId="28" fillId="31" borderId="26" xfId="0" applyFont="1" applyFill="1" applyBorder="1" applyAlignment="1" applyProtection="1">
      <alignment horizontal="center" vertical="center" shrinkToFit="1"/>
      <protection hidden="1"/>
    </xf>
    <xf numFmtId="0" fontId="7" fillId="0" borderId="82" xfId="0" applyFont="1" applyBorder="1" applyAlignment="1">
      <alignment horizontal="center" vertical="center" shrinkToFit="1"/>
    </xf>
    <xf numFmtId="0" fontId="7" fillId="38" borderId="167" xfId="0" applyFont="1" applyFill="1" applyBorder="1" applyAlignment="1">
      <alignment horizontal="left" vertical="center" wrapText="1"/>
    </xf>
    <xf numFmtId="0" fontId="7" fillId="38" borderId="13" xfId="0" applyFont="1" applyFill="1" applyBorder="1" applyAlignment="1">
      <alignment horizontal="left" vertical="center" wrapText="1"/>
    </xf>
    <xf numFmtId="0" fontId="37" fillId="27" borderId="26" xfId="0" applyFont="1" applyFill="1" applyBorder="1" applyAlignment="1" applyProtection="1">
      <alignment horizontal="left" vertical="center" wrapText="1"/>
      <protection hidden="1"/>
    </xf>
    <xf numFmtId="0" fontId="7" fillId="38" borderId="27" xfId="0" applyFont="1" applyFill="1" applyBorder="1" applyAlignment="1">
      <alignment horizontal="left" vertical="center" wrapText="1"/>
    </xf>
    <xf numFmtId="0" fontId="37" fillId="27" borderId="50" xfId="0" applyFont="1" applyFill="1" applyBorder="1" applyAlignment="1" applyProtection="1">
      <alignment horizontal="left" vertical="center" wrapText="1"/>
      <protection hidden="1"/>
    </xf>
    <xf numFmtId="0" fontId="7" fillId="27" borderId="27" xfId="0" applyFont="1" applyFill="1" applyBorder="1" applyAlignment="1">
      <alignment horizontal="left" vertical="center" wrapText="1"/>
    </xf>
    <xf numFmtId="0" fontId="37" fillId="27" borderId="80" xfId="0" applyFont="1" applyFill="1" applyBorder="1" applyAlignment="1" applyProtection="1">
      <alignment horizontal="left" vertical="center" wrapText="1"/>
      <protection hidden="1"/>
    </xf>
    <xf numFmtId="0" fontId="37" fillId="27" borderId="27" xfId="0" applyFont="1" applyFill="1" applyBorder="1" applyAlignment="1" applyProtection="1">
      <alignment horizontal="left" vertical="center" wrapText="1"/>
      <protection hidden="1"/>
    </xf>
    <xf numFmtId="0" fontId="28" fillId="27" borderId="160" xfId="0" applyFont="1" applyFill="1" applyBorder="1" applyAlignment="1">
      <alignment horizontal="left" vertical="center" wrapText="1"/>
    </xf>
    <xf numFmtId="0" fontId="7" fillId="38" borderId="162" xfId="0" applyFont="1" applyFill="1" applyBorder="1" applyAlignment="1">
      <alignment horizontal="left" vertical="center" wrapText="1"/>
    </xf>
    <xf numFmtId="0" fontId="26" fillId="31" borderId="15" xfId="0" applyFont="1" applyFill="1" applyBorder="1" applyAlignment="1" applyProtection="1">
      <alignment horizontal="center" vertical="center"/>
      <protection hidden="1"/>
    </xf>
    <xf numFmtId="0" fontId="28" fillId="27" borderId="161" xfId="0" applyFont="1" applyFill="1" applyBorder="1" applyAlignment="1" applyProtection="1">
      <alignment horizontal="left" vertical="center" wrapText="1"/>
      <protection hidden="1"/>
    </xf>
    <xf numFmtId="0" fontId="28" fillId="27" borderId="13" xfId="0" applyFont="1" applyFill="1" applyBorder="1" applyAlignment="1" applyProtection="1">
      <alignment horizontal="left" vertical="center" wrapText="1"/>
      <protection hidden="1"/>
    </xf>
    <xf numFmtId="0" fontId="28" fillId="27" borderId="12" xfId="0" applyFont="1" applyFill="1" applyBorder="1" applyAlignment="1">
      <alignment horizontal="left" vertical="center" wrapText="1"/>
    </xf>
    <xf numFmtId="0" fontId="28" fillId="27" borderId="165" xfId="0" applyFont="1" applyFill="1" applyBorder="1" applyAlignment="1">
      <alignment horizontal="left" vertical="center" wrapText="1"/>
    </xf>
    <xf numFmtId="0" fontId="7" fillId="0" borderId="167" xfId="0" applyFont="1" applyBorder="1" applyAlignment="1">
      <alignment horizontal="left" vertical="center" wrapText="1"/>
    </xf>
    <xf numFmtId="0" fontId="7" fillId="0" borderId="166" xfId="0" applyFont="1" applyBorder="1" applyAlignment="1">
      <alignment horizontal="left" vertical="center" wrapText="1"/>
    </xf>
    <xf numFmtId="0" fontId="28" fillId="27" borderId="167" xfId="0" applyFont="1" applyFill="1" applyBorder="1" applyAlignment="1" applyProtection="1">
      <alignment horizontal="left" vertical="center" wrapText="1"/>
      <protection hidden="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28" fillId="27" borderId="165" xfId="0" applyFont="1" applyFill="1" applyBorder="1" applyAlignment="1" applyProtection="1">
      <alignment vertical="center" wrapText="1"/>
      <protection hidden="1"/>
    </xf>
    <xf numFmtId="0" fontId="7" fillId="0" borderId="167" xfId="0" applyFont="1" applyBorder="1" applyAlignment="1">
      <alignment vertical="center" wrapText="1"/>
    </xf>
    <xf numFmtId="0" fontId="7" fillId="0" borderId="166" xfId="0" applyFont="1" applyBorder="1" applyAlignment="1">
      <alignment vertical="center" wrapText="1"/>
    </xf>
    <xf numFmtId="0" fontId="28" fillId="27" borderId="166" xfId="0" applyFont="1" applyFill="1" applyBorder="1" applyAlignment="1" applyProtection="1">
      <alignment horizontal="left" vertical="center" wrapText="1"/>
      <protection hidden="1"/>
    </xf>
    <xf numFmtId="0" fontId="37" fillId="27" borderId="205" xfId="0" applyFont="1" applyFill="1" applyBorder="1" applyAlignment="1" applyProtection="1">
      <alignment horizontal="left" vertical="center" wrapText="1"/>
      <protection hidden="1"/>
    </xf>
    <xf numFmtId="0" fontId="37" fillId="38" borderId="162" xfId="0" applyFont="1" applyFill="1" applyBorder="1" applyAlignment="1">
      <alignment horizontal="left" vertical="center" wrapText="1"/>
    </xf>
    <xf numFmtId="0" fontId="37" fillId="27" borderId="179" xfId="0" applyFont="1" applyFill="1" applyBorder="1" applyAlignment="1" applyProtection="1">
      <alignment horizontal="left" vertical="center" wrapText="1"/>
      <protection hidden="1"/>
    </xf>
    <xf numFmtId="0" fontId="37" fillId="38" borderId="14" xfId="0" applyFont="1" applyFill="1" applyBorder="1" applyAlignment="1">
      <alignment horizontal="left" vertical="center" wrapText="1"/>
    </xf>
    <xf numFmtId="0" fontId="37" fillId="0" borderId="0" xfId="0" applyFont="1" applyAlignment="1">
      <alignment horizontal="left" vertical="center" wrapText="1"/>
    </xf>
    <xf numFmtId="0" fontId="28" fillId="27" borderId="12" xfId="0" applyFont="1" applyFill="1" applyBorder="1" applyAlignment="1" applyProtection="1">
      <alignment vertical="center" wrapText="1"/>
      <protection hidden="1"/>
    </xf>
    <xf numFmtId="0" fontId="7" fillId="38" borderId="13" xfId="0" applyFont="1" applyFill="1" applyBorder="1" applyAlignment="1">
      <alignment vertical="center" wrapText="1"/>
    </xf>
    <xf numFmtId="0" fontId="7" fillId="38" borderId="14" xfId="0" applyFont="1" applyFill="1" applyBorder="1" applyAlignment="1">
      <alignment vertical="center" wrapText="1"/>
    </xf>
    <xf numFmtId="0" fontId="37" fillId="27" borderId="204" xfId="0" applyFont="1" applyFill="1" applyBorder="1" applyAlignment="1" applyProtection="1">
      <alignment horizontal="left" vertical="center" wrapText="1"/>
      <protection hidden="1"/>
    </xf>
    <xf numFmtId="0" fontId="37" fillId="38" borderId="166" xfId="0" applyFont="1" applyFill="1" applyBorder="1" applyAlignment="1">
      <alignment horizontal="left" vertical="center" wrapText="1"/>
    </xf>
    <xf numFmtId="0" fontId="28" fillId="31" borderId="27" xfId="0" applyFont="1" applyFill="1" applyBorder="1" applyAlignment="1" applyProtection="1">
      <alignment horizontal="center" vertical="center" wrapText="1"/>
      <protection hidden="1"/>
    </xf>
    <xf numFmtId="0" fontId="28" fillId="31" borderId="10" xfId="0" applyFont="1" applyFill="1" applyBorder="1" applyAlignment="1" applyProtection="1">
      <alignment horizontal="center" vertical="center" wrapText="1"/>
      <protection hidden="1"/>
    </xf>
    <xf numFmtId="0" fontId="28" fillId="27" borderId="165" xfId="0" applyFont="1" applyFill="1" applyBorder="1" applyAlignment="1" applyProtection="1">
      <alignment horizontal="left" vertical="center" shrinkToFit="1"/>
      <protection hidden="1"/>
    </xf>
    <xf numFmtId="0" fontId="7" fillId="38" borderId="167" xfId="0" applyFont="1" applyFill="1" applyBorder="1" applyAlignment="1">
      <alignment horizontal="left" vertical="center" shrinkToFit="1"/>
    </xf>
    <xf numFmtId="0" fontId="7" fillId="38" borderId="166" xfId="0" applyFont="1" applyFill="1" applyBorder="1" applyAlignment="1">
      <alignment horizontal="left" vertical="center" shrinkToFit="1"/>
    </xf>
    <xf numFmtId="0" fontId="28" fillId="27" borderId="14" xfId="0" applyFont="1" applyFill="1" applyBorder="1" applyAlignment="1" applyProtection="1">
      <alignment horizontal="left" vertical="center" wrapText="1"/>
      <protection hidden="1"/>
    </xf>
    <xf numFmtId="0" fontId="7" fillId="38" borderId="167" xfId="0" applyFont="1" applyFill="1" applyBorder="1" applyAlignment="1">
      <alignment vertical="center" wrapText="1"/>
    </xf>
    <xf numFmtId="0" fontId="7" fillId="38" borderId="166" xfId="0" applyFont="1" applyFill="1" applyBorder="1" applyAlignment="1">
      <alignment vertical="center" wrapText="1"/>
    </xf>
    <xf numFmtId="0" fontId="7" fillId="38" borderId="161" xfId="0" applyFont="1" applyFill="1" applyBorder="1">
      <alignment vertical="center"/>
    </xf>
    <xf numFmtId="0" fontId="7" fillId="38" borderId="14" xfId="0" applyFont="1" applyFill="1" applyBorder="1">
      <alignment vertical="center"/>
    </xf>
    <xf numFmtId="0" fontId="7" fillId="38" borderId="166" xfId="0" applyFont="1" applyFill="1" applyBorder="1">
      <alignment vertical="center"/>
    </xf>
    <xf numFmtId="0" fontId="28" fillId="31" borderId="80" xfId="0" applyFont="1" applyFill="1" applyBorder="1" applyAlignment="1" applyProtection="1">
      <alignment horizontal="center" vertical="center" wrapText="1"/>
      <protection hidden="1"/>
    </xf>
    <xf numFmtId="0" fontId="28" fillId="61" borderId="12" xfId="0" applyFont="1" applyFill="1" applyBorder="1" applyAlignment="1" applyProtection="1">
      <alignment horizontal="left" vertical="center" wrapText="1"/>
      <protection hidden="1"/>
    </xf>
    <xf numFmtId="0" fontId="7" fillId="62" borderId="14" xfId="0" applyFont="1" applyFill="1" applyBorder="1" applyAlignment="1">
      <alignment horizontal="left" vertical="center" wrapText="1"/>
    </xf>
    <xf numFmtId="0" fontId="28" fillId="61" borderId="14" xfId="0" applyFont="1" applyFill="1" applyBorder="1" applyAlignment="1" applyProtection="1">
      <alignment horizontal="left" vertical="center" wrapText="1"/>
      <protection hidden="1"/>
    </xf>
    <xf numFmtId="0" fontId="28" fillId="61" borderId="160" xfId="0" applyFont="1" applyFill="1" applyBorder="1" applyAlignment="1" applyProtection="1">
      <alignment horizontal="left" vertical="center" wrapText="1"/>
      <protection hidden="1"/>
    </xf>
    <xf numFmtId="0" fontId="7" fillId="62" borderId="162" xfId="0" applyFont="1" applyFill="1" applyBorder="1" applyAlignment="1">
      <alignment horizontal="left" vertical="center" wrapText="1"/>
    </xf>
    <xf numFmtId="0" fontId="28" fillId="61" borderId="162" xfId="0" applyFont="1" applyFill="1" applyBorder="1" applyAlignment="1" applyProtection="1">
      <alignment horizontal="left" vertical="center" wrapText="1"/>
      <protection hidden="1"/>
    </xf>
    <xf numFmtId="0" fontId="28" fillId="61" borderId="165" xfId="0" applyFont="1" applyFill="1" applyBorder="1" applyAlignment="1" applyProtection="1">
      <alignment horizontal="left" vertical="center" wrapText="1"/>
      <protection hidden="1"/>
    </xf>
    <xf numFmtId="0" fontId="7" fillId="62" borderId="166" xfId="0" applyFont="1" applyFill="1" applyBorder="1" applyAlignment="1">
      <alignment horizontal="left" vertical="center" wrapText="1"/>
    </xf>
    <xf numFmtId="0" fontId="28" fillId="61" borderId="166" xfId="0" applyFont="1" applyFill="1" applyBorder="1" applyAlignment="1" applyProtection="1">
      <alignment horizontal="left" vertical="center" wrapText="1"/>
      <protection hidden="1"/>
    </xf>
    <xf numFmtId="193" fontId="26" fillId="31" borderId="92" xfId="0" applyNumberFormat="1" applyFont="1" applyFill="1" applyBorder="1" applyAlignment="1" applyProtection="1">
      <alignment horizontal="center" vertical="center"/>
      <protection locked="0" hidden="1"/>
    </xf>
    <xf numFmtId="193" fontId="26" fillId="31" borderId="115" xfId="0" applyNumberFormat="1" applyFont="1" applyFill="1" applyBorder="1" applyAlignment="1" applyProtection="1">
      <alignment horizontal="center" vertical="center"/>
      <protection locked="0" hidden="1"/>
    </xf>
    <xf numFmtId="0" fontId="37" fillId="27" borderId="51" xfId="0" applyFont="1" applyFill="1" applyBorder="1" applyAlignment="1" applyProtection="1">
      <alignment horizontal="left" vertical="center" wrapText="1"/>
      <protection hidden="1"/>
    </xf>
    <xf numFmtId="0" fontId="37" fillId="27" borderId="15" xfId="0" applyFont="1" applyFill="1" applyBorder="1" applyAlignment="1" applyProtection="1">
      <alignment horizontal="left" vertical="center" wrapText="1"/>
      <protection hidden="1"/>
    </xf>
    <xf numFmtId="0" fontId="28" fillId="67" borderId="12" xfId="0" applyFont="1" applyFill="1" applyBorder="1" applyAlignment="1" applyProtection="1">
      <alignment horizontal="left" vertical="center" wrapText="1"/>
      <protection hidden="1"/>
    </xf>
    <xf numFmtId="0" fontId="7" fillId="68" borderId="14" xfId="0" applyFont="1" applyFill="1" applyBorder="1">
      <alignment vertical="center"/>
    </xf>
    <xf numFmtId="0" fontId="28" fillId="67" borderId="13" xfId="0" applyFont="1" applyFill="1" applyBorder="1" applyAlignment="1" applyProtection="1">
      <alignment horizontal="left" vertical="center" wrapText="1"/>
      <protection hidden="1"/>
    </xf>
    <xf numFmtId="0" fontId="28" fillId="67" borderId="165" xfId="0" applyFont="1" applyFill="1" applyBorder="1" applyAlignment="1" applyProtection="1">
      <alignment horizontal="left" vertical="center" wrapText="1"/>
      <protection hidden="1"/>
    </xf>
    <xf numFmtId="0" fontId="7" fillId="68" borderId="166" xfId="0" applyFont="1" applyFill="1" applyBorder="1" applyAlignment="1">
      <alignment horizontal="left" vertical="center" wrapText="1"/>
    </xf>
    <xf numFmtId="0" fontId="28" fillId="42" borderId="12" xfId="0" applyFont="1" applyFill="1" applyBorder="1" applyAlignment="1" applyProtection="1">
      <alignment horizontal="left" vertical="center" wrapText="1"/>
      <protection hidden="1"/>
    </xf>
    <xf numFmtId="0" fontId="7" fillId="48" borderId="14" xfId="0" applyFont="1" applyFill="1" applyBorder="1">
      <alignment vertical="center"/>
    </xf>
    <xf numFmtId="0" fontId="28" fillId="42" borderId="13" xfId="0" applyFont="1" applyFill="1" applyBorder="1" applyAlignment="1" applyProtection="1">
      <alignment horizontal="left" vertical="center" wrapText="1"/>
      <protection hidden="1"/>
    </xf>
    <xf numFmtId="0" fontId="28" fillId="27" borderId="52" xfId="0" applyFont="1" applyFill="1" applyBorder="1" applyAlignment="1" applyProtection="1">
      <alignment horizontal="left" vertical="center" wrapText="1"/>
      <protection hidden="1"/>
    </xf>
    <xf numFmtId="0" fontId="28" fillId="27" borderId="54" xfId="0" applyFont="1" applyFill="1" applyBorder="1" applyAlignment="1" applyProtection="1">
      <alignment horizontal="left" vertical="center" wrapText="1"/>
      <protection hidden="1"/>
    </xf>
    <xf numFmtId="0" fontId="28" fillId="27" borderId="56" xfId="0" applyFont="1" applyFill="1" applyBorder="1" applyAlignment="1" applyProtection="1">
      <alignment horizontal="left" vertical="center" wrapText="1"/>
      <protection hidden="1"/>
    </xf>
    <xf numFmtId="0" fontId="28" fillId="27" borderId="58" xfId="0" applyFont="1" applyFill="1" applyBorder="1" applyAlignment="1" applyProtection="1">
      <alignment horizontal="left" vertical="center" wrapText="1"/>
      <protection hidden="1"/>
    </xf>
    <xf numFmtId="0" fontId="28" fillId="42" borderId="165" xfId="0" applyFont="1" applyFill="1" applyBorder="1" applyAlignment="1" applyProtection="1">
      <alignment horizontal="left" vertical="center" wrapText="1"/>
      <protection hidden="1"/>
    </xf>
    <xf numFmtId="0" fontId="7" fillId="48" borderId="166" xfId="0" applyFont="1" applyFill="1" applyBorder="1" applyAlignment="1">
      <alignment horizontal="left" vertical="center" wrapText="1"/>
    </xf>
    <xf numFmtId="0" fontId="21" fillId="38" borderId="14" xfId="0" applyFont="1" applyFill="1" applyBorder="1">
      <alignment vertical="center"/>
    </xf>
    <xf numFmtId="0" fontId="7" fillId="38" borderId="13" xfId="0" applyFont="1" applyFill="1" applyBorder="1">
      <alignment vertical="center"/>
    </xf>
    <xf numFmtId="0" fontId="21" fillId="38" borderId="166" xfId="0" applyFont="1" applyFill="1" applyBorder="1" applyAlignment="1">
      <alignment horizontal="left" vertical="center" wrapText="1"/>
    </xf>
    <xf numFmtId="0" fontId="28" fillId="51" borderId="12" xfId="0" applyFont="1" applyFill="1" applyBorder="1" applyAlignment="1" applyProtection="1">
      <alignment horizontal="left" vertical="center" wrapText="1"/>
      <protection hidden="1"/>
    </xf>
    <xf numFmtId="0" fontId="28" fillId="51" borderId="13" xfId="0" applyFont="1" applyFill="1" applyBorder="1" applyAlignment="1" applyProtection="1">
      <alignment horizontal="left" vertical="center" wrapText="1"/>
      <protection hidden="1"/>
    </xf>
    <xf numFmtId="0" fontId="28" fillId="51" borderId="14" xfId="0" applyFont="1" applyFill="1" applyBorder="1" applyAlignment="1" applyProtection="1">
      <alignment horizontal="left" vertical="center" wrapText="1"/>
      <protection hidden="1"/>
    </xf>
    <xf numFmtId="0" fontId="28" fillId="51" borderId="165" xfId="0" applyFont="1" applyFill="1" applyBorder="1" applyAlignment="1" applyProtection="1">
      <alignment horizontal="left" vertical="center" wrapText="1"/>
      <protection hidden="1"/>
    </xf>
    <xf numFmtId="0" fontId="0" fillId="0" borderId="167" xfId="0" applyBorder="1" applyAlignment="1">
      <alignment horizontal="left" vertical="center" wrapText="1"/>
    </xf>
    <xf numFmtId="0" fontId="0" fillId="0" borderId="166" xfId="0" applyBorder="1" applyAlignment="1">
      <alignment horizontal="left" vertical="center" wrapText="1"/>
    </xf>
    <xf numFmtId="0" fontId="0" fillId="0" borderId="14" xfId="0" applyBorder="1" applyAlignment="1">
      <alignment horizontal="left" vertical="center" wrapText="1"/>
    </xf>
    <xf numFmtId="0" fontId="0" fillId="0" borderId="13" xfId="0" applyBorder="1" applyAlignment="1">
      <alignment horizontal="left" vertical="center" wrapText="1"/>
    </xf>
    <xf numFmtId="0" fontId="28" fillId="51" borderId="161" xfId="0" applyFont="1" applyFill="1" applyBorder="1" applyAlignment="1">
      <alignment horizontal="left" vertical="center" wrapText="1"/>
    </xf>
    <xf numFmtId="0" fontId="0" fillId="51" borderId="161" xfId="0" applyFill="1" applyBorder="1" applyAlignment="1">
      <alignment horizontal="left" vertical="center" wrapText="1"/>
    </xf>
    <xf numFmtId="0" fontId="0" fillId="51" borderId="162" xfId="0" applyFill="1" applyBorder="1" applyAlignment="1">
      <alignment horizontal="left" vertical="center" wrapText="1"/>
    </xf>
    <xf numFmtId="0" fontId="28" fillId="51" borderId="177" xfId="0" applyFont="1" applyFill="1" applyBorder="1" applyAlignment="1">
      <alignment horizontal="left" vertical="center" wrapText="1"/>
    </xf>
    <xf numFmtId="0" fontId="0" fillId="51" borderId="177" xfId="0" applyFill="1" applyBorder="1" applyAlignment="1">
      <alignment horizontal="left" vertical="center" wrapText="1"/>
    </xf>
    <xf numFmtId="0" fontId="0" fillId="51" borderId="178" xfId="0" applyFill="1" applyBorder="1" applyAlignment="1">
      <alignment horizontal="left" vertical="center" wrapText="1"/>
    </xf>
    <xf numFmtId="0" fontId="28" fillId="27" borderId="180" xfId="0" applyFont="1" applyFill="1" applyBorder="1" applyAlignment="1" applyProtection="1">
      <alignment horizontal="left" vertical="center" wrapText="1"/>
      <protection hidden="1"/>
    </xf>
    <xf numFmtId="0" fontId="0" fillId="0" borderId="161" xfId="0" applyBorder="1" applyAlignment="1">
      <alignment horizontal="left" vertical="center" wrapText="1"/>
    </xf>
    <xf numFmtId="0" fontId="0" fillId="0" borderId="162" xfId="0" applyBorder="1" applyAlignment="1">
      <alignment horizontal="left" vertical="center" wrapText="1"/>
    </xf>
    <xf numFmtId="0" fontId="28" fillId="27" borderId="181" xfId="0" applyFont="1" applyFill="1" applyBorder="1" applyAlignment="1" applyProtection="1">
      <alignment horizontal="left" vertical="center" wrapText="1"/>
      <protection hidden="1"/>
    </xf>
    <xf numFmtId="0" fontId="28" fillId="51" borderId="181" xfId="0" applyFont="1" applyFill="1" applyBorder="1" applyAlignment="1" applyProtection="1">
      <alignment horizontal="left" vertical="center" wrapText="1"/>
      <protection hidden="1"/>
    </xf>
    <xf numFmtId="0" fontId="28" fillId="31" borderId="80" xfId="0" applyFont="1" applyFill="1" applyBorder="1" applyAlignment="1" applyProtection="1">
      <alignment horizontal="center" vertical="center" shrinkToFit="1"/>
      <protection hidden="1"/>
    </xf>
    <xf numFmtId="0" fontId="28" fillId="31" borderId="27" xfId="0" applyFont="1" applyFill="1" applyBorder="1" applyAlignment="1" applyProtection="1">
      <alignment horizontal="center" vertical="center" shrinkToFit="1"/>
      <protection hidden="1"/>
    </xf>
    <xf numFmtId="0" fontId="28" fillId="51" borderId="12" xfId="0" applyFont="1" applyFill="1" applyBorder="1" applyAlignment="1">
      <alignment horizontal="left" vertical="center" wrapText="1"/>
    </xf>
    <xf numFmtId="0" fontId="28" fillId="51" borderId="165" xfId="0" applyFont="1" applyFill="1" applyBorder="1" applyAlignment="1">
      <alignment horizontal="left" vertical="center" wrapText="1"/>
    </xf>
    <xf numFmtId="0" fontId="28" fillId="27" borderId="180" xfId="0" applyFont="1" applyFill="1" applyBorder="1" applyAlignment="1">
      <alignment horizontal="left" vertical="center" wrapText="1"/>
    </xf>
    <xf numFmtId="0" fontId="28" fillId="27" borderId="161" xfId="0" applyFont="1" applyFill="1" applyBorder="1" applyAlignment="1">
      <alignment horizontal="left" vertical="center" wrapText="1"/>
    </xf>
    <xf numFmtId="0" fontId="28" fillId="27" borderId="162" xfId="0" applyFont="1" applyFill="1" applyBorder="1" applyAlignment="1">
      <alignment horizontal="left" vertical="center" wrapText="1"/>
    </xf>
    <xf numFmtId="0" fontId="28" fillId="27" borderId="181" xfId="0" applyFont="1" applyFill="1" applyBorder="1" applyAlignment="1">
      <alignment horizontal="left" vertical="center" wrapText="1"/>
    </xf>
    <xf numFmtId="0" fontId="28" fillId="27" borderId="182" xfId="0" applyFont="1" applyFill="1" applyBorder="1" applyAlignment="1">
      <alignment horizontal="left" vertical="center" wrapText="1"/>
    </xf>
    <xf numFmtId="0" fontId="28" fillId="51" borderId="160" xfId="0" applyFont="1" applyFill="1" applyBorder="1" applyAlignment="1" applyProtection="1">
      <alignment horizontal="left" vertical="center" wrapText="1"/>
      <protection hidden="1"/>
    </xf>
    <xf numFmtId="0" fontId="28" fillId="51" borderId="52" xfId="0" applyFont="1" applyFill="1" applyBorder="1" applyAlignment="1" applyProtection="1">
      <alignment horizontal="left" vertical="center" wrapText="1"/>
      <protection hidden="1"/>
    </xf>
    <xf numFmtId="0" fontId="0" fillId="0" borderId="54" xfId="0" applyBorder="1" applyAlignment="1">
      <alignment horizontal="left" vertical="center" wrapText="1"/>
    </xf>
    <xf numFmtId="0" fontId="0" fillId="0" borderId="64" xfId="0" applyBorder="1" applyAlignment="1">
      <alignment horizontal="left" vertical="center" wrapText="1"/>
    </xf>
    <xf numFmtId="0" fontId="0" fillId="0" borderId="17" xfId="0" applyBorder="1" applyAlignment="1">
      <alignment horizontal="left" vertical="center" wrapText="1"/>
    </xf>
    <xf numFmtId="0" fontId="0" fillId="0" borderId="56" xfId="0" applyBorder="1" applyAlignment="1">
      <alignment horizontal="left" vertical="center" wrapText="1"/>
    </xf>
    <xf numFmtId="0" fontId="0" fillId="0" borderId="58" xfId="0" applyBorder="1" applyAlignment="1">
      <alignment horizontal="left" vertical="center" wrapText="1"/>
    </xf>
    <xf numFmtId="0" fontId="28" fillId="51" borderId="180" xfId="0" applyFont="1" applyFill="1" applyBorder="1" applyAlignment="1" applyProtection="1">
      <alignment horizontal="left" vertical="center" wrapText="1"/>
      <protection hidden="1"/>
    </xf>
    <xf numFmtId="0" fontId="28" fillId="51" borderId="182" xfId="0" applyFont="1" applyFill="1" applyBorder="1" applyAlignment="1" applyProtection="1">
      <alignment horizontal="left" vertical="center" wrapText="1"/>
      <protection hidden="1"/>
    </xf>
    <xf numFmtId="0" fontId="28" fillId="27" borderId="171" xfId="0" applyFont="1" applyFill="1" applyBorder="1" applyAlignment="1" applyProtection="1">
      <alignment horizontal="left" vertical="center" wrapText="1" indent="1"/>
      <protection hidden="1"/>
    </xf>
    <xf numFmtId="0" fontId="28" fillId="27" borderId="87" xfId="0" applyFont="1" applyFill="1" applyBorder="1" applyAlignment="1" applyProtection="1">
      <alignment horizontal="left" vertical="center" wrapText="1" indent="1"/>
      <protection hidden="1"/>
    </xf>
    <xf numFmtId="0" fontId="28" fillId="27" borderId="187" xfId="0" applyFont="1" applyFill="1" applyBorder="1" applyAlignment="1" applyProtection="1">
      <alignment horizontal="left" vertical="center" wrapText="1" indent="1"/>
      <protection hidden="1"/>
    </xf>
    <xf numFmtId="0" fontId="28" fillId="27" borderId="172" xfId="0" applyFont="1" applyFill="1" applyBorder="1" applyAlignment="1" applyProtection="1">
      <alignment horizontal="left" vertical="center" wrapText="1"/>
      <protection hidden="1"/>
    </xf>
    <xf numFmtId="0" fontId="28" fillId="27" borderId="177" xfId="0" applyFont="1" applyFill="1" applyBorder="1" applyAlignment="1" applyProtection="1">
      <alignment horizontal="left" vertical="center" wrapText="1"/>
      <protection hidden="1"/>
    </xf>
    <xf numFmtId="0" fontId="28" fillId="27" borderId="178" xfId="0" applyFont="1" applyFill="1" applyBorder="1" applyAlignment="1" applyProtection="1">
      <alignment horizontal="left" vertical="center" wrapText="1"/>
      <protection hidden="1"/>
    </xf>
    <xf numFmtId="0" fontId="7" fillId="27" borderId="173" xfId="0" applyFont="1" applyFill="1" applyBorder="1" applyAlignment="1">
      <alignment horizontal="center" vertical="center" wrapText="1"/>
    </xf>
    <xf numFmtId="0" fontId="7" fillId="27" borderId="163" xfId="0" applyFont="1" applyFill="1" applyBorder="1" applyAlignment="1">
      <alignment horizontal="center" vertical="center" wrapText="1"/>
    </xf>
    <xf numFmtId="0" fontId="7" fillId="27" borderId="55" xfId="0" applyFont="1" applyFill="1" applyBorder="1" applyAlignment="1">
      <alignment horizontal="center" vertical="center" wrapText="1"/>
    </xf>
    <xf numFmtId="0" fontId="24" fillId="58" borderId="184" xfId="0" applyFont="1" applyFill="1" applyBorder="1" applyAlignment="1" applyProtection="1">
      <alignment horizontal="center" vertical="center"/>
      <protection locked="0" hidden="1"/>
    </xf>
    <xf numFmtId="0" fontId="24" fillId="58" borderId="115" xfId="0" applyFont="1" applyFill="1" applyBorder="1" applyAlignment="1" applyProtection="1">
      <alignment horizontal="center" vertical="center"/>
      <protection locked="0" hidden="1"/>
    </xf>
    <xf numFmtId="0" fontId="24" fillId="58" borderId="206" xfId="0" applyFont="1" applyFill="1" applyBorder="1" applyAlignment="1" applyProtection="1">
      <alignment horizontal="center" vertical="center"/>
      <protection locked="0" hidden="1"/>
    </xf>
    <xf numFmtId="0" fontId="7" fillId="27" borderId="173" xfId="0" applyFont="1" applyFill="1" applyBorder="1" applyAlignment="1" applyProtection="1">
      <alignment horizontal="center" vertical="center"/>
      <protection hidden="1"/>
    </xf>
    <xf numFmtId="0" fontId="7" fillId="27" borderId="163" xfId="0" applyFont="1" applyFill="1" applyBorder="1" applyAlignment="1" applyProtection="1">
      <alignment horizontal="center" vertical="center"/>
      <protection hidden="1"/>
    </xf>
    <xf numFmtId="0" fontId="7" fillId="27" borderId="51" xfId="0" applyFont="1" applyFill="1" applyBorder="1" applyAlignment="1" applyProtection="1">
      <alignment horizontal="center" vertical="center" wrapText="1"/>
      <protection hidden="1"/>
    </xf>
    <xf numFmtId="0" fontId="7" fillId="27" borderId="163" xfId="0" applyFont="1" applyFill="1" applyBorder="1" applyAlignment="1" applyProtection="1">
      <alignment horizontal="center" vertical="center" wrapText="1"/>
      <protection hidden="1"/>
    </xf>
    <xf numFmtId="0" fontId="7" fillId="27" borderId="173" xfId="0" applyFont="1" applyFill="1" applyBorder="1" applyAlignment="1" applyProtection="1">
      <alignment horizontal="center" vertical="center" wrapText="1"/>
      <protection hidden="1"/>
    </xf>
    <xf numFmtId="0" fontId="24" fillId="58" borderId="92" xfId="0" applyFont="1" applyFill="1" applyBorder="1" applyAlignment="1" applyProtection="1">
      <alignment horizontal="center" vertical="center"/>
      <protection locked="0" hidden="1"/>
    </xf>
    <xf numFmtId="0" fontId="7" fillId="27" borderId="11" xfId="0" applyFont="1" applyFill="1" applyBorder="1" applyAlignment="1">
      <alignment horizontal="center" vertical="center" wrapText="1"/>
    </xf>
    <xf numFmtId="0" fontId="28" fillId="27" borderId="64" xfId="0" applyFont="1" applyFill="1" applyBorder="1" applyAlignment="1" applyProtection="1">
      <alignment horizontal="left" vertical="center" wrapText="1" indent="1"/>
      <protection hidden="1"/>
    </xf>
    <xf numFmtId="0" fontId="28" fillId="27" borderId="0" xfId="0" applyFont="1" applyFill="1" applyAlignment="1" applyProtection="1">
      <alignment horizontal="left" vertical="center" wrapText="1" indent="1"/>
      <protection hidden="1"/>
    </xf>
    <xf numFmtId="0" fontId="28" fillId="27" borderId="181" xfId="0" applyFont="1" applyFill="1" applyBorder="1" applyAlignment="1" applyProtection="1">
      <alignment horizontal="center" vertical="center" wrapText="1"/>
      <protection hidden="1"/>
    </xf>
    <xf numFmtId="0" fontId="28" fillId="27" borderId="13" xfId="0" applyFont="1" applyFill="1" applyBorder="1" applyAlignment="1" applyProtection="1">
      <alignment horizontal="center" vertical="center" wrapText="1"/>
      <protection hidden="1"/>
    </xf>
    <xf numFmtId="0" fontId="28" fillId="27" borderId="17" xfId="0" applyFont="1" applyFill="1" applyBorder="1" applyAlignment="1" applyProtection="1">
      <alignment horizontal="left" vertical="center" wrapText="1" indent="1"/>
      <protection hidden="1"/>
    </xf>
    <xf numFmtId="0" fontId="28" fillId="27" borderId="62" xfId="0" applyFont="1" applyFill="1" applyBorder="1" applyAlignment="1" applyProtection="1">
      <alignment horizontal="center" vertical="center" wrapText="1"/>
      <protection hidden="1"/>
    </xf>
    <xf numFmtId="0" fontId="28" fillId="27" borderId="0" xfId="0" applyFont="1" applyFill="1" applyAlignment="1" applyProtection="1">
      <alignment horizontal="center" vertical="center" wrapText="1"/>
      <protection hidden="1"/>
    </xf>
    <xf numFmtId="0" fontId="7" fillId="0" borderId="178" xfId="0" applyFont="1" applyBorder="1">
      <alignment vertical="center"/>
    </xf>
    <xf numFmtId="0" fontId="7" fillId="0" borderId="87" xfId="0" applyFont="1" applyBorder="1">
      <alignment vertical="center"/>
    </xf>
    <xf numFmtId="0" fontId="7" fillId="0" borderId="187" xfId="0" applyFont="1" applyBorder="1">
      <alignment vertical="center"/>
    </xf>
    <xf numFmtId="0" fontId="28" fillId="27" borderId="161" xfId="0" applyFont="1" applyFill="1" applyBorder="1" applyAlignment="1">
      <alignment vertical="center" wrapText="1"/>
    </xf>
    <xf numFmtId="0" fontId="28" fillId="27" borderId="162" xfId="0" applyFont="1" applyFill="1" applyBorder="1" applyAlignment="1">
      <alignment vertical="center" wrapText="1"/>
    </xf>
    <xf numFmtId="0" fontId="28" fillId="27" borderId="26" xfId="0" applyFont="1" applyFill="1" applyBorder="1" applyAlignment="1" applyProtection="1">
      <alignment horizontal="center" vertical="center"/>
      <protection hidden="1"/>
    </xf>
    <xf numFmtId="0" fontId="28" fillId="27" borderId="50" xfId="0" applyFont="1" applyFill="1" applyBorder="1" applyAlignment="1" applyProtection="1">
      <alignment horizontal="center" vertical="center"/>
      <protection hidden="1"/>
    </xf>
    <xf numFmtId="0" fontId="28" fillId="27" borderId="27" xfId="0" applyFont="1" applyFill="1" applyBorder="1" applyAlignment="1" applyProtection="1">
      <alignment horizontal="center" vertical="center"/>
      <protection hidden="1"/>
    </xf>
    <xf numFmtId="0" fontId="28" fillId="27" borderId="89" xfId="0" applyFont="1" applyFill="1" applyBorder="1" applyAlignment="1" applyProtection="1">
      <alignment horizontal="center" vertical="center" wrapText="1"/>
      <protection hidden="1"/>
    </xf>
    <xf numFmtId="0" fontId="7" fillId="0" borderId="54" xfId="0" applyFont="1" applyBorder="1">
      <alignment vertical="center"/>
    </xf>
    <xf numFmtId="0" fontId="7" fillId="0" borderId="17" xfId="0" applyFont="1" applyBorder="1">
      <alignment vertical="center"/>
    </xf>
    <xf numFmtId="0" fontId="7" fillId="0" borderId="86" xfId="0" applyFont="1" applyBorder="1">
      <alignment vertical="center"/>
    </xf>
    <xf numFmtId="0" fontId="28" fillId="27" borderId="53" xfId="0" applyFont="1" applyFill="1" applyBorder="1" applyAlignment="1" applyProtection="1">
      <alignment horizontal="left" vertical="center" wrapText="1"/>
      <protection hidden="1"/>
    </xf>
    <xf numFmtId="0" fontId="7" fillId="0" borderId="13" xfId="0" applyFont="1" applyBorder="1" applyAlignment="1">
      <alignment vertical="center" wrapText="1"/>
    </xf>
    <xf numFmtId="0" fontId="28" fillId="27" borderId="193" xfId="0" applyFont="1" applyFill="1" applyBorder="1" applyAlignment="1" applyProtection="1">
      <alignment horizontal="left" vertical="center" wrapText="1"/>
      <protection hidden="1"/>
    </xf>
    <xf numFmtId="0" fontId="28" fillId="27" borderId="0" xfId="0" applyFont="1" applyFill="1" applyAlignment="1" applyProtection="1">
      <alignment horizontal="left" vertical="center" wrapText="1"/>
      <protection hidden="1"/>
    </xf>
    <xf numFmtId="0" fontId="7" fillId="0" borderId="0" xfId="0" applyFont="1">
      <alignment vertical="center"/>
    </xf>
    <xf numFmtId="0" fontId="7" fillId="0" borderId="14" xfId="0" applyFont="1" applyBorder="1">
      <alignment vertical="center"/>
    </xf>
    <xf numFmtId="0" fontId="7" fillId="0" borderId="162" xfId="0" applyFont="1" applyBorder="1" applyAlignment="1">
      <alignment vertical="center" wrapText="1"/>
    </xf>
    <xf numFmtId="0" fontId="7" fillId="27" borderId="173" xfId="0" quotePrefix="1" applyFont="1" applyFill="1" applyBorder="1" applyAlignment="1" applyProtection="1">
      <alignment horizontal="center" vertical="center" wrapText="1"/>
      <protection hidden="1"/>
    </xf>
    <xf numFmtId="0" fontId="7" fillId="27" borderId="15" xfId="0" quotePrefix="1" applyFont="1" applyFill="1" applyBorder="1" applyAlignment="1" applyProtection="1">
      <alignment horizontal="center" vertical="center" wrapText="1"/>
      <protection hidden="1"/>
    </xf>
    <xf numFmtId="0" fontId="28" fillId="27" borderId="177" xfId="0" applyFont="1" applyFill="1" applyBorder="1">
      <alignment vertical="center"/>
    </xf>
    <xf numFmtId="0" fontId="28" fillId="27" borderId="178" xfId="0" applyFont="1" applyFill="1" applyBorder="1">
      <alignment vertical="center"/>
    </xf>
    <xf numFmtId="0" fontId="28" fillId="27" borderId="0" xfId="0" applyFont="1" applyFill="1">
      <alignment vertical="center"/>
    </xf>
    <xf numFmtId="0" fontId="28" fillId="27" borderId="17" xfId="0" applyFont="1" applyFill="1" applyBorder="1">
      <alignment vertical="center"/>
    </xf>
    <xf numFmtId="0" fontId="28" fillId="27" borderId="87" xfId="0" applyFont="1" applyFill="1" applyBorder="1">
      <alignment vertical="center"/>
    </xf>
    <xf numFmtId="0" fontId="28" fillId="27" borderId="187" xfId="0" applyFont="1" applyFill="1" applyBorder="1">
      <alignment vertical="center"/>
    </xf>
    <xf numFmtId="0" fontId="7" fillId="58" borderId="100" xfId="0" applyFont="1" applyFill="1" applyBorder="1" applyProtection="1">
      <alignment vertical="center"/>
      <protection locked="0"/>
    </xf>
    <xf numFmtId="0" fontId="7" fillId="58" borderId="206" xfId="0" applyFont="1" applyFill="1" applyBorder="1" applyProtection="1">
      <alignment vertical="center"/>
      <protection locked="0"/>
    </xf>
    <xf numFmtId="0" fontId="7" fillId="27" borderId="163" xfId="0" quotePrefix="1" applyFont="1" applyFill="1" applyBorder="1" applyAlignment="1" applyProtection="1">
      <alignment horizontal="center" vertical="center" wrapText="1"/>
      <protection hidden="1"/>
    </xf>
    <xf numFmtId="0" fontId="28" fillId="27" borderId="64" xfId="0" applyFont="1" applyFill="1" applyBorder="1" applyAlignment="1" applyProtection="1">
      <alignment horizontal="left" vertical="center" wrapText="1"/>
      <protection hidden="1"/>
    </xf>
    <xf numFmtId="0" fontId="28" fillId="27" borderId="17" xfId="0" applyFont="1" applyFill="1" applyBorder="1" applyAlignment="1" applyProtection="1">
      <alignment horizontal="left" vertical="center" wrapText="1"/>
      <protection hidden="1"/>
    </xf>
    <xf numFmtId="0" fontId="24" fillId="58" borderId="100" xfId="0" applyFont="1" applyFill="1" applyBorder="1" applyAlignment="1" applyProtection="1">
      <alignment horizontal="center" vertical="center"/>
      <protection locked="0" hidden="1"/>
    </xf>
    <xf numFmtId="0" fontId="28" fillId="27" borderId="193" xfId="0" applyFont="1" applyFill="1" applyBorder="1" applyAlignment="1" applyProtection="1">
      <alignment horizontal="center" vertical="center" wrapText="1"/>
      <protection hidden="1"/>
    </xf>
    <xf numFmtId="0" fontId="28" fillId="27" borderId="177" xfId="0" applyFont="1" applyFill="1" applyBorder="1" applyAlignment="1" applyProtection="1">
      <alignment horizontal="center" vertical="center" wrapText="1"/>
      <protection hidden="1"/>
    </xf>
    <xf numFmtId="0" fontId="28" fillId="27" borderId="86" xfId="0" applyFont="1" applyFill="1" applyBorder="1" applyAlignment="1" applyProtection="1">
      <alignment horizontal="center" vertical="center" wrapText="1"/>
      <protection hidden="1"/>
    </xf>
    <xf numFmtId="0" fontId="28" fillId="27" borderId="87" xfId="0" applyFont="1" applyFill="1" applyBorder="1" applyAlignment="1" applyProtection="1">
      <alignment horizontal="center" vertical="center" wrapText="1"/>
      <protection hidden="1"/>
    </xf>
    <xf numFmtId="0" fontId="7" fillId="27" borderId="15" xfId="0" applyFont="1" applyFill="1" applyBorder="1" applyAlignment="1" applyProtection="1">
      <alignment horizontal="center" vertical="center" wrapText="1"/>
      <protection hidden="1"/>
    </xf>
    <xf numFmtId="0" fontId="37" fillId="0" borderId="0" xfId="0" applyFont="1" applyAlignment="1" applyProtection="1">
      <alignment horizontal="left" vertical="center" wrapText="1"/>
      <protection hidden="1"/>
    </xf>
    <xf numFmtId="0" fontId="37" fillId="29" borderId="0" xfId="0" applyFont="1" applyFill="1" applyAlignment="1" applyProtection="1">
      <alignment horizontal="left" vertical="center" wrapText="1"/>
      <protection hidden="1"/>
    </xf>
    <xf numFmtId="0" fontId="7" fillId="0" borderId="177" xfId="0" applyFont="1" applyBorder="1" applyAlignment="1">
      <alignment vertical="center" wrapText="1"/>
    </xf>
    <xf numFmtId="176" fontId="7" fillId="27" borderId="173" xfId="0" applyNumberFormat="1" applyFont="1" applyFill="1" applyBorder="1" applyAlignment="1" applyProtection="1">
      <alignment horizontal="center" vertical="center" wrapText="1"/>
      <protection hidden="1"/>
    </xf>
    <xf numFmtId="176" fontId="7" fillId="27" borderId="15" xfId="0" applyNumberFormat="1" applyFont="1" applyFill="1" applyBorder="1" applyAlignment="1" applyProtection="1">
      <alignment horizontal="center" vertical="center" wrapText="1"/>
      <protection hidden="1"/>
    </xf>
    <xf numFmtId="176" fontId="7" fillId="27" borderId="163" xfId="0" applyNumberFormat="1" applyFont="1" applyFill="1" applyBorder="1" applyAlignment="1" applyProtection="1">
      <alignment horizontal="center" vertical="center" wrapText="1"/>
      <protection hidden="1"/>
    </xf>
    <xf numFmtId="0" fontId="28" fillId="27" borderId="178" xfId="0" applyFont="1" applyFill="1" applyBorder="1" applyAlignment="1" applyProtection="1">
      <alignment horizontal="center" vertical="center" wrapText="1"/>
      <protection hidden="1"/>
    </xf>
    <xf numFmtId="0" fontId="28" fillId="27" borderId="17" xfId="0" applyFont="1" applyFill="1" applyBorder="1" applyAlignment="1" applyProtection="1">
      <alignment horizontal="center" vertical="center" wrapText="1"/>
      <protection hidden="1"/>
    </xf>
    <xf numFmtId="0" fontId="28" fillId="27" borderId="80" xfId="0" applyFont="1" applyFill="1" applyBorder="1" applyAlignment="1" applyProtection="1">
      <alignment horizontal="left" vertical="center" wrapText="1"/>
      <protection hidden="1"/>
    </xf>
    <xf numFmtId="0" fontId="28" fillId="27" borderId="50" xfId="0" applyFont="1" applyFill="1" applyBorder="1" applyAlignment="1" applyProtection="1">
      <alignment horizontal="left" vertical="center" wrapText="1"/>
      <protection hidden="1"/>
    </xf>
    <xf numFmtId="0" fontId="28" fillId="27" borderId="27" xfId="0" applyFont="1" applyFill="1" applyBorder="1" applyAlignment="1" applyProtection="1">
      <alignment horizontal="left" vertical="center" wrapText="1"/>
      <protection hidden="1"/>
    </xf>
    <xf numFmtId="193" fontId="26" fillId="31" borderId="51" xfId="0" applyNumberFormat="1" applyFont="1" applyFill="1" applyBorder="1" applyAlignment="1">
      <alignment horizontal="center" vertical="center"/>
    </xf>
    <xf numFmtId="193" fontId="26" fillId="31" borderId="55" xfId="0" applyNumberFormat="1" applyFont="1" applyFill="1" applyBorder="1" applyAlignment="1">
      <alignment horizontal="center" vertical="center"/>
    </xf>
    <xf numFmtId="0" fontId="28" fillId="27" borderId="10" xfId="0" applyFont="1" applyFill="1" applyBorder="1" applyAlignment="1">
      <alignment horizontal="center" vertical="center" wrapText="1"/>
    </xf>
    <xf numFmtId="0" fontId="160" fillId="0" borderId="13" xfId="0" applyFont="1" applyBorder="1" applyAlignment="1">
      <alignment vertical="center" wrapText="1"/>
    </xf>
    <xf numFmtId="0" fontId="160" fillId="0" borderId="14" xfId="0" applyFont="1" applyBorder="1" applyAlignment="1">
      <alignment vertical="center" wrapText="1"/>
    </xf>
    <xf numFmtId="0" fontId="28" fillId="27" borderId="52" xfId="0" quotePrefix="1" applyFont="1" applyFill="1" applyBorder="1" applyAlignment="1" applyProtection="1">
      <alignment horizontal="left" vertical="center" wrapText="1"/>
      <protection hidden="1"/>
    </xf>
    <xf numFmtId="0" fontId="28" fillId="27" borderId="54" xfId="0" quotePrefix="1" applyFont="1" applyFill="1" applyBorder="1" applyAlignment="1" applyProtection="1">
      <alignment horizontal="left" vertical="center" wrapText="1"/>
      <protection hidden="1"/>
    </xf>
    <xf numFmtId="0" fontId="28" fillId="27" borderId="64" xfId="0" quotePrefix="1" applyFont="1" applyFill="1" applyBorder="1" applyAlignment="1" applyProtection="1">
      <alignment horizontal="left" vertical="center" wrapText="1"/>
      <protection hidden="1"/>
    </xf>
    <xf numFmtId="0" fontId="28" fillId="27" borderId="17" xfId="0" quotePrefix="1" applyFont="1" applyFill="1" applyBorder="1" applyAlignment="1" applyProtection="1">
      <alignment horizontal="left" vertical="center" wrapText="1"/>
      <protection hidden="1"/>
    </xf>
    <xf numFmtId="0" fontId="28" fillId="27" borderId="56" xfId="0" quotePrefix="1" applyFont="1" applyFill="1" applyBorder="1" applyAlignment="1" applyProtection="1">
      <alignment horizontal="left" vertical="center" wrapText="1"/>
      <protection hidden="1"/>
    </xf>
    <xf numFmtId="0" fontId="28" fillId="27" borderId="58" xfId="0" quotePrefix="1" applyFont="1" applyFill="1" applyBorder="1" applyAlignment="1" applyProtection="1">
      <alignment horizontal="left" vertical="center" wrapText="1"/>
      <protection hidden="1"/>
    </xf>
    <xf numFmtId="0" fontId="28" fillId="27" borderId="52" xfId="0" quotePrefix="1" applyFont="1" applyFill="1" applyBorder="1" applyAlignment="1">
      <alignment horizontal="left" vertical="center" wrapText="1"/>
    </xf>
    <xf numFmtId="0" fontId="28" fillId="27" borderId="54" xfId="0" quotePrefix="1" applyFont="1" applyFill="1" applyBorder="1" applyAlignment="1">
      <alignment horizontal="left" vertical="center" wrapText="1"/>
    </xf>
    <xf numFmtId="0" fontId="28" fillId="27" borderId="64" xfId="0" quotePrefix="1" applyFont="1" applyFill="1" applyBorder="1" applyAlignment="1">
      <alignment horizontal="left" vertical="center" wrapText="1"/>
    </xf>
    <xf numFmtId="0" fontId="28" fillId="27" borderId="17" xfId="0" quotePrefix="1" applyFont="1" applyFill="1" applyBorder="1" applyAlignment="1">
      <alignment horizontal="left" vertical="center" wrapText="1"/>
    </xf>
    <xf numFmtId="0" fontId="28" fillId="27" borderId="56" xfId="0" quotePrefix="1" applyFont="1" applyFill="1" applyBorder="1" applyAlignment="1">
      <alignment horizontal="left" vertical="center" wrapText="1"/>
    </xf>
    <xf numFmtId="0" fontId="28" fillId="27" borderId="58" xfId="0" quotePrefix="1" applyFont="1" applyFill="1" applyBorder="1" applyAlignment="1">
      <alignment horizontal="left" vertical="center" wrapText="1"/>
    </xf>
    <xf numFmtId="0" fontId="28" fillId="27" borderId="54" xfId="0" applyFont="1" applyFill="1" applyBorder="1" applyAlignment="1" applyProtection="1">
      <alignment horizontal="center" vertical="center"/>
      <protection hidden="1"/>
    </xf>
    <xf numFmtId="0" fontId="28" fillId="27" borderId="17" xfId="0" applyFont="1" applyFill="1" applyBorder="1" applyAlignment="1" applyProtection="1">
      <alignment horizontal="center" vertical="center"/>
      <protection hidden="1"/>
    </xf>
    <xf numFmtId="0" fontId="28" fillId="27" borderId="58" xfId="0" applyFont="1" applyFill="1" applyBorder="1" applyAlignment="1" applyProtection="1">
      <alignment horizontal="center" vertical="center"/>
      <protection hidden="1"/>
    </xf>
    <xf numFmtId="0" fontId="28" fillId="27" borderId="90" xfId="0" applyFont="1" applyFill="1" applyBorder="1" applyAlignment="1" applyProtection="1">
      <alignment horizontal="left" vertical="center" wrapText="1"/>
      <protection hidden="1"/>
    </xf>
    <xf numFmtId="0" fontId="28" fillId="27" borderId="63" xfId="0" applyFont="1" applyFill="1" applyBorder="1" applyAlignment="1" applyProtection="1">
      <alignment horizontal="left" vertical="center" wrapText="1"/>
      <protection hidden="1"/>
    </xf>
    <xf numFmtId="0" fontId="28" fillId="27" borderId="57" xfId="0" applyFont="1" applyFill="1" applyBorder="1" applyAlignment="1" applyProtection="1">
      <alignment horizontal="left" vertical="center" wrapText="1"/>
      <protection hidden="1"/>
    </xf>
    <xf numFmtId="0" fontId="28" fillId="27" borderId="79" xfId="0" applyFont="1" applyFill="1" applyBorder="1" applyAlignment="1" applyProtection="1">
      <alignment horizontal="left" vertical="center" wrapText="1"/>
      <protection hidden="1"/>
    </xf>
    <xf numFmtId="193" fontId="26" fillId="31" borderId="52" xfId="0" applyNumberFormat="1" applyFont="1" applyFill="1" applyBorder="1" applyAlignment="1">
      <alignment horizontal="center" vertical="center"/>
    </xf>
    <xf numFmtId="193" fontId="26" fillId="31" borderId="56" xfId="0" applyNumberFormat="1" applyFont="1" applyFill="1" applyBorder="1" applyAlignment="1">
      <alignment horizontal="center" vertical="center"/>
    </xf>
    <xf numFmtId="0" fontId="26" fillId="51" borderId="51" xfId="0" applyFont="1" applyFill="1" applyBorder="1" applyAlignment="1" applyProtection="1">
      <alignment horizontal="center" vertical="center"/>
      <protection hidden="1"/>
    </xf>
    <xf numFmtId="0" fontId="26" fillId="51" borderId="15" xfId="0" applyFont="1" applyFill="1" applyBorder="1" applyAlignment="1" applyProtection="1">
      <alignment horizontal="center" vertical="center"/>
      <protection hidden="1"/>
    </xf>
    <xf numFmtId="0" fontId="26" fillId="51" borderId="55" xfId="0" applyFont="1" applyFill="1" applyBorder="1" applyAlignment="1" applyProtection="1">
      <alignment horizontal="center" vertical="center"/>
      <protection hidden="1"/>
    </xf>
    <xf numFmtId="0" fontId="28" fillId="27" borderId="26" xfId="0" applyFont="1" applyFill="1" applyBorder="1" applyAlignment="1" applyProtection="1">
      <alignment horizontal="left" vertical="center" wrapText="1"/>
      <protection hidden="1"/>
    </xf>
    <xf numFmtId="0" fontId="28" fillId="27" borderId="82" xfId="0" applyFont="1" applyFill="1" applyBorder="1" applyAlignment="1" applyProtection="1">
      <alignment horizontal="left" vertical="center" wrapText="1"/>
      <protection hidden="1"/>
    </xf>
    <xf numFmtId="0" fontId="160" fillId="38" borderId="14" xfId="0" applyFont="1" applyFill="1" applyBorder="1" applyAlignment="1">
      <alignment horizontal="left" vertical="center" wrapText="1"/>
    </xf>
    <xf numFmtId="0" fontId="28" fillId="31" borderId="26" xfId="0" applyFont="1" applyFill="1" applyBorder="1" applyAlignment="1" applyProtection="1">
      <alignment horizontal="left" vertical="center" wrapText="1"/>
      <protection hidden="1"/>
    </xf>
    <xf numFmtId="0" fontId="160" fillId="0" borderId="27" xfId="0" applyFont="1" applyBorder="1" applyAlignment="1">
      <alignment horizontal="left" vertical="center" wrapText="1"/>
    </xf>
    <xf numFmtId="0" fontId="160" fillId="0" borderId="161" xfId="0" applyFont="1" applyBorder="1" applyAlignment="1">
      <alignment horizontal="left" vertical="center" wrapText="1"/>
    </xf>
    <xf numFmtId="0" fontId="160" fillId="0" borderId="162" xfId="0" applyFont="1" applyBorder="1" applyAlignment="1">
      <alignment horizontal="left" vertical="center" wrapText="1"/>
    </xf>
    <xf numFmtId="0" fontId="160" fillId="0" borderId="13" xfId="0" applyFont="1" applyBorder="1" applyAlignment="1">
      <alignment horizontal="left" vertical="center" wrapText="1"/>
    </xf>
    <xf numFmtId="0" fontId="160" fillId="0" borderId="14" xfId="0" applyFont="1" applyBorder="1" applyAlignment="1">
      <alignment horizontal="left" vertical="center" wrapText="1"/>
    </xf>
    <xf numFmtId="0" fontId="160" fillId="0" borderId="167" xfId="0" applyFont="1" applyBorder="1" applyAlignment="1">
      <alignment horizontal="left" vertical="center" wrapText="1"/>
    </xf>
    <xf numFmtId="0" fontId="160" fillId="0" borderId="166" xfId="0" applyFont="1" applyBorder="1" applyAlignment="1">
      <alignment horizontal="left" vertical="center" wrapText="1"/>
    </xf>
    <xf numFmtId="0" fontId="160" fillId="0" borderId="54" xfId="0" applyFont="1" applyBorder="1" applyAlignment="1">
      <alignment horizontal="left" vertical="center" wrapText="1"/>
    </xf>
    <xf numFmtId="0" fontId="160" fillId="0" borderId="64" xfId="0" applyFont="1" applyBorder="1" applyAlignment="1">
      <alignment horizontal="left" vertical="center" wrapText="1"/>
    </xf>
    <xf numFmtId="0" fontId="160" fillId="0" borderId="17" xfId="0" applyFont="1" applyBorder="1" applyAlignment="1">
      <alignment horizontal="left" vertical="center" wrapText="1"/>
    </xf>
    <xf numFmtId="0" fontId="160" fillId="0" borderId="56" xfId="0" applyFont="1" applyBorder="1" applyAlignment="1">
      <alignment horizontal="left" vertical="center" wrapText="1"/>
    </xf>
    <xf numFmtId="0" fontId="160" fillId="0" borderId="58" xfId="0" applyFont="1" applyBorder="1" applyAlignment="1">
      <alignment horizontal="left" vertical="center" wrapText="1"/>
    </xf>
    <xf numFmtId="0" fontId="28" fillId="27" borderId="26" xfId="0" applyFont="1" applyFill="1" applyBorder="1" applyAlignment="1">
      <alignment horizontal="center" vertical="center" wrapText="1"/>
    </xf>
    <xf numFmtId="0" fontId="28" fillId="27" borderId="27" xfId="0" applyFont="1" applyFill="1" applyBorder="1" applyAlignment="1">
      <alignment horizontal="center" vertical="center" wrapText="1"/>
    </xf>
    <xf numFmtId="0" fontId="28" fillId="27" borderId="51" xfId="0" applyFont="1" applyFill="1" applyBorder="1" applyAlignment="1">
      <alignment horizontal="center" vertical="center" wrapText="1"/>
    </xf>
    <xf numFmtId="0" fontId="28" fillId="27" borderId="15" xfId="0" applyFont="1" applyFill="1" applyBorder="1" applyAlignment="1">
      <alignment horizontal="center" vertical="center" wrapText="1"/>
    </xf>
    <xf numFmtId="0" fontId="160" fillId="0" borderId="55" xfId="0" applyFont="1" applyBorder="1" applyAlignment="1">
      <alignment horizontal="center" vertical="center" wrapText="1"/>
    </xf>
    <xf numFmtId="0" fontId="160" fillId="0" borderId="10" xfId="0" applyFont="1" applyBorder="1" applyAlignment="1">
      <alignment horizontal="center" vertical="center" wrapText="1"/>
    </xf>
    <xf numFmtId="0" fontId="28" fillId="27" borderId="171" xfId="0" applyFont="1" applyFill="1" applyBorder="1" applyAlignment="1">
      <alignment horizontal="left" vertical="center" wrapText="1"/>
    </xf>
    <xf numFmtId="0" fontId="28" fillId="27" borderId="87" xfId="0" applyFont="1" applyFill="1" applyBorder="1" applyAlignment="1">
      <alignment horizontal="left" vertical="center" wrapText="1"/>
    </xf>
    <xf numFmtId="0" fontId="28" fillId="27" borderId="187" xfId="0" applyFont="1" applyFill="1" applyBorder="1" applyAlignment="1">
      <alignment horizontal="left" vertical="center" wrapText="1"/>
    </xf>
    <xf numFmtId="0" fontId="28" fillId="51" borderId="180" xfId="0" applyFont="1" applyFill="1" applyBorder="1" applyAlignment="1">
      <alignment horizontal="left" vertical="center" wrapText="1"/>
    </xf>
    <xf numFmtId="0" fontId="28" fillId="51" borderId="162" xfId="0" applyFont="1" applyFill="1" applyBorder="1" applyAlignment="1">
      <alignment horizontal="left" vertical="center" wrapText="1"/>
    </xf>
    <xf numFmtId="0" fontId="28" fillId="27" borderId="13" xfId="0" applyFont="1" applyFill="1" applyBorder="1" applyAlignment="1">
      <alignment horizontal="left" vertical="center" wrapText="1"/>
    </xf>
    <xf numFmtId="0" fontId="28" fillId="27" borderId="14" xfId="0" applyFont="1" applyFill="1" applyBorder="1" applyAlignment="1">
      <alignment horizontal="left" vertical="center" wrapText="1"/>
    </xf>
    <xf numFmtId="0" fontId="28" fillId="27" borderId="12" xfId="0" applyFont="1" applyFill="1" applyBorder="1" applyAlignment="1" applyProtection="1">
      <alignment horizontal="left" vertical="top" wrapText="1"/>
      <protection hidden="1"/>
    </xf>
    <xf numFmtId="0" fontId="28" fillId="27" borderId="13" xfId="0" applyFont="1" applyFill="1" applyBorder="1" applyAlignment="1" applyProtection="1">
      <alignment horizontal="left" vertical="top" wrapText="1"/>
      <protection hidden="1"/>
    </xf>
    <xf numFmtId="0" fontId="28" fillId="27" borderId="14" xfId="0" applyFont="1" applyFill="1" applyBorder="1" applyAlignment="1" applyProtection="1">
      <alignment horizontal="left" vertical="top" wrapText="1"/>
      <protection hidden="1"/>
    </xf>
    <xf numFmtId="0" fontId="28" fillId="27" borderId="56" xfId="0" applyFont="1" applyFill="1" applyBorder="1" applyAlignment="1" applyProtection="1">
      <alignment horizontal="left" vertical="top" wrapText="1"/>
      <protection hidden="1"/>
    </xf>
    <xf numFmtId="0" fontId="0" fillId="0" borderId="57" xfId="0" applyBorder="1" applyAlignment="1">
      <alignment horizontal="left" vertical="top" wrapText="1"/>
    </xf>
    <xf numFmtId="0" fontId="0" fillId="0" borderId="58" xfId="0" applyBorder="1" applyAlignment="1">
      <alignment horizontal="left" vertical="top" wrapText="1"/>
    </xf>
    <xf numFmtId="0" fontId="28" fillId="27" borderId="51" xfId="0" quotePrefix="1" applyFont="1" applyFill="1" applyBorder="1" applyAlignment="1" applyProtection="1">
      <alignment horizontal="left" vertical="center" wrapText="1"/>
      <protection hidden="1"/>
    </xf>
    <xf numFmtId="0" fontId="28" fillId="27" borderId="15" xfId="0" quotePrefix="1" applyFont="1" applyFill="1" applyBorder="1" applyAlignment="1" applyProtection="1">
      <alignment horizontal="left" vertical="center" wrapText="1"/>
      <protection hidden="1"/>
    </xf>
    <xf numFmtId="0" fontId="28" fillId="31" borderId="26" xfId="0" applyFont="1" applyFill="1" applyBorder="1" applyAlignment="1" applyProtection="1">
      <alignment horizontal="center" vertical="center" wrapText="1"/>
      <protection hidden="1"/>
    </xf>
    <xf numFmtId="0" fontId="28" fillId="31" borderId="50" xfId="0" applyFont="1" applyFill="1" applyBorder="1" applyAlignment="1" applyProtection="1">
      <alignment horizontal="center" vertical="center" wrapText="1"/>
      <protection hidden="1"/>
    </xf>
    <xf numFmtId="0" fontId="28" fillId="27" borderId="0" xfId="0" applyFont="1" applyFill="1" applyAlignment="1">
      <alignment horizontal="left" vertical="top" wrapText="1"/>
    </xf>
    <xf numFmtId="0" fontId="37" fillId="27" borderId="0" xfId="0" applyFont="1" applyFill="1" applyAlignment="1">
      <alignment horizontal="left" vertical="top" wrapText="1"/>
    </xf>
    <xf numFmtId="193" fontId="122" fillId="39" borderId="68" xfId="0" applyNumberFormat="1" applyFont="1" applyFill="1" applyBorder="1" applyAlignment="1" applyProtection="1">
      <alignment horizontal="center" vertical="center"/>
      <protection locked="0"/>
    </xf>
    <xf numFmtId="193" fontId="122" fillId="39" borderId="69" xfId="0" applyNumberFormat="1" applyFont="1" applyFill="1" applyBorder="1" applyAlignment="1" applyProtection="1">
      <alignment horizontal="center" vertical="center"/>
      <protection locked="0"/>
    </xf>
    <xf numFmtId="193" fontId="122" fillId="39" borderId="71" xfId="0" applyNumberFormat="1" applyFont="1" applyFill="1" applyBorder="1" applyAlignment="1" applyProtection="1">
      <alignment horizontal="center" vertical="center"/>
      <protection locked="0"/>
    </xf>
    <xf numFmtId="0" fontId="33" fillId="27" borderId="0" xfId="0" applyFont="1" applyFill="1" applyAlignment="1">
      <alignment horizontal="left" vertical="center" wrapText="1"/>
    </xf>
    <xf numFmtId="0" fontId="26" fillId="27" borderId="184" xfId="0" applyFont="1" applyFill="1" applyBorder="1" applyAlignment="1" applyProtection="1">
      <alignment horizontal="center" vertical="center"/>
      <protection locked="0" hidden="1"/>
    </xf>
    <xf numFmtId="0" fontId="26" fillId="27" borderId="115" xfId="0" applyFont="1" applyFill="1" applyBorder="1" applyAlignment="1" applyProtection="1">
      <alignment horizontal="center" vertical="center"/>
      <protection locked="0" hidden="1"/>
    </xf>
    <xf numFmtId="0" fontId="28" fillId="27" borderId="77" xfId="0" applyFont="1" applyFill="1" applyBorder="1" applyAlignment="1" applyProtection="1">
      <alignment vertical="center" wrapText="1"/>
      <protection locked="0"/>
    </xf>
    <xf numFmtId="0" fontId="28" fillId="27" borderId="57" xfId="0" applyFont="1" applyFill="1" applyBorder="1" applyAlignment="1" applyProtection="1">
      <alignment vertical="center" wrapText="1"/>
      <protection locked="0"/>
    </xf>
    <xf numFmtId="0" fontId="28" fillId="27" borderId="58" xfId="0" applyFont="1" applyFill="1" applyBorder="1" applyAlignment="1" applyProtection="1">
      <alignment vertical="center" wrapText="1"/>
      <protection locked="0"/>
    </xf>
    <xf numFmtId="0" fontId="28" fillId="27" borderId="77" xfId="0" applyFont="1" applyFill="1"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28" fillId="27" borderId="160" xfId="0" applyFont="1" applyFill="1" applyBorder="1" applyAlignment="1" applyProtection="1">
      <alignment vertical="center" wrapText="1"/>
      <protection hidden="1"/>
    </xf>
    <xf numFmtId="0" fontId="0" fillId="0" borderId="161" xfId="0" applyBorder="1" applyAlignment="1">
      <alignment vertical="center" wrapText="1"/>
    </xf>
    <xf numFmtId="0" fontId="0" fillId="0" borderId="162"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0" fillId="0" borderId="167" xfId="0" applyBorder="1" applyAlignment="1">
      <alignment vertical="center" wrapText="1"/>
    </xf>
    <xf numFmtId="0" fontId="0" fillId="0" borderId="166" xfId="0" applyBorder="1" applyAlignment="1">
      <alignment vertical="center" wrapText="1"/>
    </xf>
    <xf numFmtId="0" fontId="28" fillId="27" borderId="181" xfId="0" applyFont="1" applyFill="1" applyBorder="1" applyAlignment="1" applyProtection="1">
      <alignment vertical="center" wrapText="1"/>
      <protection hidden="1"/>
    </xf>
    <xf numFmtId="0" fontId="160" fillId="48" borderId="14" xfId="0" applyFont="1" applyFill="1" applyBorder="1" applyAlignment="1">
      <alignment horizontal="left" vertical="center" wrapText="1"/>
    </xf>
    <xf numFmtId="0" fontId="160" fillId="48" borderId="166" xfId="0" applyFont="1" applyFill="1" applyBorder="1" applyAlignment="1">
      <alignment horizontal="left" vertical="center" wrapText="1"/>
    </xf>
    <xf numFmtId="0" fontId="28" fillId="27" borderId="89" xfId="0" applyFont="1" applyFill="1" applyBorder="1" applyAlignment="1" applyProtection="1">
      <alignment horizontal="left" vertical="center" wrapText="1"/>
      <protection hidden="1"/>
    </xf>
    <xf numFmtId="0" fontId="28" fillId="27" borderId="177" xfId="0" applyFont="1" applyFill="1" applyBorder="1" applyAlignment="1" applyProtection="1">
      <alignment horizontal="left" vertical="center"/>
      <protection hidden="1"/>
    </xf>
    <xf numFmtId="0" fontId="28" fillId="27" borderId="178" xfId="0" applyFont="1" applyFill="1" applyBorder="1" applyAlignment="1" applyProtection="1">
      <alignment horizontal="left" vertical="center"/>
      <protection hidden="1"/>
    </xf>
    <xf numFmtId="0" fontId="160" fillId="38" borderId="167" xfId="0" applyFont="1" applyFill="1" applyBorder="1" applyAlignment="1">
      <alignment horizontal="left" vertical="center" wrapText="1"/>
    </xf>
    <xf numFmtId="0" fontId="160" fillId="38" borderId="166" xfId="0" applyFont="1" applyFill="1" applyBorder="1" applyAlignment="1">
      <alignment horizontal="left" vertical="center" wrapText="1"/>
    </xf>
    <xf numFmtId="0" fontId="160" fillId="38" borderId="161" xfId="0" applyFont="1" applyFill="1" applyBorder="1" applyAlignment="1">
      <alignment horizontal="left" vertical="center" wrapText="1"/>
    </xf>
    <xf numFmtId="0" fontId="160" fillId="38" borderId="162" xfId="0" applyFont="1" applyFill="1" applyBorder="1" applyAlignment="1">
      <alignment horizontal="left" vertical="center" wrapText="1"/>
    </xf>
    <xf numFmtId="0" fontId="160" fillId="38" borderId="13" xfId="0" applyFont="1" applyFill="1" applyBorder="1" applyAlignment="1">
      <alignment horizontal="left" vertical="center" wrapText="1"/>
    </xf>
    <xf numFmtId="176" fontId="28" fillId="27" borderId="12" xfId="0" applyNumberFormat="1" applyFont="1" applyFill="1" applyBorder="1" applyAlignment="1" applyProtection="1">
      <alignment horizontal="left" vertical="center" wrapText="1"/>
      <protection hidden="1"/>
    </xf>
    <xf numFmtId="176" fontId="28" fillId="27" borderId="13" xfId="0" applyNumberFormat="1" applyFont="1" applyFill="1" applyBorder="1" applyAlignment="1" applyProtection="1">
      <alignment horizontal="left" vertical="center" wrapText="1"/>
      <protection hidden="1"/>
    </xf>
    <xf numFmtId="176" fontId="28" fillId="27" borderId="14" xfId="0" applyNumberFormat="1" applyFont="1" applyFill="1" applyBorder="1" applyAlignment="1" applyProtection="1">
      <alignment horizontal="left" vertical="center" wrapText="1"/>
      <protection hidden="1"/>
    </xf>
    <xf numFmtId="0" fontId="28" fillId="27" borderId="64" xfId="0" applyFont="1" applyFill="1" applyBorder="1" applyAlignment="1">
      <alignment horizontal="left" vertical="center" wrapText="1"/>
    </xf>
    <xf numFmtId="0" fontId="28" fillId="27" borderId="0" xfId="0" applyFont="1" applyFill="1" applyAlignment="1">
      <alignment horizontal="left" vertical="center" wrapText="1"/>
    </xf>
    <xf numFmtId="0" fontId="28" fillId="27" borderId="53" xfId="0" applyFont="1" applyFill="1" applyBorder="1" applyAlignment="1">
      <alignment horizontal="left" vertical="center" wrapText="1"/>
    </xf>
    <xf numFmtId="0" fontId="28" fillId="27" borderId="54" xfId="0" applyFont="1" applyFill="1" applyBorder="1" applyAlignment="1">
      <alignment horizontal="left" vertical="center" wrapText="1"/>
    </xf>
    <xf numFmtId="0" fontId="28" fillId="27" borderId="17" xfId="0" applyFont="1" applyFill="1" applyBorder="1" applyAlignment="1">
      <alignment horizontal="left" vertical="center" wrapText="1"/>
    </xf>
    <xf numFmtId="0" fontId="28" fillId="0" borderId="161" xfId="0" applyFont="1" applyBorder="1" applyAlignment="1">
      <alignment horizontal="left" vertical="center" wrapText="1"/>
    </xf>
    <xf numFmtId="0" fontId="28" fillId="0" borderId="162" xfId="0" applyFont="1" applyBorder="1" applyAlignment="1">
      <alignment horizontal="left" vertical="center" wrapText="1"/>
    </xf>
    <xf numFmtId="0" fontId="28" fillId="27" borderId="193" xfId="0" applyFont="1" applyFill="1" applyBorder="1" applyAlignment="1">
      <alignment horizontal="left" vertical="center" wrapText="1"/>
    </xf>
    <xf numFmtId="0" fontId="28" fillId="27" borderId="177" xfId="0" applyFont="1" applyFill="1" applyBorder="1" applyAlignment="1">
      <alignment horizontal="left" vertical="center" wrapText="1"/>
    </xf>
    <xf numFmtId="0" fontId="28" fillId="27" borderId="178" xfId="0" applyFont="1" applyFill="1" applyBorder="1" applyAlignment="1">
      <alignment horizontal="left" vertical="center" wrapText="1"/>
    </xf>
    <xf numFmtId="0" fontId="28" fillId="27" borderId="62" xfId="0" applyFont="1" applyFill="1" applyBorder="1" applyAlignment="1">
      <alignment horizontal="left" vertical="center" wrapText="1"/>
    </xf>
    <xf numFmtId="0" fontId="28" fillId="27" borderId="160" xfId="0" applyFont="1" applyFill="1" applyBorder="1" applyAlignment="1" applyProtection="1">
      <alignment horizontal="center" vertical="center" shrinkToFit="1"/>
      <protection hidden="1"/>
    </xf>
    <xf numFmtId="0" fontId="28" fillId="27" borderId="161" xfId="0" applyFont="1" applyFill="1" applyBorder="1" applyAlignment="1" applyProtection="1">
      <alignment horizontal="center" vertical="center" shrinkToFit="1"/>
      <protection hidden="1"/>
    </xf>
    <xf numFmtId="0" fontId="28" fillId="27" borderId="162" xfId="0" applyFont="1" applyFill="1" applyBorder="1" applyAlignment="1" applyProtection="1">
      <alignment horizontal="center" vertical="center" shrinkToFit="1"/>
      <protection hidden="1"/>
    </xf>
    <xf numFmtId="0" fontId="28" fillId="27" borderId="52" xfId="0" applyFont="1" applyFill="1" applyBorder="1" applyAlignment="1" applyProtection="1">
      <alignment horizontal="center" vertical="center" wrapText="1"/>
      <protection hidden="1"/>
    </xf>
    <xf numFmtId="0" fontId="28" fillId="27" borderId="54" xfId="0" applyFont="1" applyFill="1" applyBorder="1" applyAlignment="1" applyProtection="1">
      <alignment horizontal="center" vertical="center" wrapText="1"/>
      <protection hidden="1"/>
    </xf>
    <xf numFmtId="0" fontId="28" fillId="27" borderId="64" xfId="0" applyFont="1" applyFill="1" applyBorder="1" applyAlignment="1" applyProtection="1">
      <alignment horizontal="center" vertical="center" wrapText="1"/>
      <protection hidden="1"/>
    </xf>
    <xf numFmtId="0" fontId="28" fillId="27" borderId="56" xfId="0" applyFont="1" applyFill="1" applyBorder="1" applyAlignment="1" applyProtection="1">
      <alignment horizontal="center" vertical="center" wrapText="1"/>
      <protection hidden="1"/>
    </xf>
    <xf numFmtId="0" fontId="28" fillId="27" borderId="58" xfId="0" applyFont="1" applyFill="1" applyBorder="1" applyAlignment="1" applyProtection="1">
      <alignment horizontal="center" vertical="center" wrapText="1"/>
      <protection hidden="1"/>
    </xf>
    <xf numFmtId="0" fontId="160" fillId="0" borderId="87" xfId="0" applyFont="1" applyBorder="1" applyAlignment="1">
      <alignment horizontal="left" vertical="center" wrapText="1"/>
    </xf>
    <xf numFmtId="0" fontId="28" fillId="27" borderId="77" xfId="0" applyFont="1" applyFill="1" applyBorder="1" applyAlignment="1">
      <alignment horizontal="left" vertical="center" wrapText="1"/>
    </xf>
    <xf numFmtId="0" fontId="28" fillId="27" borderId="57" xfId="0" applyFont="1" applyFill="1" applyBorder="1" applyAlignment="1">
      <alignment horizontal="left" vertical="center" wrapText="1"/>
    </xf>
    <xf numFmtId="0" fontId="28" fillId="27" borderId="58" xfId="0" applyFont="1" applyFill="1" applyBorder="1" applyAlignment="1">
      <alignment horizontal="left" vertical="center" wrapText="1"/>
    </xf>
    <xf numFmtId="0" fontId="160" fillId="27" borderId="16" xfId="0" applyFont="1" applyFill="1" applyBorder="1" applyAlignment="1">
      <alignment horizontal="center" vertical="center" wrapText="1"/>
    </xf>
    <xf numFmtId="0" fontId="160" fillId="27" borderId="11" xfId="0" applyFont="1" applyFill="1" applyBorder="1" applyAlignment="1">
      <alignment horizontal="center" vertical="center" wrapText="1"/>
    </xf>
    <xf numFmtId="0" fontId="28" fillId="27" borderId="62" xfId="0" applyFont="1" applyFill="1" applyBorder="1" applyAlignment="1">
      <alignment horizontal="left" vertical="center" wrapText="1" indent="1"/>
    </xf>
    <xf numFmtId="0" fontId="160" fillId="0" borderId="0" xfId="0" applyFont="1" applyAlignment="1">
      <alignment horizontal="left" vertical="center" wrapText="1" indent="1"/>
    </xf>
    <xf numFmtId="0" fontId="28" fillId="27" borderId="86" xfId="0" applyFont="1" applyFill="1" applyBorder="1" applyAlignment="1">
      <alignment horizontal="left" vertical="center" wrapText="1" indent="1"/>
    </xf>
    <xf numFmtId="0" fontId="160" fillId="0" borderId="87" xfId="0" applyFont="1" applyBorder="1" applyAlignment="1">
      <alignment horizontal="left" vertical="center" wrapText="1" indent="1"/>
    </xf>
    <xf numFmtId="0" fontId="24" fillId="51" borderId="92" xfId="0" applyFont="1" applyFill="1" applyBorder="1" applyAlignment="1" applyProtection="1">
      <alignment horizontal="center" vertical="center"/>
      <protection locked="0" hidden="1"/>
    </xf>
    <xf numFmtId="0" fontId="160" fillId="51" borderId="206" xfId="0" applyFont="1" applyFill="1" applyBorder="1" applyProtection="1">
      <alignment vertical="center"/>
      <protection locked="0"/>
    </xf>
    <xf numFmtId="0" fontId="24" fillId="51" borderId="184" xfId="0" applyFont="1" applyFill="1" applyBorder="1" applyAlignment="1" applyProtection="1">
      <alignment horizontal="center" vertical="center"/>
      <protection locked="0" hidden="1"/>
    </xf>
    <xf numFmtId="0" fontId="160" fillId="51" borderId="100" xfId="0" applyFont="1" applyFill="1" applyBorder="1" applyProtection="1">
      <alignment vertical="center"/>
      <protection locked="0"/>
    </xf>
    <xf numFmtId="0" fontId="160" fillId="51" borderId="115" xfId="0" applyFont="1" applyFill="1" applyBorder="1" applyProtection="1">
      <alignment vertical="center"/>
      <protection locked="0"/>
    </xf>
    <xf numFmtId="0" fontId="160" fillId="0" borderId="177" xfId="0" applyFont="1" applyBorder="1">
      <alignment vertical="center"/>
    </xf>
    <xf numFmtId="0" fontId="160" fillId="0" borderId="178" xfId="0" applyFont="1" applyBorder="1">
      <alignment vertical="center"/>
    </xf>
    <xf numFmtId="0" fontId="160" fillId="0" borderId="62" xfId="0" applyFont="1" applyBorder="1">
      <alignment vertical="center"/>
    </xf>
    <xf numFmtId="0" fontId="160" fillId="0" borderId="0" xfId="0" applyFont="1">
      <alignment vertical="center"/>
    </xf>
    <xf numFmtId="0" fontId="160" fillId="0" borderId="17" xfId="0" applyFont="1" applyBorder="1">
      <alignment vertical="center"/>
    </xf>
    <xf numFmtId="0" fontId="160" fillId="0" borderId="77" xfId="0" applyFont="1" applyBorder="1">
      <alignment vertical="center"/>
    </xf>
    <xf numFmtId="0" fontId="160" fillId="0" borderId="57" xfId="0" applyFont="1" applyBorder="1">
      <alignment vertical="center"/>
    </xf>
    <xf numFmtId="0" fontId="160" fillId="0" borderId="58" xfId="0" applyFont="1" applyBorder="1">
      <alignment vertical="center"/>
    </xf>
    <xf numFmtId="0" fontId="160" fillId="0" borderId="177" xfId="0" applyFont="1" applyBorder="1" applyAlignment="1">
      <alignment horizontal="left" vertical="center" wrapText="1"/>
    </xf>
    <xf numFmtId="0" fontId="37" fillId="0" borderId="0" xfId="0" applyFont="1" applyAlignment="1">
      <alignment horizontal="left" vertical="top" wrapText="1"/>
    </xf>
    <xf numFmtId="0" fontId="28" fillId="0" borderId="53" xfId="0" applyFont="1" applyBorder="1" applyAlignment="1">
      <alignment horizontal="left" vertical="center" wrapText="1"/>
    </xf>
    <xf numFmtId="0" fontId="28" fillId="0" borderId="54" xfId="0" applyFont="1" applyBorder="1" applyAlignment="1">
      <alignment horizontal="left" vertical="center" wrapText="1"/>
    </xf>
    <xf numFmtId="0" fontId="160" fillId="0" borderId="87" xfId="0" applyFont="1" applyBorder="1">
      <alignment vertical="center"/>
    </xf>
    <xf numFmtId="0" fontId="160" fillId="0" borderId="187" xfId="0" applyFont="1" applyBorder="1">
      <alignment vertical="center"/>
    </xf>
    <xf numFmtId="0" fontId="28" fillId="27" borderId="10" xfId="0" applyFont="1" applyFill="1" applyBorder="1" applyAlignment="1" applyProtection="1">
      <alignment horizontal="center" vertical="center" wrapText="1"/>
      <protection hidden="1"/>
    </xf>
    <xf numFmtId="0" fontId="28" fillId="27" borderId="89" xfId="0" applyFont="1" applyFill="1" applyBorder="1" applyAlignment="1">
      <alignment horizontal="left" vertical="center" wrapText="1"/>
    </xf>
    <xf numFmtId="0" fontId="0" fillId="27" borderId="173" xfId="0" applyFill="1" applyBorder="1" applyAlignment="1">
      <alignment horizontal="center" vertical="center" wrapText="1"/>
    </xf>
    <xf numFmtId="0" fontId="0" fillId="27" borderId="55" xfId="0" applyFill="1" applyBorder="1" applyAlignment="1">
      <alignment horizontal="center" vertical="center" wrapText="1"/>
    </xf>
    <xf numFmtId="0" fontId="28" fillId="27" borderId="172" xfId="0" applyFont="1" applyFill="1" applyBorder="1" applyAlignment="1">
      <alignment vertical="center" wrapText="1"/>
    </xf>
    <xf numFmtId="0" fontId="160" fillId="0" borderId="177" xfId="0" applyFont="1" applyBorder="1" applyAlignment="1">
      <alignment vertical="center" wrapText="1"/>
    </xf>
    <xf numFmtId="0" fontId="160" fillId="0" borderId="178" xfId="0" applyFont="1" applyBorder="1" applyAlignment="1">
      <alignment vertical="center" wrapText="1"/>
    </xf>
    <xf numFmtId="0" fontId="7" fillId="0" borderId="161" xfId="0" applyFont="1" applyBorder="1" applyAlignment="1">
      <alignment horizontal="left" vertical="center" wrapText="1"/>
    </xf>
    <xf numFmtId="0" fontId="7" fillId="0" borderId="162" xfId="0" applyFont="1" applyBorder="1" applyAlignment="1">
      <alignment horizontal="left" vertical="center" wrapText="1"/>
    </xf>
    <xf numFmtId="0" fontId="28" fillId="27" borderId="26" xfId="0" applyFont="1" applyFill="1" applyBorder="1" applyAlignment="1">
      <alignment horizontal="center" vertical="center"/>
    </xf>
    <xf numFmtId="0" fontId="28" fillId="27" borderId="50" xfId="0" applyFont="1" applyFill="1" applyBorder="1" applyAlignment="1">
      <alignment horizontal="center" vertical="center"/>
    </xf>
    <xf numFmtId="0" fontId="28" fillId="27" borderId="27" xfId="0" applyFont="1" applyFill="1" applyBorder="1" applyAlignment="1">
      <alignment horizontal="center" vertical="center"/>
    </xf>
    <xf numFmtId="0" fontId="0" fillId="27" borderId="51" xfId="0" applyFill="1" applyBorder="1" applyAlignment="1">
      <alignment horizontal="center" vertical="center" wrapText="1"/>
    </xf>
    <xf numFmtId="0" fontId="0" fillId="0" borderId="163" xfId="0" applyBorder="1" applyAlignment="1">
      <alignment horizontal="center" vertical="center" wrapText="1"/>
    </xf>
    <xf numFmtId="0" fontId="28" fillId="27" borderId="160" xfId="0" applyFont="1" applyFill="1" applyBorder="1" applyAlignment="1">
      <alignment vertical="center" wrapText="1"/>
    </xf>
    <xf numFmtId="0" fontId="160" fillId="0" borderId="161" xfId="0" applyFont="1" applyBorder="1" applyAlignment="1">
      <alignment vertical="center" wrapText="1"/>
    </xf>
    <xf numFmtId="0" fontId="160" fillId="0" borderId="162" xfId="0" applyFont="1" applyBorder="1" applyAlignment="1">
      <alignment vertical="center" wrapText="1"/>
    </xf>
    <xf numFmtId="0" fontId="28" fillId="27" borderId="52" xfId="0" applyFont="1" applyFill="1" applyBorder="1" applyAlignment="1">
      <alignment vertical="center" wrapText="1"/>
    </xf>
    <xf numFmtId="0" fontId="160" fillId="0" borderId="54" xfId="0" applyFont="1" applyBorder="1" applyAlignment="1">
      <alignment vertical="center" wrapText="1"/>
    </xf>
    <xf numFmtId="0" fontId="160" fillId="0" borderId="171" xfId="0" applyFont="1" applyBorder="1" applyAlignment="1">
      <alignment vertical="center" wrapText="1"/>
    </xf>
    <xf numFmtId="0" fontId="160" fillId="0" borderId="187" xfId="0" applyFont="1" applyBorder="1" applyAlignment="1">
      <alignment vertical="center" wrapText="1"/>
    </xf>
    <xf numFmtId="0" fontId="160" fillId="0" borderId="64" xfId="0" applyFont="1" applyBorder="1" applyAlignment="1">
      <alignment vertical="center" wrapText="1"/>
    </xf>
    <xf numFmtId="0" fontId="160" fillId="0" borderId="17" xfId="0" applyFont="1" applyBorder="1" applyAlignment="1">
      <alignment vertical="center" wrapText="1"/>
    </xf>
    <xf numFmtId="0" fontId="28" fillId="27" borderId="183" xfId="0" applyFont="1" applyFill="1" applyBorder="1" applyAlignment="1">
      <alignment vertical="center" wrapText="1"/>
    </xf>
    <xf numFmtId="0" fontId="160" fillId="0" borderId="208" xfId="0" applyFont="1" applyBorder="1" applyAlignment="1">
      <alignment vertical="center" wrapText="1"/>
    </xf>
    <xf numFmtId="0" fontId="28" fillId="27" borderId="12" xfId="0" applyFont="1" applyFill="1" applyBorder="1" applyAlignment="1">
      <alignment vertical="center" wrapText="1"/>
    </xf>
    <xf numFmtId="0" fontId="160" fillId="58" borderId="100" xfId="0" applyFont="1" applyFill="1" applyBorder="1" applyAlignment="1" applyProtection="1">
      <alignment horizontal="center" vertical="center"/>
      <protection locked="0"/>
    </xf>
    <xf numFmtId="0" fontId="0" fillId="27" borderId="163" xfId="0" applyFill="1" applyBorder="1" applyAlignment="1">
      <alignment horizontal="center" vertical="center" wrapText="1"/>
    </xf>
    <xf numFmtId="0" fontId="28" fillId="27" borderId="207" xfId="0" applyFont="1" applyFill="1" applyBorder="1" applyAlignment="1">
      <alignment vertical="center" wrapText="1"/>
    </xf>
    <xf numFmtId="0" fontId="160" fillId="0" borderId="118" xfId="0" applyFont="1" applyBorder="1" applyAlignment="1">
      <alignment vertical="center" wrapText="1"/>
    </xf>
    <xf numFmtId="0" fontId="28" fillId="27" borderId="171" xfId="0" applyFont="1" applyFill="1" applyBorder="1" applyAlignment="1">
      <alignment horizontal="left" vertical="center" wrapText="1" indent="1"/>
    </xf>
    <xf numFmtId="0" fontId="160" fillId="0" borderId="187" xfId="0" applyFont="1" applyBorder="1" applyAlignment="1">
      <alignment horizontal="left" vertical="center" wrapText="1" indent="1"/>
    </xf>
    <xf numFmtId="0" fontId="160" fillId="0" borderId="120" xfId="0" applyFont="1" applyBorder="1" applyAlignment="1">
      <alignment vertical="center" wrapText="1"/>
    </xf>
    <xf numFmtId="0" fontId="160" fillId="0" borderId="56" xfId="0" applyFont="1" applyBorder="1" applyAlignment="1">
      <alignment vertical="center" wrapText="1"/>
    </xf>
    <xf numFmtId="0" fontId="160" fillId="0" borderId="58" xfId="0" applyFont="1" applyBorder="1" applyAlignment="1">
      <alignment vertical="center" wrapText="1"/>
    </xf>
    <xf numFmtId="0" fontId="0" fillId="0" borderId="15" xfId="0" applyBorder="1" applyAlignment="1">
      <alignment horizontal="center" vertical="center" wrapText="1"/>
    </xf>
    <xf numFmtId="0" fontId="0" fillId="27" borderId="15" xfId="0" applyFill="1" applyBorder="1" applyAlignment="1">
      <alignment horizontal="center" vertical="center" wrapText="1"/>
    </xf>
    <xf numFmtId="0" fontId="28" fillId="27" borderId="87" xfId="0" applyFont="1" applyFill="1" applyBorder="1" applyAlignment="1">
      <alignment horizontal="left" vertical="center" wrapText="1" indent="1"/>
    </xf>
    <xf numFmtId="0" fontId="28" fillId="0" borderId="0" xfId="0" applyFont="1" applyAlignment="1">
      <alignment horizontal="left" vertical="center"/>
    </xf>
    <xf numFmtId="0" fontId="28" fillId="0" borderId="0" xfId="0" applyFont="1" applyAlignment="1">
      <alignment horizontal="left" vertical="center" shrinkToFit="1"/>
    </xf>
    <xf numFmtId="0" fontId="0" fillId="0" borderId="0" xfId="0" applyAlignment="1">
      <alignment horizontal="left" vertical="center" shrinkToFit="1"/>
    </xf>
    <xf numFmtId="0" fontId="28" fillId="29" borderId="0" xfId="0" applyFont="1" applyFill="1" applyAlignment="1">
      <alignment horizontal="left" vertical="center"/>
    </xf>
    <xf numFmtId="0" fontId="33" fillId="41" borderId="51" xfId="0" applyFont="1" applyFill="1" applyBorder="1" applyAlignment="1" applyProtection="1">
      <alignment horizontal="center" vertical="center"/>
      <protection locked="0"/>
    </xf>
    <xf numFmtId="0" fontId="33" fillId="41" borderId="15" xfId="0" applyFont="1" applyFill="1" applyBorder="1" applyAlignment="1" applyProtection="1">
      <alignment horizontal="center" vertical="center"/>
      <protection locked="0"/>
    </xf>
    <xf numFmtId="0" fontId="33" fillId="41" borderId="55" xfId="0" applyFont="1" applyFill="1" applyBorder="1" applyAlignment="1" applyProtection="1">
      <alignment horizontal="center" vertical="center"/>
      <protection locked="0"/>
    </xf>
    <xf numFmtId="0" fontId="33" fillId="27" borderId="15" xfId="0" applyFont="1" applyFill="1" applyBorder="1" applyAlignment="1">
      <alignment horizontal="center" vertical="center" wrapText="1"/>
    </xf>
    <xf numFmtId="0" fontId="33" fillId="27" borderId="64" xfId="0" applyFont="1" applyFill="1" applyBorder="1" applyAlignment="1">
      <alignment horizontal="center" vertical="center" wrapText="1"/>
    </xf>
    <xf numFmtId="0" fontId="33" fillId="27" borderId="10" xfId="0" applyFont="1" applyFill="1" applyBorder="1" applyAlignment="1">
      <alignment horizontal="center" vertical="center"/>
    </xf>
    <xf numFmtId="0" fontId="33" fillId="27" borderId="26" xfId="0" applyFont="1" applyFill="1" applyBorder="1" applyAlignment="1">
      <alignment horizontal="center" vertical="center"/>
    </xf>
    <xf numFmtId="0" fontId="33" fillId="27" borderId="27" xfId="0" applyFont="1" applyFill="1" applyBorder="1" applyAlignment="1">
      <alignment horizontal="center" vertical="center"/>
    </xf>
    <xf numFmtId="0" fontId="33" fillId="27" borderId="51" xfId="0" applyFont="1" applyFill="1" applyBorder="1" applyAlignment="1">
      <alignment horizontal="center" vertical="center" wrapText="1"/>
    </xf>
    <xf numFmtId="0" fontId="33" fillId="27" borderId="15" xfId="0" applyFont="1" applyFill="1" applyBorder="1" applyAlignment="1">
      <alignment horizontal="center" vertical="center"/>
    </xf>
    <xf numFmtId="0" fontId="33" fillId="27" borderId="55" xfId="0" applyFont="1" applyFill="1" applyBorder="1" applyAlignment="1">
      <alignment horizontal="center" vertical="center"/>
    </xf>
    <xf numFmtId="2" fontId="33" fillId="35" borderId="10" xfId="0" applyNumberFormat="1" applyFont="1" applyFill="1" applyBorder="1" applyAlignment="1" applyProtection="1">
      <alignment horizontal="center"/>
      <protection hidden="1"/>
    </xf>
    <xf numFmtId="2" fontId="33" fillId="35" borderId="51" xfId="0" applyNumberFormat="1" applyFont="1" applyFill="1" applyBorder="1" applyAlignment="1" applyProtection="1">
      <alignment horizontal="center"/>
      <protection hidden="1"/>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ハイパーリンク" xfId="29" builtinId="8"/>
    <cellStyle name="メモ" xfId="30" builtinId="10" customBuiltin="1"/>
    <cellStyle name="リンク セル" xfId="31" builtinId="24" customBuiltin="1"/>
    <cellStyle name="悪い" xfId="32" builtinId="27" customBuiltin="1"/>
    <cellStyle name="計算" xfId="33" builtinId="22" customBuiltin="1"/>
    <cellStyle name="警告文" xfId="34" builtinId="11" customBuiltin="1"/>
    <cellStyle name="桁区切り" xfId="35" builtinId="6"/>
    <cellStyle name="見出し 1" xfId="36" builtinId="16" customBuiltin="1"/>
    <cellStyle name="見出し 2" xfId="37" builtinId="17" customBuiltin="1"/>
    <cellStyle name="見出し 3" xfId="38" builtinId="18" customBuiltin="1"/>
    <cellStyle name="見出し 4" xfId="39" builtinId="19" customBuiltin="1"/>
    <cellStyle name="集計" xfId="40" builtinId="25" customBuiltin="1"/>
    <cellStyle name="出力" xfId="41" builtinId="21" customBuiltin="1"/>
    <cellStyle name="説明文" xfId="42" builtinId="53" customBuiltin="1"/>
    <cellStyle name="入力" xfId="43" builtinId="20" customBuiltin="1"/>
    <cellStyle name="標準" xfId="0" builtinId="0"/>
    <cellStyle name="標準 2" xfId="48" xr:uid="{00000000-0005-0000-0000-00002C000000}"/>
    <cellStyle name="標準_070627LCCO2計算" xfId="44" xr:uid="{00000000-0005-0000-0000-00002D000000}"/>
    <cellStyle name="標準_070627LCCO2計算_100308事業者別CO2排出係数シート案" xfId="45" xr:uid="{00000000-0005-0000-0000-00002E000000}"/>
    <cellStyle name="標準_選定シートV1.0" xfId="46" xr:uid="{00000000-0005-0000-0000-00002F000000}"/>
    <cellStyle name="良い" xfId="47" builtinId="26" customBuiltin="1"/>
  </cellStyles>
  <dxfs count="134">
    <dxf>
      <fill>
        <patternFill>
          <bgColor indexed="41"/>
        </patternFill>
      </fill>
    </dxf>
    <dxf>
      <fill>
        <patternFill>
          <bgColor indexed="51"/>
        </patternFill>
      </fill>
    </dxf>
    <dxf>
      <fill>
        <patternFill>
          <bgColor indexed="10"/>
        </patternFill>
      </fill>
    </dxf>
    <dxf>
      <fill>
        <patternFill>
          <bgColor indexed="41"/>
        </patternFill>
      </fill>
    </dxf>
    <dxf>
      <fill>
        <patternFill>
          <bgColor indexed="51"/>
        </patternFill>
      </fill>
    </dxf>
    <dxf>
      <fill>
        <patternFill>
          <bgColor indexed="10"/>
        </patternFill>
      </fill>
    </dxf>
    <dxf>
      <fill>
        <patternFill>
          <bgColor indexed="41"/>
        </patternFill>
      </fill>
    </dxf>
    <dxf>
      <fill>
        <patternFill>
          <bgColor indexed="51"/>
        </patternFill>
      </fill>
    </dxf>
    <dxf>
      <fill>
        <patternFill>
          <bgColor indexed="10"/>
        </patternFill>
      </fill>
    </dxf>
    <dxf>
      <fill>
        <patternFill>
          <bgColor indexed="41"/>
        </patternFill>
      </fill>
    </dxf>
    <dxf>
      <fill>
        <patternFill>
          <bgColor indexed="51"/>
        </patternFill>
      </fill>
    </dxf>
    <dxf>
      <fill>
        <patternFill>
          <bgColor indexed="10"/>
        </patternFill>
      </fill>
    </dxf>
    <dxf>
      <fill>
        <patternFill>
          <bgColor indexed="41"/>
        </patternFill>
      </fill>
    </dxf>
    <dxf>
      <fill>
        <patternFill>
          <bgColor indexed="27"/>
        </patternFill>
      </fill>
    </dxf>
    <dxf>
      <fill>
        <patternFill>
          <bgColor indexed="14"/>
        </patternFill>
      </fill>
    </dxf>
    <dxf>
      <fill>
        <patternFill>
          <bgColor rgb="FFCCFFFF"/>
        </patternFill>
      </fill>
    </dxf>
    <dxf>
      <fill>
        <patternFill>
          <bgColor indexed="27"/>
        </patternFill>
      </fill>
    </dxf>
    <dxf>
      <fill>
        <patternFill>
          <bgColor indexed="14"/>
        </patternFill>
      </fill>
    </dxf>
    <dxf>
      <fill>
        <patternFill>
          <bgColor indexed="41"/>
        </patternFill>
      </fill>
    </dxf>
    <dxf>
      <fill>
        <patternFill>
          <bgColor indexed="22"/>
        </patternFill>
      </fill>
    </dxf>
    <dxf>
      <fill>
        <patternFill>
          <bgColor indexed="27"/>
        </patternFill>
      </fill>
    </dxf>
    <dxf>
      <fill>
        <patternFill>
          <bgColor indexed="41"/>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27"/>
        </patternFill>
      </fill>
    </dxf>
    <dxf>
      <font>
        <b/>
        <i val="0"/>
        <condense val="0"/>
        <extend val="0"/>
        <color indexed="10"/>
      </font>
    </dxf>
    <dxf>
      <font>
        <b/>
        <i val="0"/>
        <condense val="0"/>
        <extend val="0"/>
        <color indexed="10"/>
      </font>
    </dxf>
    <dxf>
      <font>
        <b/>
        <i val="0"/>
        <condense val="0"/>
        <extend val="0"/>
        <color indexed="10"/>
      </font>
    </dxf>
    <dxf>
      <fill>
        <patternFill>
          <bgColor indexed="27"/>
        </patternFill>
      </fill>
    </dxf>
    <dxf>
      <fill>
        <patternFill>
          <bgColor indexed="14"/>
        </patternFill>
      </fill>
    </dxf>
    <dxf>
      <font>
        <condense val="0"/>
        <extend val="0"/>
        <color auto="1"/>
      </font>
      <fill>
        <patternFill>
          <bgColor indexed="27"/>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41"/>
        </patternFill>
      </fill>
    </dxf>
    <dxf>
      <fill>
        <patternFill>
          <bgColor indexed="41"/>
        </patternFill>
      </fill>
    </dxf>
    <dxf>
      <fill>
        <patternFill>
          <bgColor rgb="FFCCFFFF"/>
        </patternFill>
      </fill>
    </dxf>
    <dxf>
      <font>
        <condense val="0"/>
        <extend val="0"/>
        <color auto="1"/>
      </font>
      <fill>
        <patternFill>
          <bgColor indexed="27"/>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41"/>
        </patternFill>
      </fill>
    </dxf>
    <dxf>
      <fill>
        <patternFill>
          <bgColor indexed="41"/>
        </patternFill>
      </fill>
    </dxf>
    <dxf>
      <fill>
        <patternFill>
          <bgColor indexed="27"/>
        </patternFill>
      </fill>
    </dxf>
    <dxf>
      <fill>
        <patternFill>
          <bgColor indexed="26"/>
        </patternFill>
      </fill>
    </dxf>
    <dxf>
      <fill>
        <patternFill>
          <bgColor indexed="41"/>
        </patternFill>
      </fill>
    </dxf>
    <dxf>
      <fill>
        <patternFill>
          <bgColor indexed="14"/>
        </patternFill>
      </fill>
    </dxf>
    <dxf>
      <fill>
        <patternFill>
          <bgColor indexed="41"/>
        </patternFill>
      </fill>
    </dxf>
    <dxf>
      <fill>
        <patternFill>
          <bgColor indexed="14"/>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14"/>
        </patternFill>
      </fill>
    </dxf>
    <dxf>
      <fill>
        <patternFill>
          <bgColor indexed="27"/>
        </patternFill>
      </fill>
    </dxf>
    <dxf>
      <fill>
        <patternFill>
          <bgColor indexed="14"/>
        </patternFill>
      </fill>
    </dxf>
    <dxf>
      <fill>
        <patternFill>
          <bgColor indexed="41"/>
        </patternFill>
      </fill>
    </dxf>
    <dxf>
      <fill>
        <patternFill>
          <bgColor indexed="14"/>
        </patternFill>
      </fill>
    </dxf>
    <dxf>
      <fill>
        <patternFill>
          <bgColor indexed="27"/>
        </patternFill>
      </fill>
    </dxf>
    <dxf>
      <fill>
        <patternFill>
          <bgColor indexed="27"/>
        </patternFill>
      </fill>
    </dxf>
    <dxf>
      <fill>
        <patternFill>
          <bgColor indexed="14"/>
        </patternFill>
      </fill>
    </dxf>
    <dxf>
      <fill>
        <patternFill patternType="lightTrellis"/>
      </fill>
    </dxf>
    <dxf>
      <fill>
        <patternFill>
          <bgColor indexed="27"/>
        </patternFill>
      </fill>
    </dxf>
    <dxf>
      <fill>
        <patternFill patternType="lightTrellis"/>
      </fill>
    </dxf>
    <dxf>
      <fill>
        <patternFill>
          <bgColor indexed="27"/>
        </patternFill>
      </fill>
    </dxf>
    <dxf>
      <fill>
        <patternFill patternType="lightTrellis"/>
      </fill>
    </dxf>
    <dxf>
      <fill>
        <patternFill>
          <bgColor indexed="27"/>
        </patternFill>
      </fill>
    </dxf>
    <dxf>
      <fill>
        <patternFill patternType="lightTrellis"/>
      </fill>
    </dxf>
    <dxf>
      <fill>
        <patternFill>
          <bgColor indexed="27"/>
        </patternFill>
      </fill>
    </dxf>
    <dxf>
      <fill>
        <patternFill patternType="lightTrellis"/>
      </fill>
    </dxf>
    <dxf>
      <fill>
        <patternFill patternType="lightTrellis"/>
      </fill>
    </dxf>
    <dxf>
      <fill>
        <patternFill>
          <bgColor indexed="27"/>
        </patternFill>
      </fill>
    </dxf>
    <dxf>
      <fill>
        <patternFill>
          <bgColor indexed="27"/>
        </patternFill>
      </fill>
    </dxf>
    <dxf>
      <fill>
        <patternFill patternType="lightTrellis"/>
      </fill>
    </dxf>
    <dxf>
      <fill>
        <patternFill>
          <bgColor indexed="27"/>
        </patternFill>
      </fill>
    </dxf>
    <dxf>
      <fill>
        <patternFill patternType="lightTrellis"/>
      </fill>
    </dxf>
    <dxf>
      <fill>
        <patternFill patternType="lightTrellis"/>
      </fill>
    </dxf>
    <dxf>
      <fill>
        <patternFill>
          <bgColor indexed="27"/>
        </patternFill>
      </fill>
    </dxf>
    <dxf>
      <fill>
        <patternFill patternType="lightTrellis"/>
      </fill>
    </dxf>
    <dxf>
      <fill>
        <patternFill>
          <bgColor indexed="27"/>
        </patternFill>
      </fill>
    </dxf>
    <dxf>
      <fill>
        <patternFill patternType="lightTrellis"/>
      </fill>
    </dxf>
    <dxf>
      <fill>
        <patternFill>
          <bgColor rgb="FFCCFFFF"/>
        </patternFill>
      </fill>
    </dxf>
    <dxf>
      <fill>
        <patternFill>
          <bgColor rgb="FFCCFFFF"/>
        </patternFill>
      </fill>
    </dxf>
    <dxf>
      <fill>
        <patternFill>
          <bgColor indexed="27"/>
        </patternFill>
      </fill>
    </dxf>
    <dxf>
      <fill>
        <patternFill patternType="lightTrellis"/>
      </fill>
    </dxf>
    <dxf>
      <fill>
        <patternFill>
          <bgColor indexed="27"/>
        </patternFill>
      </fill>
    </dxf>
    <dxf>
      <fill>
        <patternFill patternType="lightTrellis"/>
      </fill>
    </dxf>
    <dxf>
      <fill>
        <patternFill>
          <bgColor indexed="27"/>
        </patternFill>
      </fill>
    </dxf>
    <dxf>
      <fill>
        <patternFill patternType="lightTrellis"/>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7"/>
        </patternFill>
      </fill>
    </dxf>
    <dxf>
      <font>
        <condense val="0"/>
        <extend val="0"/>
        <color auto="1"/>
      </font>
      <fill>
        <patternFill>
          <bgColor indexed="4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ill>
        <patternFill>
          <bgColor indexed="27"/>
        </patternFill>
      </fill>
    </dxf>
    <dxf>
      <font>
        <condense val="0"/>
        <extend val="0"/>
        <color auto="1"/>
      </font>
      <fill>
        <patternFill>
          <bgColor indexed="47"/>
        </patternFill>
      </fill>
    </dxf>
    <dxf>
      <fill>
        <patternFill>
          <bgColor indexed="47"/>
        </patternFill>
      </fill>
    </dxf>
  </dxfs>
  <tableStyles count="0" defaultTableStyle="TableStyleMedium2" defaultPivotStyle="PivotStyleLight16"/>
  <colors>
    <mruColors>
      <color rgb="FFFFFFCC"/>
      <color rgb="FFCCFFFF"/>
      <color rgb="FFC0C0C0"/>
      <color rgb="FFDDDDDD"/>
      <color rgb="FFCCECFF"/>
      <color rgb="FFCC99FF"/>
      <color rgb="FFCCCCFF"/>
      <color rgb="FF008000"/>
      <color rgb="FF00CC00"/>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3" Type="http://schemas.openxmlformats.org/officeDocument/2006/relationships/worksheet" Target="worksheets/sheet3.xml" /><Relationship Id="rId21" Type="http://schemas.openxmlformats.org/officeDocument/2006/relationships/theme" Target="theme/theme1.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calcChain" Target="calcChain.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sharedStrings" Target="sharedStrings.xml" /><Relationship Id="rId10" Type="http://schemas.openxmlformats.org/officeDocument/2006/relationships/worksheet" Target="worksheets/sheet10.xml" /><Relationship Id="rId19" Type="http://schemas.openxmlformats.org/officeDocument/2006/relationships/worksheet" Target="worksheets/sheet19.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styles" Target="styles.xml" /></Relationships>
</file>

<file path=xl/charts/_rels/chart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charts/_rels/chart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charts/_rels/chart1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8.png"/><Relationship Id="rId1" Type="http://schemas.openxmlformats.org/officeDocument/2006/relationships/image" Target="../media/image7.jpeg"/></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4.xml.rels><?xml version="1.0" encoding="UTF-8" standalone="yes"?>
<Relationships xmlns="http://schemas.openxmlformats.org/package/2006/relationships"><Relationship Id="rId1" Type="http://schemas.openxmlformats.org/officeDocument/2006/relationships/image" Target="../media/image4.png"/></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3.xml.rels><?xml version="1.0" encoding="UTF-8" standalone="yes"?>
<Relationships xmlns="http://schemas.openxmlformats.org/package/2006/relationships"><Relationship Id="rId1" Type="http://schemas.openxmlformats.org/officeDocument/2006/relationships/image" Target="../media/image4.png"/></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91891891891893E-2"/>
          <c:y val="5.6818497084167946E-2"/>
          <c:w val="0.96283783783783783"/>
          <c:h val="0.84091375684568559"/>
        </c:manualLayout>
      </c:layout>
      <c:barChart>
        <c:barDir val="bar"/>
        <c:grouping val="percentStacked"/>
        <c:varyColors val="0"/>
        <c:ser>
          <c:idx val="0"/>
          <c:order val="0"/>
          <c:spPr>
            <a:blipFill dpi="0" rotWithShape="0">
              <a:blip xmlns:r="http://schemas.openxmlformats.org/officeDocument/2006/relationships" r:embed="rId1"/>
              <a:srcRect/>
              <a:stretch>
                <a:fillRect/>
              </a:stretch>
            </a:blipFill>
            <a:ln w="25400">
              <a:noFill/>
            </a:ln>
          </c:spPr>
          <c:invertIfNegative val="0"/>
          <c:pictureOptions>
            <c:pictureFormat val="stackScale"/>
            <c:pictureStackUnit val="20"/>
          </c:pictureOptions>
          <c:cat>
            <c:strRef>
              <c:f>結果_IS!$R$13</c:f>
              <c:strCache>
                <c:ptCount val="1"/>
                <c:pt idx="0">
                  <c:v>Rank(red star)</c:v>
                </c:pt>
              </c:strCache>
            </c:strRef>
          </c:cat>
          <c:val>
            <c:numRef>
              <c:f>結果_IS!$S$13</c:f>
              <c:numCache>
                <c:formatCode>#,##0.0;[Red]\-#,##0.0</c:formatCode>
                <c:ptCount val="1"/>
                <c:pt idx="0">
                  <c:v>0</c:v>
                </c:pt>
              </c:numCache>
            </c:numRef>
          </c:val>
          <c:extLst>
            <c:ext xmlns:c16="http://schemas.microsoft.com/office/drawing/2014/chart" uri="{C3380CC4-5D6E-409C-BE32-E72D297353CC}">
              <c16:uniqueId val="{00000000-C9D2-4F43-AE7D-259A12354B8D}"/>
            </c:ext>
          </c:extLst>
        </c:ser>
        <c:ser>
          <c:idx val="1"/>
          <c:order val="1"/>
          <c:spPr>
            <a:blipFill dpi="0" rotWithShape="0">
              <a:blip xmlns:r="http://schemas.openxmlformats.org/officeDocument/2006/relationships" r:embed="rId2"/>
              <a:srcRect/>
              <a:stretch>
                <a:fillRect/>
              </a:stretch>
            </a:blipFill>
            <a:ln w="25400">
              <a:noFill/>
            </a:ln>
          </c:spPr>
          <c:invertIfNegative val="0"/>
          <c:pictureOptions>
            <c:pictureFormat val="stackScale"/>
            <c:pictureStackUnit val="20"/>
          </c:pictureOptions>
          <c:cat>
            <c:strRef>
              <c:f>結果_IS!$R$13</c:f>
              <c:strCache>
                <c:ptCount val="1"/>
                <c:pt idx="0">
                  <c:v>Rank(red star)</c:v>
                </c:pt>
              </c:strCache>
            </c:strRef>
          </c:cat>
          <c:val>
            <c:numRef>
              <c:f>結果_IS!$S$14</c:f>
              <c:numCache>
                <c:formatCode>#,##0.0;[Red]\-#,##0.0</c:formatCode>
                <c:ptCount val="1"/>
                <c:pt idx="0">
                  <c:v>0</c:v>
                </c:pt>
              </c:numCache>
            </c:numRef>
          </c:val>
          <c:extLst>
            <c:ext xmlns:c16="http://schemas.microsoft.com/office/drawing/2014/chart" uri="{C3380CC4-5D6E-409C-BE32-E72D297353CC}">
              <c16:uniqueId val="{00000001-C9D2-4F43-AE7D-259A12354B8D}"/>
            </c:ext>
          </c:extLst>
        </c:ser>
        <c:dLbls>
          <c:showLegendKey val="0"/>
          <c:showVal val="0"/>
          <c:showCatName val="0"/>
          <c:showSerName val="0"/>
          <c:showPercent val="0"/>
          <c:showBubbleSize val="0"/>
        </c:dLbls>
        <c:gapWidth val="50"/>
        <c:overlap val="100"/>
        <c:axId val="164111336"/>
        <c:axId val="164111728"/>
      </c:barChart>
      <c:catAx>
        <c:axId val="164111336"/>
        <c:scaling>
          <c:orientation val="minMax"/>
        </c:scaling>
        <c:delete val="1"/>
        <c:axPos val="l"/>
        <c:numFmt formatCode="General" sourceLinked="1"/>
        <c:majorTickMark val="out"/>
        <c:minorTickMark val="none"/>
        <c:tickLblPos val="nextTo"/>
        <c:crossAx val="164111728"/>
        <c:crosses val="autoZero"/>
        <c:auto val="1"/>
        <c:lblAlgn val="ctr"/>
        <c:lblOffset val="100"/>
        <c:noMultiLvlLbl val="0"/>
      </c:catAx>
      <c:valAx>
        <c:axId val="164111728"/>
        <c:scaling>
          <c:orientation val="minMax"/>
        </c:scaling>
        <c:delete val="1"/>
        <c:axPos val="b"/>
        <c:numFmt formatCode="0%" sourceLinked="1"/>
        <c:majorTickMark val="out"/>
        <c:minorTickMark val="none"/>
        <c:tickLblPos val="nextTo"/>
        <c:crossAx val="164111336"/>
        <c:crosses val="autoZero"/>
        <c:crossBetween val="between"/>
      </c:valAx>
      <c:spPr>
        <a:noFill/>
        <a:ln w="25400">
          <a:noFill/>
        </a:ln>
      </c:spPr>
    </c:plotArea>
    <c:plotVisOnly val="0"/>
    <c:dispBlanksAs val="gap"/>
    <c:showDLblsOverMax val="0"/>
  </c:chart>
  <c:spPr>
    <a:noFill/>
    <a:ln w="635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91891891891893E-2"/>
          <c:y val="5.6818497084167946E-2"/>
          <c:w val="0.96283783783783783"/>
          <c:h val="0.84091375684568559"/>
        </c:manualLayout>
      </c:layout>
      <c:barChart>
        <c:barDir val="bar"/>
        <c:grouping val="percentStacked"/>
        <c:varyColors val="0"/>
        <c:ser>
          <c:idx val="0"/>
          <c:order val="0"/>
          <c:spPr>
            <a:blipFill dpi="0" rotWithShape="0">
              <a:blip xmlns:r="http://schemas.openxmlformats.org/officeDocument/2006/relationships" r:embed="rId1"/>
              <a:srcRect/>
              <a:stretch>
                <a:fillRect/>
              </a:stretch>
            </a:blipFill>
            <a:ln w="25400">
              <a:noFill/>
            </a:ln>
          </c:spPr>
          <c:invertIfNegative val="0"/>
          <c:pictureOptions>
            <c:pictureFormat val="stackScale"/>
            <c:pictureStackUnit val="20"/>
          </c:pictureOptions>
          <c:cat>
            <c:strRef>
              <c:f>結果!$R$13</c:f>
              <c:strCache>
                <c:ptCount val="1"/>
                <c:pt idx="0">
                  <c:v>Rank(red star)</c:v>
                </c:pt>
              </c:strCache>
            </c:strRef>
          </c:cat>
          <c:val>
            <c:numRef>
              <c:f>結果!$S$13</c:f>
              <c:numCache>
                <c:formatCode>#,##0.0;[Red]\-#,##0.0</c:formatCode>
                <c:ptCount val="1"/>
                <c:pt idx="0">
                  <c:v>0</c:v>
                </c:pt>
              </c:numCache>
            </c:numRef>
          </c:val>
          <c:extLst>
            <c:ext xmlns:c16="http://schemas.microsoft.com/office/drawing/2014/chart" uri="{C3380CC4-5D6E-409C-BE32-E72D297353CC}">
              <c16:uniqueId val="{00000000-A725-4211-B011-F6D211927963}"/>
            </c:ext>
          </c:extLst>
        </c:ser>
        <c:ser>
          <c:idx val="1"/>
          <c:order val="1"/>
          <c:spPr>
            <a:blipFill dpi="0" rotWithShape="0">
              <a:blip xmlns:r="http://schemas.openxmlformats.org/officeDocument/2006/relationships" r:embed="rId2"/>
              <a:srcRect/>
              <a:stretch>
                <a:fillRect/>
              </a:stretch>
            </a:blipFill>
            <a:ln w="25400">
              <a:noFill/>
            </a:ln>
          </c:spPr>
          <c:invertIfNegative val="0"/>
          <c:pictureOptions>
            <c:pictureFormat val="stackScale"/>
            <c:pictureStackUnit val="20"/>
          </c:pictureOptions>
          <c:cat>
            <c:strRef>
              <c:f>結果!$R$13</c:f>
              <c:strCache>
                <c:ptCount val="1"/>
                <c:pt idx="0">
                  <c:v>Rank(red star)</c:v>
                </c:pt>
              </c:strCache>
            </c:strRef>
          </c:cat>
          <c:val>
            <c:numRef>
              <c:f>結果!$S$14</c:f>
              <c:numCache>
                <c:formatCode>#,##0.0;[Red]\-#,##0.0</c:formatCode>
                <c:ptCount val="1"/>
                <c:pt idx="0">
                  <c:v>0</c:v>
                </c:pt>
              </c:numCache>
            </c:numRef>
          </c:val>
          <c:extLst>
            <c:ext xmlns:c16="http://schemas.microsoft.com/office/drawing/2014/chart" uri="{C3380CC4-5D6E-409C-BE32-E72D297353CC}">
              <c16:uniqueId val="{00000001-A725-4211-B011-F6D211927963}"/>
            </c:ext>
          </c:extLst>
        </c:ser>
        <c:dLbls>
          <c:showLegendKey val="0"/>
          <c:showVal val="0"/>
          <c:showCatName val="0"/>
          <c:showSerName val="0"/>
          <c:showPercent val="0"/>
          <c:showBubbleSize val="0"/>
        </c:dLbls>
        <c:gapWidth val="50"/>
        <c:overlap val="100"/>
        <c:axId val="520384088"/>
        <c:axId val="520385264"/>
      </c:barChart>
      <c:catAx>
        <c:axId val="520384088"/>
        <c:scaling>
          <c:orientation val="minMax"/>
        </c:scaling>
        <c:delete val="1"/>
        <c:axPos val="l"/>
        <c:numFmt formatCode="General" sourceLinked="1"/>
        <c:majorTickMark val="out"/>
        <c:minorTickMark val="none"/>
        <c:tickLblPos val="nextTo"/>
        <c:crossAx val="520385264"/>
        <c:crosses val="autoZero"/>
        <c:auto val="1"/>
        <c:lblAlgn val="ctr"/>
        <c:lblOffset val="100"/>
        <c:noMultiLvlLbl val="0"/>
      </c:catAx>
      <c:valAx>
        <c:axId val="520385264"/>
        <c:scaling>
          <c:orientation val="minMax"/>
        </c:scaling>
        <c:delete val="1"/>
        <c:axPos val="b"/>
        <c:numFmt formatCode="0%" sourceLinked="1"/>
        <c:majorTickMark val="out"/>
        <c:minorTickMark val="none"/>
        <c:tickLblPos val="nextTo"/>
        <c:crossAx val="520384088"/>
        <c:crosses val="autoZero"/>
        <c:crossBetween val="between"/>
      </c:valAx>
      <c:spPr>
        <a:noFill/>
        <a:ln w="25400">
          <a:noFill/>
        </a:ln>
      </c:spPr>
    </c:plotArea>
    <c:plotVisOnly val="0"/>
    <c:dispBlanksAs val="gap"/>
    <c:showDLblsOverMax val="0"/>
  </c:chart>
  <c:spPr>
    <a:noFill/>
    <a:ln w="635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6891891891891893E-2"/>
          <c:y val="5.6818497084167946E-2"/>
          <c:w val="0.96283783783783783"/>
          <c:h val="0.84091375684568559"/>
        </c:manualLayout>
      </c:layout>
      <c:barChart>
        <c:barDir val="bar"/>
        <c:grouping val="percentStacked"/>
        <c:varyColors val="0"/>
        <c:ser>
          <c:idx val="0"/>
          <c:order val="0"/>
          <c:spPr>
            <a:blipFill dpi="0" rotWithShape="0">
              <a:blip xmlns:r="http://schemas.openxmlformats.org/officeDocument/2006/relationships" r:embed="rId1"/>
              <a:srcRect/>
              <a:stretch>
                <a:fillRect/>
              </a:stretch>
            </a:blipFill>
            <a:ln w="25400">
              <a:noFill/>
            </a:ln>
          </c:spPr>
          <c:invertIfNegative val="0"/>
          <c:pictureOptions>
            <c:pictureFormat val="stackScale"/>
            <c:pictureStackUnit val="20"/>
          </c:pictureOptions>
          <c:dPt>
            <c:idx val="0"/>
            <c:invertIfNegative val="0"/>
            <c:bubble3D val="0"/>
            <c:spPr>
              <a:blipFill dpi="0" rotWithShape="0">
                <a:blip xmlns:r="http://schemas.openxmlformats.org/officeDocument/2006/relationships" r:embed="rId2"/>
                <a:srcRect/>
                <a:stretch>
                  <a:fillRect/>
                </a:stretch>
              </a:blipFill>
              <a:ln w="25400">
                <a:noFill/>
              </a:ln>
            </c:spPr>
            <c:pictureOptions>
              <c:pictureFormat val="stackScale"/>
              <c:pictureStackUnit val="20"/>
            </c:pictureOptions>
            <c:extLst>
              <c:ext xmlns:c16="http://schemas.microsoft.com/office/drawing/2014/chart" uri="{C3380CC4-5D6E-409C-BE32-E72D297353CC}">
                <c16:uniqueId val="{00000001-E9DC-4B30-973D-970B7BB7A413}"/>
              </c:ext>
            </c:extLst>
          </c:dPt>
          <c:cat>
            <c:strRef>
              <c:f>結果!$R$36</c:f>
              <c:strCache>
                <c:ptCount val="1"/>
                <c:pt idx="0">
                  <c:v>Rank(green star)</c:v>
                </c:pt>
              </c:strCache>
            </c:strRef>
          </c:cat>
          <c:val>
            <c:numRef>
              <c:f>結果!$S$36</c:f>
              <c:numCache>
                <c:formatCode>#,##0.0;[Red]\-#,##0.0</c:formatCode>
                <c:ptCount val="1"/>
                <c:pt idx="0">
                  <c:v>0</c:v>
                </c:pt>
              </c:numCache>
            </c:numRef>
          </c:val>
          <c:extLst>
            <c:ext xmlns:c16="http://schemas.microsoft.com/office/drawing/2014/chart" uri="{C3380CC4-5D6E-409C-BE32-E72D297353CC}">
              <c16:uniqueId val="{00000002-E9DC-4B30-973D-970B7BB7A413}"/>
            </c:ext>
          </c:extLst>
        </c:ser>
        <c:ser>
          <c:idx val="1"/>
          <c:order val="1"/>
          <c:spPr>
            <a:blipFill dpi="0" rotWithShape="0">
              <a:blip xmlns:r="http://schemas.openxmlformats.org/officeDocument/2006/relationships" r:embed="rId3"/>
              <a:srcRect/>
              <a:stretch>
                <a:fillRect/>
              </a:stretch>
            </a:blipFill>
            <a:ln w="25400">
              <a:noFill/>
            </a:ln>
          </c:spPr>
          <c:invertIfNegative val="0"/>
          <c:pictureOptions>
            <c:pictureFormat val="stackScale"/>
            <c:pictureStackUnit val="20"/>
          </c:pictureOptions>
          <c:cat>
            <c:strRef>
              <c:f>結果!$R$36</c:f>
              <c:strCache>
                <c:ptCount val="1"/>
                <c:pt idx="0">
                  <c:v>Rank(green star)</c:v>
                </c:pt>
              </c:strCache>
            </c:strRef>
          </c:cat>
          <c:val>
            <c:numRef>
              <c:f>結果!$S$37</c:f>
              <c:numCache>
                <c:formatCode>#,##0.0;[Red]\-#,##0.0</c:formatCode>
                <c:ptCount val="1"/>
                <c:pt idx="0">
                  <c:v>0</c:v>
                </c:pt>
              </c:numCache>
            </c:numRef>
          </c:val>
          <c:extLst>
            <c:ext xmlns:c16="http://schemas.microsoft.com/office/drawing/2014/chart" uri="{C3380CC4-5D6E-409C-BE32-E72D297353CC}">
              <c16:uniqueId val="{00000003-E9DC-4B30-973D-970B7BB7A413}"/>
            </c:ext>
          </c:extLst>
        </c:ser>
        <c:dLbls>
          <c:showLegendKey val="0"/>
          <c:showVal val="0"/>
          <c:showCatName val="0"/>
          <c:showSerName val="0"/>
          <c:showPercent val="0"/>
          <c:showBubbleSize val="0"/>
        </c:dLbls>
        <c:gapWidth val="50"/>
        <c:overlap val="100"/>
        <c:axId val="520382912"/>
        <c:axId val="520386832"/>
      </c:barChart>
      <c:catAx>
        <c:axId val="520382912"/>
        <c:scaling>
          <c:orientation val="minMax"/>
        </c:scaling>
        <c:delete val="1"/>
        <c:axPos val="l"/>
        <c:numFmt formatCode="General" sourceLinked="1"/>
        <c:majorTickMark val="out"/>
        <c:minorTickMark val="none"/>
        <c:tickLblPos val="nextTo"/>
        <c:crossAx val="520386832"/>
        <c:crosses val="autoZero"/>
        <c:auto val="1"/>
        <c:lblAlgn val="ctr"/>
        <c:lblOffset val="100"/>
        <c:noMultiLvlLbl val="0"/>
      </c:catAx>
      <c:valAx>
        <c:axId val="520386832"/>
        <c:scaling>
          <c:orientation val="minMax"/>
        </c:scaling>
        <c:delete val="1"/>
        <c:axPos val="b"/>
        <c:numFmt formatCode="0%" sourceLinked="1"/>
        <c:majorTickMark val="out"/>
        <c:minorTickMark val="none"/>
        <c:tickLblPos val="nextTo"/>
        <c:crossAx val="520382912"/>
        <c:crosses val="autoZero"/>
        <c:crossBetween val="between"/>
      </c:valAx>
      <c:spPr>
        <a:noFill/>
        <a:ln w="25400">
          <a:noFill/>
        </a:ln>
      </c:spPr>
    </c:plotArea>
    <c:plotVisOnly val="0"/>
    <c:dispBlanksAs val="gap"/>
    <c:showDLblsOverMax val="0"/>
  </c:chart>
  <c:spPr>
    <a:noFill/>
    <a:ln w="6350">
      <a:noFill/>
    </a:ln>
  </c:spPr>
  <c:txPr>
    <a:bodyPr/>
    <a:lstStyle/>
    <a:p>
      <a:pPr>
        <a:defRPr sz="2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795221843003413"/>
          <c:y val="9.8425196850393706E-2"/>
          <c:w val="0.69965870307167233"/>
          <c:h val="0.70078740157480313"/>
        </c:manualLayout>
      </c:layout>
      <c:areaChart>
        <c:grouping val="standard"/>
        <c:varyColors val="0"/>
        <c:ser>
          <c:idx val="4"/>
          <c:order val="3"/>
          <c:tx>
            <c:strRef>
              <c:f>結果!$S$30</c:f>
              <c:strCache>
                <c:ptCount val="1"/>
                <c:pt idx="0">
                  <c:v>S</c:v>
                </c:pt>
              </c:strCache>
            </c:strRef>
          </c:tx>
          <c:spPr>
            <a:pattFill prst="pct70">
              <a:fgClr>
                <a:srgbClr val="339966"/>
              </a:fgClr>
              <a:bgClr>
                <a:srgbClr val="FFFFFF"/>
              </a:bgClr>
            </a:pattFill>
            <a:ln w="12700">
              <a:solidFill>
                <a:srgbClr val="000000"/>
              </a:solidFill>
              <a:prstDash val="solid"/>
            </a:ln>
          </c:spPr>
          <c:cat>
            <c:numRef>
              <c:f>結果!$T$24:$U$24</c:f>
              <c:numCache>
                <c:formatCode>General</c:formatCode>
                <c:ptCount val="2"/>
                <c:pt idx="0" formatCode="#,##0_);[Red]\(#,##0\)">
                  <c:v>0</c:v>
                </c:pt>
                <c:pt idx="1">
                  <c:v>0</c:v>
                </c:pt>
              </c:numCache>
            </c:numRef>
          </c:cat>
          <c:val>
            <c:numRef>
              <c:f>結果!$T$30:$Z$30</c:f>
              <c:numCache>
                <c:formatCode>General</c:formatCode>
                <c:ptCount val="7"/>
                <c:pt idx="0">
                  <c:v>100</c:v>
                </c:pt>
                <c:pt idx="1">
                  <c:v>100</c:v>
                </c:pt>
                <c:pt idx="2">
                  <c:v>100</c:v>
                </c:pt>
                <c:pt idx="3">
                  <c:v>100</c:v>
                </c:pt>
                <c:pt idx="4">
                  <c:v>100</c:v>
                </c:pt>
                <c:pt idx="5">
                  <c:v>100</c:v>
                </c:pt>
                <c:pt idx="6">
                  <c:v>100</c:v>
                </c:pt>
              </c:numCache>
            </c:numRef>
          </c:val>
          <c:extLst>
            <c:ext xmlns:c16="http://schemas.microsoft.com/office/drawing/2014/chart" uri="{C3380CC4-5D6E-409C-BE32-E72D297353CC}">
              <c16:uniqueId val="{00000000-A8DE-4309-928B-59C5953E0A8E}"/>
            </c:ext>
          </c:extLst>
        </c:ser>
        <c:ser>
          <c:idx val="3"/>
          <c:order val="4"/>
          <c:tx>
            <c:strRef>
              <c:f>結果!$S$31</c:f>
              <c:strCache>
                <c:ptCount val="1"/>
                <c:pt idx="0">
                  <c:v>A</c:v>
                </c:pt>
              </c:strCache>
            </c:strRef>
          </c:tx>
          <c:spPr>
            <a:pattFill prst="pct90">
              <a:fgClr>
                <a:srgbClr val="CCFFCC"/>
              </a:fgClr>
              <a:bgClr>
                <a:srgbClr val="FFFFFF"/>
              </a:bgClr>
            </a:pattFill>
            <a:ln w="12700">
              <a:solidFill>
                <a:srgbClr val="000000"/>
              </a:solidFill>
              <a:prstDash val="solid"/>
            </a:ln>
          </c:spPr>
          <c:cat>
            <c:numRef>
              <c:f>結果!$T$24:$U$24</c:f>
              <c:numCache>
                <c:formatCode>General</c:formatCode>
                <c:ptCount val="2"/>
                <c:pt idx="0" formatCode="#,##0_);[Red]\(#,##0\)">
                  <c:v>0</c:v>
                </c:pt>
                <c:pt idx="1">
                  <c:v>0</c:v>
                </c:pt>
              </c:numCache>
            </c:numRef>
          </c:cat>
          <c:val>
            <c:numRef>
              <c:f>結果!$T$31:$Z$31</c:f>
              <c:numCache>
                <c:formatCode>General</c:formatCode>
                <c:ptCount val="7"/>
                <c:pt idx="0">
                  <c:v>50</c:v>
                </c:pt>
                <c:pt idx="1">
                  <c:v>50</c:v>
                </c:pt>
                <c:pt idx="2">
                  <c:v>100</c:v>
                </c:pt>
                <c:pt idx="3">
                  <c:v>100</c:v>
                </c:pt>
                <c:pt idx="4">
                  <c:v>100</c:v>
                </c:pt>
                <c:pt idx="5">
                  <c:v>100</c:v>
                </c:pt>
                <c:pt idx="6">
                  <c:v>100</c:v>
                </c:pt>
              </c:numCache>
            </c:numRef>
          </c:val>
          <c:extLst>
            <c:ext xmlns:c16="http://schemas.microsoft.com/office/drawing/2014/chart" uri="{C3380CC4-5D6E-409C-BE32-E72D297353CC}">
              <c16:uniqueId val="{00000001-A8DE-4309-928B-59C5953E0A8E}"/>
            </c:ext>
          </c:extLst>
        </c:ser>
        <c:ser>
          <c:idx val="2"/>
          <c:order val="5"/>
          <c:tx>
            <c:strRef>
              <c:f>結果!$S$32</c:f>
              <c:strCache>
                <c:ptCount val="1"/>
                <c:pt idx="0">
                  <c:v>B+</c:v>
                </c:pt>
              </c:strCache>
            </c:strRef>
          </c:tx>
          <c:spPr>
            <a:solidFill>
              <a:srgbClr val="FFFFCC"/>
            </a:solidFill>
            <a:ln w="12700">
              <a:solidFill>
                <a:srgbClr val="000000"/>
              </a:solidFill>
              <a:prstDash val="solid"/>
            </a:ln>
          </c:spPr>
          <c:cat>
            <c:numRef>
              <c:f>結果!$T$24:$U$24</c:f>
              <c:numCache>
                <c:formatCode>General</c:formatCode>
                <c:ptCount val="2"/>
                <c:pt idx="0" formatCode="#,##0_);[Red]\(#,##0\)">
                  <c:v>0</c:v>
                </c:pt>
                <c:pt idx="1">
                  <c:v>0</c:v>
                </c:pt>
              </c:numCache>
            </c:numRef>
          </c:cat>
          <c:val>
            <c:numRef>
              <c:f>結果!$T$32:$Z$32</c:f>
              <c:numCache>
                <c:formatCode>General</c:formatCode>
                <c:ptCount val="7"/>
                <c:pt idx="0">
                  <c:v>0</c:v>
                </c:pt>
                <c:pt idx="1">
                  <c:v>25</c:v>
                </c:pt>
                <c:pt idx="2">
                  <c:v>50</c:v>
                </c:pt>
                <c:pt idx="3">
                  <c:v>75</c:v>
                </c:pt>
                <c:pt idx="4">
                  <c:v>100</c:v>
                </c:pt>
                <c:pt idx="5">
                  <c:v>100</c:v>
                </c:pt>
                <c:pt idx="6">
                  <c:v>100</c:v>
                </c:pt>
              </c:numCache>
            </c:numRef>
          </c:val>
          <c:extLst>
            <c:ext xmlns:c16="http://schemas.microsoft.com/office/drawing/2014/chart" uri="{C3380CC4-5D6E-409C-BE32-E72D297353CC}">
              <c16:uniqueId val="{00000002-A8DE-4309-928B-59C5953E0A8E}"/>
            </c:ext>
          </c:extLst>
        </c:ser>
        <c:ser>
          <c:idx val="1"/>
          <c:order val="6"/>
          <c:tx>
            <c:strRef>
              <c:f>結果!$S$34</c:f>
              <c:strCache>
                <c:ptCount val="1"/>
                <c:pt idx="0">
                  <c:v>B-</c:v>
                </c:pt>
              </c:strCache>
            </c:strRef>
          </c:tx>
          <c:spPr>
            <a:solidFill>
              <a:srgbClr val="FFFFFF"/>
            </a:solidFill>
            <a:ln w="12700">
              <a:solidFill>
                <a:srgbClr val="000000"/>
              </a:solidFill>
              <a:prstDash val="solid"/>
            </a:ln>
          </c:spPr>
          <c:cat>
            <c:numRef>
              <c:f>結果!$T$24:$U$24</c:f>
              <c:numCache>
                <c:formatCode>General</c:formatCode>
                <c:ptCount val="2"/>
                <c:pt idx="0" formatCode="#,##0_);[Red]\(#,##0\)">
                  <c:v>0</c:v>
                </c:pt>
                <c:pt idx="1">
                  <c:v>0</c:v>
                </c:pt>
              </c:numCache>
            </c:numRef>
          </c:cat>
          <c:val>
            <c:numRef>
              <c:f>結果!$T$34:$Z$34</c:f>
              <c:numCache>
                <c:formatCode>General</c:formatCode>
                <c:ptCount val="7"/>
                <c:pt idx="0">
                  <c:v>0</c:v>
                </c:pt>
                <c:pt idx="1">
                  <c:v>8.3333333333333339</c:v>
                </c:pt>
                <c:pt idx="2">
                  <c:v>16.666666666666668</c:v>
                </c:pt>
                <c:pt idx="3">
                  <c:v>25</c:v>
                </c:pt>
                <c:pt idx="4">
                  <c:v>33.333333333333336</c:v>
                </c:pt>
                <c:pt idx="5">
                  <c:v>41.666666666666671</c:v>
                </c:pt>
                <c:pt idx="6">
                  <c:v>50</c:v>
                </c:pt>
              </c:numCache>
            </c:numRef>
          </c:val>
          <c:extLst>
            <c:ext xmlns:c16="http://schemas.microsoft.com/office/drawing/2014/chart" uri="{C3380CC4-5D6E-409C-BE32-E72D297353CC}">
              <c16:uniqueId val="{00000003-A8DE-4309-928B-59C5953E0A8E}"/>
            </c:ext>
          </c:extLst>
        </c:ser>
        <c:ser>
          <c:idx val="0"/>
          <c:order val="7"/>
          <c:tx>
            <c:strRef>
              <c:f>結果!$S$33</c:f>
              <c:strCache>
                <c:ptCount val="1"/>
                <c:pt idx="0">
                  <c:v>B</c:v>
                </c:pt>
              </c:strCache>
            </c:strRef>
          </c:tx>
          <c:spPr>
            <a:noFill/>
            <a:ln w="12700">
              <a:solidFill>
                <a:srgbClr val="000000"/>
              </a:solidFill>
              <a:prstDash val="solid"/>
            </a:ln>
          </c:spPr>
          <c:cat>
            <c:numRef>
              <c:f>結果!$T$24:$U$24</c:f>
              <c:numCache>
                <c:formatCode>General</c:formatCode>
                <c:ptCount val="2"/>
                <c:pt idx="0" formatCode="#,##0_);[Red]\(#,##0\)">
                  <c:v>0</c:v>
                </c:pt>
                <c:pt idx="1">
                  <c:v>0</c:v>
                </c:pt>
              </c:numCache>
            </c:numRef>
          </c:cat>
          <c:val>
            <c:numRef>
              <c:f>結果!$T$33:$Z$33</c:f>
              <c:numCache>
                <c:formatCode>General</c:formatCode>
                <c:ptCount val="7"/>
                <c:pt idx="0">
                  <c:v>0</c:v>
                </c:pt>
                <c:pt idx="1">
                  <c:v>16.666666666666668</c:v>
                </c:pt>
                <c:pt idx="2">
                  <c:v>33.333333333333336</c:v>
                </c:pt>
                <c:pt idx="3">
                  <c:v>50</c:v>
                </c:pt>
                <c:pt idx="4">
                  <c:v>66.666666666666671</c:v>
                </c:pt>
                <c:pt idx="5">
                  <c:v>83.333333333333343</c:v>
                </c:pt>
                <c:pt idx="6">
                  <c:v>100</c:v>
                </c:pt>
              </c:numCache>
            </c:numRef>
          </c:val>
          <c:extLst>
            <c:ext xmlns:c16="http://schemas.microsoft.com/office/drawing/2014/chart" uri="{C3380CC4-5D6E-409C-BE32-E72D297353CC}">
              <c16:uniqueId val="{00000004-A8DE-4309-928B-59C5953E0A8E}"/>
            </c:ext>
          </c:extLst>
        </c:ser>
        <c:dLbls>
          <c:showLegendKey val="0"/>
          <c:showVal val="0"/>
          <c:showCatName val="0"/>
          <c:showSerName val="0"/>
          <c:showPercent val="0"/>
          <c:showBubbleSize val="0"/>
        </c:dLbls>
        <c:axId val="520387616"/>
        <c:axId val="520382128"/>
      </c:areaChart>
      <c:scatterChart>
        <c:scatterStyle val="lineMarker"/>
        <c:varyColors val="0"/>
        <c:ser>
          <c:idx val="7"/>
          <c:order val="0"/>
          <c:spPr>
            <a:ln w="25400">
              <a:solidFill>
                <a:srgbClr val="008000"/>
              </a:solidFill>
              <a:prstDash val="sysDash"/>
            </a:ln>
          </c:spPr>
          <c:marker>
            <c:symbol val="none"/>
          </c:marker>
          <c:dPt>
            <c:idx val="1"/>
            <c:bubble3D val="0"/>
            <c:spPr>
              <a:ln w="19050">
                <a:noFill/>
              </a:ln>
            </c:spPr>
            <c:extLst>
              <c:ext xmlns:c16="http://schemas.microsoft.com/office/drawing/2014/chart" uri="{C3380CC4-5D6E-409C-BE32-E72D297353CC}">
                <c16:uniqueId val="{00000006-A8DE-4309-928B-59C5953E0A8E}"/>
              </c:ext>
            </c:extLst>
          </c:dPt>
          <c:dLbls>
            <c:dLbl>
              <c:idx val="2"/>
              <c:layout>
                <c:manualLayout>
                  <c:x val="-2.3856744869349086E-3"/>
                  <c:y val="0.27926509186351711"/>
                </c:manualLayout>
              </c:layout>
              <c:spPr>
                <a:noFill/>
                <a:ln w="25400">
                  <a:noFill/>
                </a:ln>
              </c:spPr>
              <c:txPr>
                <a:bodyPr/>
                <a:lstStyle/>
                <a:p>
                  <a:pPr>
                    <a:defRPr sz="800" b="1" i="0" u="none" strike="noStrike" baseline="0">
                      <a:solidFill>
                        <a:srgbClr val="FF0000"/>
                      </a:solidFill>
                      <a:latin typeface="ＭＳ Ｐゴシック"/>
                      <a:ea typeface="ＭＳ Ｐゴシック"/>
                      <a:cs typeface="ＭＳ Ｐゴシック"/>
                    </a:defRPr>
                  </a:pPr>
                  <a:endParaRPr lang="ja-JP"/>
                </a:p>
              </c:tx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8DE-4309-928B-59C5953E0A8E}"/>
                </c:ext>
              </c:extLst>
            </c:dLbl>
            <c:dLbl>
              <c:idx val="3"/>
              <c:layout>
                <c:manualLayout>
                  <c:x val="-5.2504187829763476E-3"/>
                  <c:y val="-3.9632545931758544E-2"/>
                </c:manualLayout>
              </c:layout>
              <c:spPr>
                <a:noFill/>
                <a:ln w="25400">
                  <a:noFill/>
                </a:ln>
              </c:spPr>
              <c:txPr>
                <a:bodyPr/>
                <a:lstStyle/>
                <a:p>
                  <a:pPr>
                    <a:defRPr sz="800" b="1" i="0" u="none" strike="noStrike" baseline="0">
                      <a:solidFill>
                        <a:srgbClr val="FF0000"/>
                      </a:solidFill>
                      <a:latin typeface="ＭＳ Ｐゴシック"/>
                      <a:ea typeface="ＭＳ Ｐゴシック"/>
                      <a:cs typeface="ＭＳ Ｐゴシック"/>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8DE-4309-928B-59C5953E0A8E}"/>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Ref>
              <c:f>結果!$R$26:$U$26</c:f>
              <c:numCache>
                <c:formatCode>General</c:formatCode>
                <c:ptCount val="4"/>
                <c:pt idx="0">
                  <c:v>0</c:v>
                </c:pt>
                <c:pt idx="1">
                  <c:v>0</c:v>
                </c:pt>
                <c:pt idx="2" formatCode="#,##0_);[Red]\(#,##0\)">
                  <c:v>0</c:v>
                </c:pt>
                <c:pt idx="3">
                  <c:v>0.1</c:v>
                </c:pt>
              </c:numCache>
            </c:numRef>
          </c:xVal>
          <c:yVal>
            <c:numRef>
              <c:f>結果!$R$27:$U$27</c:f>
              <c:numCache>
                <c:formatCode>General</c:formatCode>
                <c:ptCount val="4"/>
                <c:pt idx="0">
                  <c:v>0</c:v>
                </c:pt>
                <c:pt idx="1">
                  <c:v>0</c:v>
                </c:pt>
                <c:pt idx="2">
                  <c:v>49.7</c:v>
                </c:pt>
                <c:pt idx="3" formatCode="#,##0_);[Red]\(#,##0\)">
                  <c:v>49.7</c:v>
                </c:pt>
              </c:numCache>
            </c:numRef>
          </c:yVal>
          <c:smooth val="0"/>
          <c:extLst>
            <c:ext xmlns:c16="http://schemas.microsoft.com/office/drawing/2014/chart" uri="{C3380CC4-5D6E-409C-BE32-E72D297353CC}">
              <c16:uniqueId val="{00000009-A8DE-4309-928B-59C5953E0A8E}"/>
            </c:ext>
          </c:extLst>
        </c:ser>
        <c:ser>
          <c:idx val="8"/>
          <c:order val="1"/>
          <c:spPr>
            <a:ln w="19050">
              <a:noFill/>
            </a:ln>
          </c:spPr>
          <c:marker>
            <c:symbol val="none"/>
          </c:marker>
          <c:dPt>
            <c:idx val="1"/>
            <c:marker>
              <c:symbol val="circle"/>
              <c:size val="6"/>
              <c:spPr>
                <a:solidFill>
                  <a:srgbClr val="008000"/>
                </a:solidFill>
                <a:ln>
                  <a:solidFill>
                    <a:srgbClr val="000000"/>
                  </a:solidFill>
                  <a:prstDash val="solid"/>
                </a:ln>
              </c:spPr>
            </c:marker>
            <c:bubble3D val="0"/>
            <c:extLst>
              <c:ext xmlns:c16="http://schemas.microsoft.com/office/drawing/2014/chart" uri="{C3380CC4-5D6E-409C-BE32-E72D297353CC}">
                <c16:uniqueId val="{0000000A-A8DE-4309-928B-59C5953E0A8E}"/>
              </c:ext>
            </c:extLst>
          </c:dPt>
          <c:dPt>
            <c:idx val="3"/>
            <c:marker>
              <c:symbol val="circle"/>
              <c:size val="6"/>
              <c:spPr>
                <a:solidFill>
                  <a:srgbClr val="008000"/>
                </a:solidFill>
                <a:ln>
                  <a:solidFill>
                    <a:srgbClr val="000000"/>
                  </a:solidFill>
                  <a:prstDash val="solid"/>
                </a:ln>
              </c:spPr>
            </c:marker>
            <c:bubble3D val="0"/>
            <c:extLst>
              <c:ext xmlns:c16="http://schemas.microsoft.com/office/drawing/2014/chart" uri="{C3380CC4-5D6E-409C-BE32-E72D297353CC}">
                <c16:uniqueId val="{0000000B-A8DE-4309-928B-59C5953E0A8E}"/>
              </c:ext>
            </c:extLst>
          </c:dPt>
          <c:xVal>
            <c:numRef>
              <c:f>結果!$R$26:$U$26</c:f>
              <c:numCache>
                <c:formatCode>General</c:formatCode>
                <c:ptCount val="4"/>
                <c:pt idx="0">
                  <c:v>0</c:v>
                </c:pt>
                <c:pt idx="1">
                  <c:v>0</c:v>
                </c:pt>
                <c:pt idx="2" formatCode="#,##0_);[Red]\(#,##0\)">
                  <c:v>0</c:v>
                </c:pt>
                <c:pt idx="3">
                  <c:v>0.1</c:v>
                </c:pt>
              </c:numCache>
            </c:numRef>
          </c:xVal>
          <c:yVal>
            <c:numRef>
              <c:f>結果!$R$27:$U$27</c:f>
              <c:numCache>
                <c:formatCode>General</c:formatCode>
                <c:ptCount val="4"/>
                <c:pt idx="0">
                  <c:v>0</c:v>
                </c:pt>
                <c:pt idx="1">
                  <c:v>0</c:v>
                </c:pt>
                <c:pt idx="2">
                  <c:v>49.7</c:v>
                </c:pt>
                <c:pt idx="3" formatCode="#,##0_);[Red]\(#,##0\)">
                  <c:v>49.7</c:v>
                </c:pt>
              </c:numCache>
            </c:numRef>
          </c:yVal>
          <c:smooth val="0"/>
          <c:extLst>
            <c:ext xmlns:c16="http://schemas.microsoft.com/office/drawing/2014/chart" uri="{C3380CC4-5D6E-409C-BE32-E72D297353CC}">
              <c16:uniqueId val="{0000000C-A8DE-4309-928B-59C5953E0A8E}"/>
            </c:ext>
          </c:extLst>
        </c:ser>
        <c:ser>
          <c:idx val="5"/>
          <c:order val="2"/>
          <c:tx>
            <c:strRef>
              <c:f>結果!$S$12</c:f>
              <c:strCache>
                <c:ptCount val="1"/>
                <c:pt idx="0">
                  <c:v>#VALUE!</c:v>
                </c:pt>
              </c:strCache>
            </c:strRef>
          </c:tx>
          <c:spPr>
            <a:ln w="12700">
              <a:solidFill>
                <a:srgbClr val="800000"/>
              </a:solidFill>
              <a:prstDash val="solid"/>
            </a:ln>
          </c:spPr>
          <c:marker>
            <c:symbol val="none"/>
          </c:marker>
          <c:dPt>
            <c:idx val="0"/>
            <c:marker>
              <c:symbol val="circle"/>
              <c:size val="20"/>
              <c:spPr>
                <a:noFill/>
                <a:ln>
                  <a:solidFill>
                    <a:srgbClr val="FF0000"/>
                  </a:solidFill>
                  <a:prstDash val="solid"/>
                </a:ln>
              </c:spPr>
            </c:marker>
            <c:bubble3D val="0"/>
            <c:extLst>
              <c:ext xmlns:c16="http://schemas.microsoft.com/office/drawing/2014/chart" uri="{C3380CC4-5D6E-409C-BE32-E72D297353CC}">
                <c16:uniqueId val="{0000000D-A8DE-4309-928B-59C5953E0A8E}"/>
              </c:ext>
            </c:extLst>
          </c:dPt>
          <c:dPt>
            <c:idx val="1"/>
            <c:marker>
              <c:symbol val="triangle"/>
              <c:size val="20"/>
              <c:spPr>
                <a:solidFill>
                  <a:srgbClr val="339966"/>
                </a:solidFill>
                <a:ln>
                  <a:solidFill>
                    <a:srgbClr val="000000"/>
                  </a:solidFill>
                  <a:prstDash val="solid"/>
                </a:ln>
              </c:spPr>
            </c:marker>
            <c:bubble3D val="0"/>
            <c:spPr>
              <a:ln w="19050">
                <a:noFill/>
              </a:ln>
            </c:spPr>
            <c:extLst>
              <c:ext xmlns:c16="http://schemas.microsoft.com/office/drawing/2014/chart" uri="{C3380CC4-5D6E-409C-BE32-E72D297353CC}">
                <c16:uniqueId val="{0000000F-A8DE-4309-928B-59C5953E0A8E}"/>
              </c:ext>
            </c:extLst>
          </c:dPt>
          <c:dPt>
            <c:idx val="2"/>
            <c:bubble3D val="0"/>
            <c:spPr>
              <a:ln w="38100">
                <a:solidFill>
                  <a:srgbClr val="008000"/>
                </a:solidFill>
                <a:prstDash val="solid"/>
              </a:ln>
            </c:spPr>
            <c:extLst>
              <c:ext xmlns:c16="http://schemas.microsoft.com/office/drawing/2014/chart" uri="{C3380CC4-5D6E-409C-BE32-E72D297353CC}">
                <c16:uniqueId val="{00000011-A8DE-4309-928B-59C5953E0A8E}"/>
              </c:ext>
            </c:extLst>
          </c:dPt>
          <c:dLbls>
            <c:dLbl>
              <c:idx val="1"/>
              <c:layout>
                <c:manualLayout>
                  <c:x val="-1.603755162004069E-2"/>
                  <c:y val="-5.0183727034120738E-2"/>
                </c:manualLayout>
              </c:layout>
              <c:spPr>
                <a:noFill/>
                <a:ln w="25400">
                  <a:noFill/>
                </a:ln>
              </c:spPr>
              <c:txPr>
                <a:bodyPr/>
                <a:lstStyle/>
                <a:p>
                  <a:pPr>
                    <a:defRPr sz="1875" b="1" i="0" u="none" strike="noStrike" baseline="0">
                      <a:solidFill>
                        <a:srgbClr val="FF0000"/>
                      </a:solidFill>
                      <a:latin typeface="ＭＳ Ｐゴシック"/>
                      <a:ea typeface="ＭＳ Ｐゴシック"/>
                      <a:cs typeface="ＭＳ Ｐゴシック"/>
                    </a:defRPr>
                  </a:pPr>
                  <a:endParaRPr lang="ja-JP"/>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A8DE-4309-928B-59C5953E0A8E}"/>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Ref>
              <c:f>結果!$S$24:$U$24</c:f>
              <c:numCache>
                <c:formatCode>#,##0_);[Red]\(#,##0\)</c:formatCode>
                <c:ptCount val="3"/>
                <c:pt idx="1">
                  <c:v>0</c:v>
                </c:pt>
                <c:pt idx="2" formatCode="General">
                  <c:v>0</c:v>
                </c:pt>
              </c:numCache>
            </c:numRef>
          </c:xVal>
          <c:yVal>
            <c:numRef>
              <c:f>結果!$S$25:$U$25</c:f>
              <c:numCache>
                <c:formatCode>#,##0_);[Red]\(#,##0\)</c:formatCode>
                <c:ptCount val="3"/>
                <c:pt idx="1">
                  <c:v>49.7</c:v>
                </c:pt>
                <c:pt idx="2" formatCode="General">
                  <c:v>0</c:v>
                </c:pt>
              </c:numCache>
            </c:numRef>
          </c:yVal>
          <c:smooth val="0"/>
          <c:extLst>
            <c:ext xmlns:c16="http://schemas.microsoft.com/office/drawing/2014/chart" uri="{C3380CC4-5D6E-409C-BE32-E72D297353CC}">
              <c16:uniqueId val="{00000012-A8DE-4309-928B-59C5953E0A8E}"/>
            </c:ext>
          </c:extLst>
        </c:ser>
        <c:dLbls>
          <c:showLegendKey val="0"/>
          <c:showVal val="0"/>
          <c:showCatName val="0"/>
          <c:showSerName val="0"/>
          <c:showPercent val="0"/>
          <c:showBubbleSize val="0"/>
        </c:dLbls>
        <c:axId val="520386440"/>
        <c:axId val="520381736"/>
      </c:scatterChart>
      <c:catAx>
        <c:axId val="520387616"/>
        <c:scaling>
          <c:orientation val="minMax"/>
        </c:scaling>
        <c:delete val="0"/>
        <c:axPos val="b"/>
        <c:numFmt formatCode="#,##0_);[Red]\(#,##0\)" sourceLinked="1"/>
        <c:majorTickMark val="none"/>
        <c:minorTickMark val="none"/>
        <c:tickLblPos val="none"/>
        <c:spPr>
          <a:ln w="3175">
            <a:solidFill>
              <a:srgbClr val="000000"/>
            </a:solidFill>
            <a:prstDash val="solid"/>
          </a:ln>
        </c:spPr>
        <c:crossAx val="520382128"/>
        <c:crosses val="autoZero"/>
        <c:auto val="0"/>
        <c:lblAlgn val="ctr"/>
        <c:lblOffset val="100"/>
        <c:tickLblSkip val="50"/>
        <c:tickMarkSkip val="50"/>
        <c:noMultiLvlLbl val="0"/>
      </c:catAx>
      <c:valAx>
        <c:axId val="520382128"/>
        <c:scaling>
          <c:orientation val="minMax"/>
          <c:max val="100"/>
          <c:min val="0"/>
        </c:scaling>
        <c:delete val="0"/>
        <c:axPos val="l"/>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0387616"/>
        <c:crosses val="autoZero"/>
        <c:crossBetween val="midCat"/>
        <c:majorUnit val="50"/>
      </c:valAx>
      <c:valAx>
        <c:axId val="520386440"/>
        <c:scaling>
          <c:orientation val="minMax"/>
          <c:max val="100"/>
          <c:min val="0"/>
        </c:scaling>
        <c:delete val="0"/>
        <c:axPos val="t"/>
        <c:numFmt formatCode="General" sourceLinked="1"/>
        <c:majorTickMark val="none"/>
        <c:minorTickMark val="none"/>
        <c:tickLblPos val="low"/>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0381736"/>
        <c:crosses val="max"/>
        <c:crossBetween val="midCat"/>
        <c:majorUnit val="50"/>
      </c:valAx>
      <c:valAx>
        <c:axId val="520381736"/>
        <c:scaling>
          <c:orientation val="minMax"/>
          <c:max val="100"/>
        </c:scaling>
        <c:delete val="0"/>
        <c:axPos val="r"/>
        <c:numFmt formatCode="General" sourceLinked="1"/>
        <c:majorTickMark val="in"/>
        <c:minorTickMark val="none"/>
        <c:tickLblPos val="none"/>
        <c:spPr>
          <a:ln w="3175">
            <a:solidFill>
              <a:srgbClr val="000000"/>
            </a:solidFill>
            <a:prstDash val="solid"/>
          </a:ln>
        </c:spPr>
        <c:crossAx val="520386440"/>
        <c:crosses val="max"/>
        <c:crossBetween val="midCat"/>
        <c:majorUnit val="50"/>
      </c:valAx>
      <c:spPr>
        <a:solidFill>
          <a:srgbClr val="C0C0C0"/>
        </a:solidFill>
        <a:ln w="12700">
          <a:solidFill>
            <a:srgbClr val="808080"/>
          </a:solidFill>
          <a:prstDash val="solid"/>
        </a:ln>
      </c:spPr>
    </c:plotArea>
    <c:plotVisOnly val="0"/>
    <c:dispBlanksAs val="gap"/>
    <c:showDLblsOverMax val="0"/>
  </c:chart>
  <c:spPr>
    <a:noFill/>
    <a:ln w="635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3030499195442692E-2"/>
          <c:y val="0.12777847102035059"/>
          <c:w val="0.89773059352285123"/>
          <c:h val="0.69444821206712271"/>
        </c:manualLayout>
      </c:layout>
      <c:barChart>
        <c:barDir val="bar"/>
        <c:grouping val="stacked"/>
        <c:varyColors val="0"/>
        <c:ser>
          <c:idx val="0"/>
          <c:order val="0"/>
          <c:tx>
            <c:strRef>
              <c:f>結果!$S$39</c:f>
              <c:strCache>
                <c:ptCount val="1"/>
                <c:pt idx="0">
                  <c:v>建設</c:v>
                </c:pt>
              </c:strCache>
            </c:strRef>
          </c:tx>
          <c:spPr>
            <a:solidFill>
              <a:srgbClr val="9999FF"/>
            </a:solidFill>
            <a:ln w="12700">
              <a:solidFill>
                <a:srgbClr val="000000"/>
              </a:solidFill>
              <a:prstDash val="solid"/>
            </a:ln>
          </c:spPr>
          <c:invertIfNegative val="0"/>
          <c:dPt>
            <c:idx val="0"/>
            <c:invertIfNegative val="0"/>
            <c:bubble3D val="0"/>
            <c:spPr>
              <a:solidFill>
                <a:srgbClr val="9999FF"/>
              </a:solidFill>
              <a:ln w="12700">
                <a:solidFill>
                  <a:srgbClr val="000000"/>
                </a:solidFill>
                <a:prstDash val="sysDash"/>
              </a:ln>
            </c:spPr>
            <c:extLst>
              <c:ext xmlns:c16="http://schemas.microsoft.com/office/drawing/2014/chart" uri="{C3380CC4-5D6E-409C-BE32-E72D297353CC}">
                <c16:uniqueId val="{00000001-360D-482A-981F-5741A522B593}"/>
              </c:ext>
            </c:extLst>
          </c:dPt>
          <c:val>
            <c:numRef>
              <c:f>結果!$S$40:$S$43</c:f>
              <c:numCache>
                <c:formatCode>#,##0_);[Red]\(#,##0\)</c:formatCode>
                <c:ptCount val="4"/>
                <c:pt idx="0">
                  <c:v>13.998000000000001</c:v>
                </c:pt>
                <c:pt idx="1">
                  <c:v>13.998000000000001</c:v>
                </c:pt>
              </c:numCache>
            </c:numRef>
          </c:val>
          <c:extLst>
            <c:ext xmlns:c16="http://schemas.microsoft.com/office/drawing/2014/chart" uri="{C3380CC4-5D6E-409C-BE32-E72D297353CC}">
              <c16:uniqueId val="{00000002-360D-482A-981F-5741A522B593}"/>
            </c:ext>
          </c:extLst>
        </c:ser>
        <c:ser>
          <c:idx val="1"/>
          <c:order val="1"/>
          <c:tx>
            <c:strRef>
              <c:f>結果!$T$39</c:f>
              <c:strCache>
                <c:ptCount val="1"/>
                <c:pt idx="0">
                  <c:v>修繕・更新・解体</c:v>
                </c:pt>
              </c:strCache>
            </c:strRef>
          </c:tx>
          <c:spPr>
            <a:solidFill>
              <a:srgbClr val="99CC00"/>
            </a:solidFill>
            <a:ln w="12700">
              <a:solidFill>
                <a:srgbClr val="000000"/>
              </a:solidFill>
              <a:prstDash val="solid"/>
            </a:ln>
          </c:spPr>
          <c:invertIfNegative val="0"/>
          <c:dPt>
            <c:idx val="0"/>
            <c:invertIfNegative val="0"/>
            <c:bubble3D val="0"/>
            <c:spPr>
              <a:solidFill>
                <a:srgbClr val="99CC00"/>
              </a:solidFill>
              <a:ln w="12700">
                <a:solidFill>
                  <a:srgbClr val="000000"/>
                </a:solidFill>
                <a:prstDash val="sysDash"/>
              </a:ln>
            </c:spPr>
            <c:extLst>
              <c:ext xmlns:c16="http://schemas.microsoft.com/office/drawing/2014/chart" uri="{C3380CC4-5D6E-409C-BE32-E72D297353CC}">
                <c16:uniqueId val="{00000004-360D-482A-981F-5741A522B593}"/>
              </c:ext>
            </c:extLst>
          </c:dPt>
          <c:val>
            <c:numRef>
              <c:f>結果!$T$40:$T$43</c:f>
              <c:numCache>
                <c:formatCode>#,##0_);[Red]\(#,##0\)</c:formatCode>
                <c:ptCount val="4"/>
                <c:pt idx="0">
                  <c:v>16.21</c:v>
                </c:pt>
                <c:pt idx="1">
                  <c:v>16.21</c:v>
                </c:pt>
              </c:numCache>
            </c:numRef>
          </c:val>
          <c:extLst>
            <c:ext xmlns:c16="http://schemas.microsoft.com/office/drawing/2014/chart" uri="{C3380CC4-5D6E-409C-BE32-E72D297353CC}">
              <c16:uniqueId val="{00000005-360D-482A-981F-5741A522B593}"/>
            </c:ext>
          </c:extLst>
        </c:ser>
        <c:ser>
          <c:idx val="2"/>
          <c:order val="2"/>
          <c:tx>
            <c:strRef>
              <c:f>結果!$U$39</c:f>
              <c:strCache>
                <c:ptCount val="1"/>
                <c:pt idx="0">
                  <c:v>運用</c:v>
                </c:pt>
              </c:strCache>
            </c:strRef>
          </c:tx>
          <c:spPr>
            <a:solidFill>
              <a:srgbClr val="FFFFCC"/>
            </a:solidFill>
            <a:ln w="12700">
              <a:solidFill>
                <a:srgbClr val="000000"/>
              </a:solidFill>
              <a:prstDash val="solid"/>
            </a:ln>
          </c:spPr>
          <c:invertIfNegative val="0"/>
          <c:dPt>
            <c:idx val="0"/>
            <c:invertIfNegative val="0"/>
            <c:bubble3D val="0"/>
            <c:spPr>
              <a:solidFill>
                <a:srgbClr val="FFFFCC"/>
              </a:solidFill>
              <a:ln w="12700">
                <a:solidFill>
                  <a:srgbClr val="000000"/>
                </a:solidFill>
                <a:prstDash val="sysDash"/>
              </a:ln>
            </c:spPr>
            <c:extLst>
              <c:ext xmlns:c16="http://schemas.microsoft.com/office/drawing/2014/chart" uri="{C3380CC4-5D6E-409C-BE32-E72D297353CC}">
                <c16:uniqueId val="{00000007-360D-482A-981F-5741A522B593}"/>
              </c:ext>
            </c:extLst>
          </c:dPt>
          <c:val>
            <c:numRef>
              <c:f>結果!$U$40:$U$43</c:f>
              <c:numCache>
                <c:formatCode>#,##0_);[Red]\(#,##0\)</c:formatCode>
                <c:ptCount val="4"/>
                <c:pt idx="0">
                  <c:v>0</c:v>
                </c:pt>
                <c:pt idx="1">
                  <c:v>0</c:v>
                </c:pt>
              </c:numCache>
            </c:numRef>
          </c:val>
          <c:extLst>
            <c:ext xmlns:c16="http://schemas.microsoft.com/office/drawing/2014/chart" uri="{C3380CC4-5D6E-409C-BE32-E72D297353CC}">
              <c16:uniqueId val="{00000008-360D-482A-981F-5741A522B593}"/>
            </c:ext>
          </c:extLst>
        </c:ser>
        <c:ser>
          <c:idx val="3"/>
          <c:order val="3"/>
          <c:tx>
            <c:strRef>
              <c:f>結果!$V$39</c:f>
              <c:strCache>
                <c:ptCount val="1"/>
                <c:pt idx="0">
                  <c:v>オンサイト</c:v>
                </c:pt>
              </c:strCache>
            </c:strRef>
          </c:tx>
          <c:spPr>
            <a:solidFill>
              <a:srgbClr val="C0C0C0"/>
            </a:solidFill>
            <a:ln w="12700">
              <a:solidFill>
                <a:srgbClr val="000000"/>
              </a:solidFill>
              <a:prstDash val="solid"/>
            </a:ln>
          </c:spPr>
          <c:invertIfNegative val="0"/>
          <c:val>
            <c:numRef>
              <c:f>結果!$V$40:$V$43</c:f>
              <c:numCache>
                <c:formatCode>General</c:formatCode>
                <c:ptCount val="4"/>
                <c:pt idx="2" formatCode="#,##0_);[Red]\(#,##0\)">
                  <c:v>0</c:v>
                </c:pt>
              </c:numCache>
            </c:numRef>
          </c:val>
          <c:extLst>
            <c:ext xmlns:c16="http://schemas.microsoft.com/office/drawing/2014/chart" uri="{C3380CC4-5D6E-409C-BE32-E72D297353CC}">
              <c16:uniqueId val="{00000009-360D-482A-981F-5741A522B593}"/>
            </c:ext>
          </c:extLst>
        </c:ser>
        <c:ser>
          <c:idx val="4"/>
          <c:order val="4"/>
          <c:tx>
            <c:strRef>
              <c:f>結果!$W$39</c:f>
              <c:strCache>
                <c:ptCount val="1"/>
                <c:pt idx="0">
                  <c:v>オフサイト</c:v>
                </c:pt>
              </c:strCache>
            </c:strRef>
          </c:tx>
          <c:spPr>
            <a:pattFill prst="pct60">
              <a:fgClr>
                <a:srgbClr val="C0C0C0"/>
              </a:fgClr>
              <a:bgClr>
                <a:srgbClr val="FFFFFF"/>
              </a:bgClr>
            </a:pattFill>
            <a:ln w="12700">
              <a:solidFill>
                <a:srgbClr val="000000"/>
              </a:solidFill>
              <a:prstDash val="solid"/>
            </a:ln>
          </c:spPr>
          <c:invertIfNegative val="0"/>
          <c:val>
            <c:numRef>
              <c:f>結果!$W$40:$W$43</c:f>
              <c:numCache>
                <c:formatCode>General</c:formatCode>
                <c:ptCount val="4"/>
                <c:pt idx="3" formatCode="#,##0_);[Red]\(#,##0\)">
                  <c:v>0</c:v>
                </c:pt>
              </c:numCache>
            </c:numRef>
          </c:val>
          <c:extLst>
            <c:ext xmlns:c16="http://schemas.microsoft.com/office/drawing/2014/chart" uri="{C3380CC4-5D6E-409C-BE32-E72D297353CC}">
              <c16:uniqueId val="{0000000A-360D-482A-981F-5741A522B593}"/>
            </c:ext>
          </c:extLst>
        </c:ser>
        <c:dLbls>
          <c:showLegendKey val="0"/>
          <c:showVal val="0"/>
          <c:showCatName val="0"/>
          <c:showSerName val="0"/>
          <c:showPercent val="0"/>
          <c:showBubbleSize val="0"/>
        </c:dLbls>
        <c:gapWidth val="50"/>
        <c:overlap val="100"/>
        <c:axId val="520383304"/>
        <c:axId val="520385656"/>
      </c:barChart>
      <c:catAx>
        <c:axId val="520383304"/>
        <c:scaling>
          <c:orientation val="maxMin"/>
        </c:scaling>
        <c:delete val="1"/>
        <c:axPos val="l"/>
        <c:majorTickMark val="out"/>
        <c:minorTickMark val="none"/>
        <c:tickLblPos val="nextTo"/>
        <c:crossAx val="520385656"/>
        <c:crosses val="autoZero"/>
        <c:auto val="1"/>
        <c:lblAlgn val="ctr"/>
        <c:lblOffset val="100"/>
        <c:noMultiLvlLbl val="0"/>
      </c:catAx>
      <c:valAx>
        <c:axId val="520385656"/>
        <c:scaling>
          <c:orientation val="minMax"/>
        </c:scaling>
        <c:delete val="0"/>
        <c:axPos val="b"/>
        <c:majorGridlines>
          <c:spPr>
            <a:ln w="3175">
              <a:solidFill>
                <a:srgbClr val="000000"/>
              </a:solidFill>
              <a:prstDash val="solid"/>
            </a:ln>
          </c:spPr>
        </c:majorGridlines>
        <c:numFmt formatCode="#,##0" sourceLinked="0"/>
        <c:majorTickMark val="in"/>
        <c:minorTickMark val="none"/>
        <c:tickLblPos val="nextTo"/>
        <c:spPr>
          <a:ln w="6350">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0383304"/>
        <c:crosses val="max"/>
        <c:crossBetween val="between"/>
        <c:majorUnit val="46.041617465962183"/>
      </c:valAx>
      <c:spPr>
        <a:noFill/>
        <a:ln w="3175">
          <a:solidFill>
            <a:srgbClr val="000000"/>
          </a:solidFill>
          <a:prstDash val="solid"/>
        </a:ln>
      </c:spPr>
    </c:plotArea>
    <c:legend>
      <c:legendPos val="r"/>
      <c:layout>
        <c:manualLayout>
          <c:xMode val="edge"/>
          <c:yMode val="edge"/>
          <c:x val="3.7878927996744777E-2"/>
          <c:y val="2.777792848268491E-2"/>
          <c:w val="0.89394270072317683"/>
          <c:h val="7.7778199751517743E-2"/>
        </c:manualLayout>
      </c:layout>
      <c:overlay val="0"/>
      <c:spPr>
        <a:noFill/>
        <a:ln w="25400">
          <a:noFill/>
        </a:ln>
      </c:spPr>
      <c:txPr>
        <a:bodyPr/>
        <a:lstStyle/>
        <a:p>
          <a:pPr>
            <a:defRPr sz="550" b="0" i="0" u="none" strike="noStrike" baseline="0">
              <a:solidFill>
                <a:srgbClr val="000000"/>
              </a:solidFill>
              <a:latin typeface="ＭＳ Ｐゴシック"/>
              <a:ea typeface="ＭＳ Ｐゴシック"/>
              <a:cs typeface="ＭＳ Ｐゴシック"/>
            </a:defRPr>
          </a:pPr>
          <a:endParaRPr lang="ja-JP"/>
        </a:p>
      </c:txPr>
    </c:legend>
    <c:plotVisOnly val="0"/>
    <c:dispBlanksAs val="gap"/>
    <c:showDLblsOverMax val="0"/>
  </c:chart>
  <c:spPr>
    <a:noFill/>
    <a:ln w="6350">
      <a:noFill/>
    </a:ln>
  </c:spPr>
  <c:txPr>
    <a:bodyPr/>
    <a:lstStyle/>
    <a:p>
      <a:pPr>
        <a:defRPr sz="5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verticalDpi="3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0430161159487251"/>
          <c:y val="0.17088634000188513"/>
          <c:w val="0.58871122288522471"/>
          <c:h val="0.69303904556320084"/>
        </c:manualLayout>
      </c:layout>
      <c:radarChart>
        <c:radarStyle val="filled"/>
        <c:varyColors val="0"/>
        <c:ser>
          <c:idx val="0"/>
          <c:order val="0"/>
          <c:spPr>
            <a:blipFill dpi="0" rotWithShape="0">
              <a:blip xmlns:r="http://schemas.openxmlformats.org/officeDocument/2006/relationships" r:embed="rId1"/>
              <a:srcRect/>
              <a:stretch>
                <a:fillRect/>
              </a:stretch>
            </a:blipFill>
            <a:ln w="12700">
              <a:solidFill>
                <a:srgbClr val="000000"/>
              </a:solidFill>
              <a:prstDash val="solid"/>
            </a:ln>
          </c:spPr>
          <c:cat>
            <c:strRef>
              <c:f>結果!$V$8:$V$13</c:f>
              <c:strCache>
                <c:ptCount val="6"/>
                <c:pt idx="0">
                  <c:v>Q2 サービス性能</c:v>
                </c:pt>
                <c:pt idx="1">
                  <c:v>Q3 室外環境
(敷地内)</c:v>
                </c:pt>
                <c:pt idx="2">
                  <c:v>LR3 
敷地外環境</c:v>
                </c:pt>
                <c:pt idx="3">
                  <c:v>LR2 資源・
マテリアル</c:v>
                </c:pt>
                <c:pt idx="4">
                  <c:v>LR1 
エネルギー</c:v>
                </c:pt>
                <c:pt idx="5">
                  <c:v>Q1　
室内環境</c:v>
                </c:pt>
              </c:strCache>
            </c:strRef>
          </c:cat>
          <c:val>
            <c:numRef>
              <c:f>結果!$W$8:$W$13</c:f>
              <c:numCache>
                <c:formatCode>General</c:formatCode>
                <c:ptCount val="6"/>
                <c:pt idx="0">
                  <c:v>5</c:v>
                </c:pt>
                <c:pt idx="1">
                  <c:v>5</c:v>
                </c:pt>
                <c:pt idx="2">
                  <c:v>5</c:v>
                </c:pt>
                <c:pt idx="3">
                  <c:v>5</c:v>
                </c:pt>
                <c:pt idx="4">
                  <c:v>5</c:v>
                </c:pt>
                <c:pt idx="5">
                  <c:v>5</c:v>
                </c:pt>
              </c:numCache>
            </c:numRef>
          </c:val>
          <c:extLst>
            <c:ext xmlns:c16="http://schemas.microsoft.com/office/drawing/2014/chart" uri="{C3380CC4-5D6E-409C-BE32-E72D297353CC}">
              <c16:uniqueId val="{00000000-78E5-4BA7-B974-F032A4F1FB90}"/>
            </c:ext>
          </c:extLst>
        </c:ser>
        <c:ser>
          <c:idx val="1"/>
          <c:order val="1"/>
          <c:spPr>
            <a:noFill/>
            <a:ln w="12700">
              <a:solidFill>
                <a:srgbClr val="000000"/>
              </a:solidFill>
              <a:prstDash val="solid"/>
            </a:ln>
          </c:spPr>
          <c:cat>
            <c:strRef>
              <c:f>結果!$V$8:$V$13</c:f>
              <c:strCache>
                <c:ptCount val="6"/>
                <c:pt idx="0">
                  <c:v>Q2 サービス性能</c:v>
                </c:pt>
                <c:pt idx="1">
                  <c:v>Q3 室外環境
(敷地内)</c:v>
                </c:pt>
                <c:pt idx="2">
                  <c:v>LR3 
敷地外環境</c:v>
                </c:pt>
                <c:pt idx="3">
                  <c:v>LR2 資源・
マテリアル</c:v>
                </c:pt>
                <c:pt idx="4">
                  <c:v>LR1 
エネルギー</c:v>
                </c:pt>
                <c:pt idx="5">
                  <c:v>Q1　
室内環境</c:v>
                </c:pt>
              </c:strCache>
            </c:strRef>
          </c:cat>
          <c:val>
            <c:numRef>
              <c:f>結果!$X$8:$X$13</c:f>
              <c:numCache>
                <c:formatCode>General</c:formatCode>
                <c:ptCount val="6"/>
                <c:pt idx="0">
                  <c:v>4</c:v>
                </c:pt>
                <c:pt idx="1">
                  <c:v>4</c:v>
                </c:pt>
                <c:pt idx="2">
                  <c:v>4</c:v>
                </c:pt>
                <c:pt idx="3">
                  <c:v>4</c:v>
                </c:pt>
                <c:pt idx="4">
                  <c:v>4</c:v>
                </c:pt>
                <c:pt idx="5">
                  <c:v>4</c:v>
                </c:pt>
              </c:numCache>
            </c:numRef>
          </c:val>
          <c:extLst>
            <c:ext xmlns:c16="http://schemas.microsoft.com/office/drawing/2014/chart" uri="{C3380CC4-5D6E-409C-BE32-E72D297353CC}">
              <c16:uniqueId val="{00000001-78E5-4BA7-B974-F032A4F1FB90}"/>
            </c:ext>
          </c:extLst>
        </c:ser>
        <c:ser>
          <c:idx val="2"/>
          <c:order val="2"/>
          <c:spPr>
            <a:noFill/>
            <a:ln w="12700">
              <a:solidFill>
                <a:srgbClr val="000000"/>
              </a:solidFill>
              <a:prstDash val="solid"/>
            </a:ln>
          </c:spPr>
          <c:cat>
            <c:strRef>
              <c:f>結果!$V$8:$V$13</c:f>
              <c:strCache>
                <c:ptCount val="6"/>
                <c:pt idx="0">
                  <c:v>Q2 サービス性能</c:v>
                </c:pt>
                <c:pt idx="1">
                  <c:v>Q3 室外環境
(敷地内)</c:v>
                </c:pt>
                <c:pt idx="2">
                  <c:v>LR3 
敷地外環境</c:v>
                </c:pt>
                <c:pt idx="3">
                  <c:v>LR2 資源・
マテリアル</c:v>
                </c:pt>
                <c:pt idx="4">
                  <c:v>LR1 
エネルギー</c:v>
                </c:pt>
                <c:pt idx="5">
                  <c:v>Q1　
室内環境</c:v>
                </c:pt>
              </c:strCache>
            </c:strRef>
          </c:cat>
          <c:val>
            <c:numRef>
              <c:f>結果!$Y$8:$Y$13</c:f>
              <c:numCache>
                <c:formatCode>General</c:formatCode>
                <c:ptCount val="6"/>
                <c:pt idx="0">
                  <c:v>2</c:v>
                </c:pt>
                <c:pt idx="1">
                  <c:v>2</c:v>
                </c:pt>
                <c:pt idx="2">
                  <c:v>2</c:v>
                </c:pt>
                <c:pt idx="3">
                  <c:v>2</c:v>
                </c:pt>
                <c:pt idx="4">
                  <c:v>2</c:v>
                </c:pt>
                <c:pt idx="5">
                  <c:v>2</c:v>
                </c:pt>
              </c:numCache>
            </c:numRef>
          </c:val>
          <c:extLst>
            <c:ext xmlns:c16="http://schemas.microsoft.com/office/drawing/2014/chart" uri="{C3380CC4-5D6E-409C-BE32-E72D297353CC}">
              <c16:uniqueId val="{00000002-78E5-4BA7-B974-F032A4F1FB90}"/>
            </c:ext>
          </c:extLst>
        </c:ser>
        <c:ser>
          <c:idx val="3"/>
          <c:order val="3"/>
          <c:spPr>
            <a:pattFill prst="pct50">
              <a:fgClr>
                <a:srgbClr val="CCCCFF"/>
              </a:fgClr>
              <a:bgClr>
                <a:srgbClr val="FFFFFF"/>
              </a:bgClr>
            </a:pattFill>
            <a:ln w="12700">
              <a:solidFill>
                <a:srgbClr val="000000"/>
              </a:solidFill>
              <a:prstDash val="solid"/>
            </a:ln>
          </c:spPr>
          <c:cat>
            <c:strRef>
              <c:f>結果!$V$8:$V$13</c:f>
              <c:strCache>
                <c:ptCount val="6"/>
                <c:pt idx="0">
                  <c:v>Q2 サービス性能</c:v>
                </c:pt>
                <c:pt idx="1">
                  <c:v>Q3 室外環境
(敷地内)</c:v>
                </c:pt>
                <c:pt idx="2">
                  <c:v>LR3 
敷地外環境</c:v>
                </c:pt>
                <c:pt idx="3">
                  <c:v>LR2 資源・
マテリアル</c:v>
                </c:pt>
                <c:pt idx="4">
                  <c:v>LR1 
エネルギー</c:v>
                </c:pt>
                <c:pt idx="5">
                  <c:v>Q1　
室内環境</c:v>
                </c:pt>
              </c:strCache>
            </c:strRef>
          </c:cat>
          <c:val>
            <c:numRef>
              <c:f>結果!$Z$8:$Z$13</c:f>
              <c:numCache>
                <c:formatCode>General</c:formatCode>
                <c:ptCount val="6"/>
                <c:pt idx="0">
                  <c:v>2.9</c:v>
                </c:pt>
                <c:pt idx="1">
                  <c:v>3</c:v>
                </c:pt>
                <c:pt idx="2">
                  <c:v>0</c:v>
                </c:pt>
                <c:pt idx="3">
                  <c:v>3</c:v>
                </c:pt>
                <c:pt idx="4">
                  <c:v>3</c:v>
                </c:pt>
                <c:pt idx="5">
                  <c:v>3</c:v>
                </c:pt>
              </c:numCache>
            </c:numRef>
          </c:val>
          <c:extLst>
            <c:ext xmlns:c16="http://schemas.microsoft.com/office/drawing/2014/chart" uri="{C3380CC4-5D6E-409C-BE32-E72D297353CC}">
              <c16:uniqueId val="{00000003-78E5-4BA7-B974-F032A4F1FB90}"/>
            </c:ext>
          </c:extLst>
        </c:ser>
        <c:ser>
          <c:idx val="4"/>
          <c:order val="4"/>
          <c:spPr>
            <a:noFill/>
            <a:ln w="12700">
              <a:solidFill>
                <a:srgbClr val="FF0000"/>
              </a:solidFill>
              <a:prstDash val="solid"/>
            </a:ln>
          </c:spPr>
          <c:cat>
            <c:strRef>
              <c:f>結果!$V$8:$V$13</c:f>
              <c:strCache>
                <c:ptCount val="6"/>
                <c:pt idx="0">
                  <c:v>Q2 サービス性能</c:v>
                </c:pt>
                <c:pt idx="1">
                  <c:v>Q3 室外環境
(敷地内)</c:v>
                </c:pt>
                <c:pt idx="2">
                  <c:v>LR3 
敷地外環境</c:v>
                </c:pt>
                <c:pt idx="3">
                  <c:v>LR2 資源・
マテリアル</c:v>
                </c:pt>
                <c:pt idx="4">
                  <c:v>LR1 
エネルギー</c:v>
                </c:pt>
                <c:pt idx="5">
                  <c:v>Q1　
室内環境</c:v>
                </c:pt>
              </c:strCache>
            </c:strRef>
          </c:cat>
          <c:val>
            <c:numRef>
              <c:f>結果!$AA$8:$AA$13</c:f>
              <c:numCache>
                <c:formatCode>General</c:formatCode>
                <c:ptCount val="6"/>
                <c:pt idx="0">
                  <c:v>3</c:v>
                </c:pt>
                <c:pt idx="1">
                  <c:v>3</c:v>
                </c:pt>
                <c:pt idx="2">
                  <c:v>3</c:v>
                </c:pt>
                <c:pt idx="3">
                  <c:v>3</c:v>
                </c:pt>
                <c:pt idx="4">
                  <c:v>3</c:v>
                </c:pt>
                <c:pt idx="5">
                  <c:v>3</c:v>
                </c:pt>
              </c:numCache>
            </c:numRef>
          </c:val>
          <c:extLst>
            <c:ext xmlns:c16="http://schemas.microsoft.com/office/drawing/2014/chart" uri="{C3380CC4-5D6E-409C-BE32-E72D297353CC}">
              <c16:uniqueId val="{00000004-78E5-4BA7-B974-F032A4F1FB90}"/>
            </c:ext>
          </c:extLst>
        </c:ser>
        <c:dLbls>
          <c:showLegendKey val="0"/>
          <c:showVal val="0"/>
          <c:showCatName val="0"/>
          <c:showSerName val="0"/>
          <c:showPercent val="0"/>
          <c:showBubbleSize val="0"/>
        </c:dLbls>
        <c:axId val="521353192"/>
        <c:axId val="521357504"/>
      </c:radarChart>
      <c:catAx>
        <c:axId val="521353192"/>
        <c:scaling>
          <c:orientation val="minMax"/>
        </c:scaling>
        <c:delete val="0"/>
        <c:axPos val="b"/>
        <c:majorGridlines>
          <c:spPr>
            <a:ln w="3175">
              <a:solidFill>
                <a:srgbClr val="000000"/>
              </a:solidFill>
              <a:prstDash val="solid"/>
            </a:ln>
          </c:spPr>
        </c:majorGridlines>
        <c:numFmt formatCode="General" sourceLinked="1"/>
        <c:majorTickMark val="out"/>
        <c:minorTickMark val="none"/>
        <c:tickLblPos val="nextTo"/>
        <c:txPr>
          <a:bodyPr rot="0" vert="horz"/>
          <a:lstStyle/>
          <a:p>
            <a:pPr>
              <a:defRPr sz="900" b="1" i="0" u="none" strike="noStrike" baseline="0">
                <a:solidFill>
                  <a:srgbClr val="000000"/>
                </a:solidFill>
                <a:latin typeface="ＭＳ Ｐゴシック"/>
                <a:ea typeface="ＭＳ Ｐゴシック"/>
                <a:cs typeface="ＭＳ Ｐゴシック"/>
              </a:defRPr>
            </a:pPr>
            <a:endParaRPr lang="ja-JP"/>
          </a:p>
        </c:txPr>
        <c:crossAx val="521357504"/>
        <c:crosses val="autoZero"/>
        <c:auto val="0"/>
        <c:lblAlgn val="ctr"/>
        <c:lblOffset val="100"/>
        <c:noMultiLvlLbl val="0"/>
      </c:catAx>
      <c:valAx>
        <c:axId val="521357504"/>
        <c:scaling>
          <c:orientation val="minMax"/>
          <c:max val="5"/>
          <c:min val="1"/>
        </c:scaling>
        <c:delete val="0"/>
        <c:axPos val="l"/>
        <c:majorGridlines>
          <c:spPr>
            <a:ln w="3175">
              <a:solidFill>
                <a:srgbClr val="000000"/>
              </a:solidFill>
              <a:prstDash val="solid"/>
            </a:ln>
          </c:spPr>
        </c:majorGridlines>
        <c:numFmt formatCode="#,##0_);[Red]\(#,##0\)" sourceLinked="0"/>
        <c:majorTickMark val="cross"/>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ＭＳ Ｐゴシック"/>
                <a:ea typeface="ＭＳ Ｐゴシック"/>
                <a:cs typeface="ＭＳ Ｐゴシック"/>
              </a:defRPr>
            </a:pPr>
            <a:endParaRPr lang="ja-JP"/>
          </a:p>
        </c:txPr>
        <c:crossAx val="521353192"/>
        <c:crosses val="autoZero"/>
        <c:crossBetween val="between"/>
        <c:majorUnit val="1"/>
      </c:valAx>
      <c:spPr>
        <a:noFill/>
        <a:ln w="25400">
          <a:noFill/>
        </a:ln>
      </c:spPr>
    </c:plotArea>
    <c:plotVisOnly val="0"/>
    <c:dispBlanksAs val="gap"/>
    <c:showDLblsOverMax val="0"/>
  </c:chart>
  <c:spPr>
    <a:noFill/>
    <a:ln w="6350">
      <a:noFill/>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924969694061724E-2"/>
          <c:y val="8.4337597472695883E-2"/>
          <c:w val="0.90462555408004719"/>
          <c:h val="0.72289369262310754"/>
        </c:manualLayout>
      </c:layout>
      <c:barChart>
        <c:barDir val="col"/>
        <c:grouping val="clustered"/>
        <c:varyColors val="0"/>
        <c:ser>
          <c:idx val="0"/>
          <c:order val="0"/>
          <c:spPr>
            <a:solidFill>
              <a:srgbClr val="FFFF99"/>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9D61-4122-858B-A27262E698C7}"/>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9D61-4122-858B-A27262E698C7}"/>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9D61-4122-858B-A27262E698C7}"/>
                </c:ext>
              </c:extLst>
            </c:dLbl>
            <c:dLbl>
              <c:idx val="3"/>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3-9D61-4122-858B-A27262E698C7}"/>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結果!$R$49:$R$52</c:f>
              <c:strCache>
                <c:ptCount val="4"/>
                <c:pt idx="0">
                  <c:v>音環境</c:v>
                </c:pt>
                <c:pt idx="1">
                  <c:v>温熱環境</c:v>
                </c:pt>
                <c:pt idx="2">
                  <c:v>光・視環境</c:v>
                </c:pt>
                <c:pt idx="3">
                  <c:v>空気質環境</c:v>
                </c:pt>
              </c:strCache>
            </c:strRef>
          </c:cat>
          <c:val>
            <c:numRef>
              <c:f>結果!$S$49:$S$52</c:f>
              <c:numCache>
                <c:formatCode>0.0;_Ā</c:formatCode>
                <c:ptCount val="4"/>
                <c:pt idx="0">
                  <c:v>3</c:v>
                </c:pt>
                <c:pt idx="1">
                  <c:v>3</c:v>
                </c:pt>
                <c:pt idx="2">
                  <c:v>3</c:v>
                </c:pt>
                <c:pt idx="3">
                  <c:v>3</c:v>
                </c:pt>
              </c:numCache>
            </c:numRef>
          </c:val>
          <c:extLst>
            <c:ext xmlns:c16="http://schemas.microsoft.com/office/drawing/2014/chart" uri="{C3380CC4-5D6E-409C-BE32-E72D297353CC}">
              <c16:uniqueId val="{00000004-405E-47B9-A2D6-4659CA624BB6}"/>
            </c:ext>
          </c:extLst>
        </c:ser>
        <c:dLbls>
          <c:showLegendKey val="0"/>
          <c:showVal val="1"/>
          <c:showCatName val="0"/>
          <c:showSerName val="0"/>
          <c:showPercent val="0"/>
          <c:showBubbleSize val="0"/>
        </c:dLbls>
        <c:gapWidth val="40"/>
        <c:axId val="521355152"/>
        <c:axId val="521354368"/>
      </c:barChart>
      <c:catAx>
        <c:axId val="521355152"/>
        <c:scaling>
          <c:orientation val="minMax"/>
        </c:scaling>
        <c:delete val="0"/>
        <c:axPos val="b"/>
        <c:numFmt formatCode="General" sourceLinked="1"/>
        <c:majorTickMark val="none"/>
        <c:minorTickMark val="none"/>
        <c:tickLblPos val="none"/>
        <c:spPr>
          <a:ln w="3175">
            <a:solidFill>
              <a:srgbClr val="000000"/>
            </a:solidFill>
            <a:prstDash val="solid"/>
          </a:ln>
        </c:spPr>
        <c:crossAx val="521354368"/>
        <c:crossesAt val="0"/>
        <c:auto val="1"/>
        <c:lblAlgn val="ctr"/>
        <c:lblOffset val="100"/>
        <c:tickMarkSkip val="1"/>
        <c:noMultiLvlLbl val="0"/>
      </c:catAx>
      <c:valAx>
        <c:axId val="521354368"/>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355152"/>
        <c:crosses val="autoZero"/>
        <c:crossBetween val="between"/>
        <c:majorUnit val="1"/>
        <c:minorUnit val="0.1"/>
      </c:valAx>
      <c:spPr>
        <a:noFill/>
        <a:ln w="3175">
          <a:solidFill>
            <a:srgbClr val="000000"/>
          </a:solidFill>
          <a:prstDash val="solid"/>
        </a:ln>
      </c:spPr>
    </c:plotArea>
    <c:plotVisOnly val="0"/>
    <c:dispBlanksAs val="gap"/>
    <c:showDLblsOverMax val="0"/>
  </c:chart>
  <c:spPr>
    <a:noFill/>
    <a:ln w="635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524115755627015E-2"/>
          <c:y val="8.4337597472695883E-2"/>
          <c:w val="0.91639871382636651"/>
          <c:h val="0.72891780672830009"/>
        </c:manualLayout>
      </c:layout>
      <c:barChart>
        <c:barDir val="col"/>
        <c:grouping val="clustered"/>
        <c:varyColors val="0"/>
        <c:ser>
          <c:idx val="0"/>
          <c:order val="0"/>
          <c:spPr>
            <a:solidFill>
              <a:srgbClr val="FFFF99"/>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03FB-48C6-A544-3A748A49FDDB}"/>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03FB-48C6-A544-3A748A49FDDB}"/>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03FB-48C6-A544-3A748A49FDDB}"/>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結果!$U$49:$U$51</c:f>
              <c:strCache>
                <c:ptCount val="3"/>
                <c:pt idx="0">
                  <c:v>機能性</c:v>
                </c:pt>
                <c:pt idx="1">
                  <c:v>耐用性・信頼性</c:v>
                </c:pt>
                <c:pt idx="2">
                  <c:v>対応性･更新性</c:v>
                </c:pt>
              </c:strCache>
            </c:strRef>
          </c:cat>
          <c:val>
            <c:numRef>
              <c:f>結果!$V$49:$V$51</c:f>
              <c:numCache>
                <c:formatCode>0.0_ </c:formatCode>
                <c:ptCount val="3"/>
                <c:pt idx="0">
                  <c:v>2.9</c:v>
                </c:pt>
                <c:pt idx="1">
                  <c:v>3</c:v>
                </c:pt>
                <c:pt idx="2">
                  <c:v>3</c:v>
                </c:pt>
              </c:numCache>
            </c:numRef>
          </c:val>
          <c:extLst>
            <c:ext xmlns:c16="http://schemas.microsoft.com/office/drawing/2014/chart" uri="{C3380CC4-5D6E-409C-BE32-E72D297353CC}">
              <c16:uniqueId val="{00000003-6165-49E8-80D1-BCE8CE6D7210}"/>
            </c:ext>
          </c:extLst>
        </c:ser>
        <c:dLbls>
          <c:showLegendKey val="0"/>
          <c:showVal val="1"/>
          <c:showCatName val="0"/>
          <c:showSerName val="0"/>
          <c:showPercent val="0"/>
          <c:showBubbleSize val="0"/>
        </c:dLbls>
        <c:gapWidth val="70"/>
        <c:axId val="521357112"/>
        <c:axId val="521351624"/>
      </c:barChart>
      <c:catAx>
        <c:axId val="521357112"/>
        <c:scaling>
          <c:orientation val="minMax"/>
        </c:scaling>
        <c:delete val="0"/>
        <c:axPos val="b"/>
        <c:numFmt formatCode="General" sourceLinked="1"/>
        <c:majorTickMark val="none"/>
        <c:minorTickMark val="none"/>
        <c:tickLblPos val="none"/>
        <c:spPr>
          <a:ln w="3175">
            <a:solidFill>
              <a:srgbClr val="000000"/>
            </a:solidFill>
            <a:prstDash val="solid"/>
          </a:ln>
        </c:spPr>
        <c:crossAx val="521351624"/>
        <c:crossesAt val="0"/>
        <c:auto val="1"/>
        <c:lblAlgn val="ctr"/>
        <c:lblOffset val="100"/>
        <c:tickMarkSkip val="1"/>
        <c:noMultiLvlLbl val="0"/>
      </c:catAx>
      <c:valAx>
        <c:axId val="521351624"/>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357112"/>
        <c:crosses val="autoZero"/>
        <c:crossBetween val="between"/>
        <c:majorUnit val="1"/>
        <c:minorUnit val="0.1"/>
      </c:valAx>
      <c:spPr>
        <a:noFill/>
        <a:ln w="3175">
          <a:solidFill>
            <a:srgbClr val="000000"/>
          </a:solidFill>
          <a:prstDash val="solid"/>
        </a:ln>
      </c:spPr>
    </c:plotArea>
    <c:plotVisOnly val="0"/>
    <c:dispBlanksAs val="gap"/>
    <c:showDLblsOverMax val="0"/>
  </c:chart>
  <c:spPr>
    <a:noFill/>
    <a:ln w="6350">
      <a:noFill/>
    </a:ln>
  </c:spPr>
  <c:txPr>
    <a:bodyPr/>
    <a:lstStyle/>
    <a:p>
      <a:pPr>
        <a:defRPr sz="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524115755627015E-2"/>
          <c:y val="8.4337597472695883E-2"/>
          <c:w val="0.91639871382636651"/>
          <c:h val="0.72891780672830009"/>
        </c:manualLayout>
      </c:layout>
      <c:barChart>
        <c:barDir val="col"/>
        <c:grouping val="clustered"/>
        <c:varyColors val="0"/>
        <c:ser>
          <c:idx val="0"/>
          <c:order val="0"/>
          <c:spPr>
            <a:solidFill>
              <a:srgbClr val="FFFF99"/>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1F6E-42BF-99C9-823CDE25CDE6}"/>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1F6E-42BF-99C9-823CDE25CDE6}"/>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1F6E-42BF-99C9-823CDE25CDE6}"/>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結果!$X$49:$X$51</c:f>
              <c:strCache>
                <c:ptCount val="3"/>
                <c:pt idx="0">
                  <c:v>生物資源</c:v>
                </c:pt>
                <c:pt idx="1">
                  <c:v>まちなみ景観</c:v>
                </c:pt>
                <c:pt idx="2">
                  <c:v>地域性・文化</c:v>
                </c:pt>
              </c:strCache>
            </c:strRef>
          </c:cat>
          <c:val>
            <c:numRef>
              <c:f>結果!$Y$49:$Y$51</c:f>
              <c:numCache>
                <c:formatCode>0.0_ </c:formatCode>
                <c:ptCount val="3"/>
                <c:pt idx="0">
                  <c:v>3</c:v>
                </c:pt>
                <c:pt idx="1">
                  <c:v>3</c:v>
                </c:pt>
                <c:pt idx="2">
                  <c:v>3</c:v>
                </c:pt>
              </c:numCache>
            </c:numRef>
          </c:val>
          <c:extLst>
            <c:ext xmlns:c16="http://schemas.microsoft.com/office/drawing/2014/chart" uri="{C3380CC4-5D6E-409C-BE32-E72D297353CC}">
              <c16:uniqueId val="{00000003-F9F5-4C38-9702-E05E90AB7917}"/>
            </c:ext>
          </c:extLst>
        </c:ser>
        <c:dLbls>
          <c:showLegendKey val="0"/>
          <c:showVal val="1"/>
          <c:showCatName val="0"/>
          <c:showSerName val="0"/>
          <c:showPercent val="0"/>
          <c:showBubbleSize val="0"/>
        </c:dLbls>
        <c:gapWidth val="70"/>
        <c:axId val="521358288"/>
        <c:axId val="521355936"/>
      </c:barChart>
      <c:catAx>
        <c:axId val="521358288"/>
        <c:scaling>
          <c:orientation val="minMax"/>
        </c:scaling>
        <c:delete val="0"/>
        <c:axPos val="b"/>
        <c:numFmt formatCode="General" sourceLinked="1"/>
        <c:majorTickMark val="none"/>
        <c:minorTickMark val="none"/>
        <c:tickLblPos val="none"/>
        <c:spPr>
          <a:ln w="3175">
            <a:solidFill>
              <a:srgbClr val="000000"/>
            </a:solidFill>
            <a:prstDash val="solid"/>
          </a:ln>
        </c:spPr>
        <c:crossAx val="521355936"/>
        <c:crossesAt val="0"/>
        <c:auto val="1"/>
        <c:lblAlgn val="ctr"/>
        <c:lblOffset val="100"/>
        <c:tickMarkSkip val="1"/>
        <c:noMultiLvlLbl val="0"/>
      </c:catAx>
      <c:valAx>
        <c:axId val="521355936"/>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358288"/>
        <c:crosses val="autoZero"/>
        <c:crossBetween val="between"/>
        <c:majorUnit val="1"/>
        <c:minorUnit val="0.1"/>
      </c:valAx>
      <c:spPr>
        <a:noFill/>
        <a:ln w="3175">
          <a:solidFill>
            <a:srgbClr val="000000"/>
          </a:solidFill>
          <a:prstDash val="solid"/>
        </a:ln>
      </c:spPr>
    </c:plotArea>
    <c:plotVisOnly val="0"/>
    <c:dispBlanksAs val="gap"/>
    <c:showDLblsOverMax val="0"/>
  </c:chart>
  <c:spPr>
    <a:noFill/>
    <a:ln w="6350">
      <a:noFill/>
    </a:ln>
  </c:spPr>
  <c:txPr>
    <a:bodyPr/>
    <a:lstStyle/>
    <a:p>
      <a:pPr>
        <a:defRPr sz="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924969694061724E-2"/>
          <c:y val="8.4337597472695883E-2"/>
          <c:w val="0.90462555408004719"/>
          <c:h val="0.72289369262310754"/>
        </c:manualLayout>
      </c:layout>
      <c:barChart>
        <c:barDir val="col"/>
        <c:grouping val="clustered"/>
        <c:varyColors val="0"/>
        <c:ser>
          <c:idx val="0"/>
          <c:order val="0"/>
          <c:spPr>
            <a:solidFill>
              <a:srgbClr val="99CC00"/>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9435-4E1C-B20D-94FE8163523A}"/>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9435-4E1C-B20D-94FE8163523A}"/>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9435-4E1C-B20D-94FE8163523A}"/>
                </c:ext>
              </c:extLst>
            </c:dLbl>
            <c:dLbl>
              <c:idx val="3"/>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3-9435-4E1C-B20D-94FE8163523A}"/>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結果!$R$60:$R$63</c:f>
              <c:strCache>
                <c:ptCount val="4"/>
                <c:pt idx="0">
                  <c:v>熱負荷抑制</c:v>
                </c:pt>
                <c:pt idx="1">
                  <c:v>自然ｴﾈﾙｷﾞｰ</c:v>
                </c:pt>
                <c:pt idx="2">
                  <c:v>設備の効率的利用</c:v>
                </c:pt>
                <c:pt idx="3">
                  <c:v>運用ﾏﾈｼﾞﾒﾝﾄ</c:v>
                </c:pt>
              </c:strCache>
            </c:strRef>
          </c:cat>
          <c:val>
            <c:numRef>
              <c:f>結果!$S$60:$S$63</c:f>
              <c:numCache>
                <c:formatCode>#,##0.0;[Red]\-#,##0.0</c:formatCode>
                <c:ptCount val="4"/>
                <c:pt idx="0">
                  <c:v>3</c:v>
                </c:pt>
                <c:pt idx="1">
                  <c:v>3</c:v>
                </c:pt>
                <c:pt idx="2">
                  <c:v>3</c:v>
                </c:pt>
                <c:pt idx="3">
                  <c:v>3</c:v>
                </c:pt>
              </c:numCache>
            </c:numRef>
          </c:val>
          <c:extLst>
            <c:ext xmlns:c16="http://schemas.microsoft.com/office/drawing/2014/chart" uri="{C3380CC4-5D6E-409C-BE32-E72D297353CC}">
              <c16:uniqueId val="{00000004-78D1-4A53-ADE6-7CBB0B3152F8}"/>
            </c:ext>
          </c:extLst>
        </c:ser>
        <c:dLbls>
          <c:showLegendKey val="0"/>
          <c:showVal val="1"/>
          <c:showCatName val="0"/>
          <c:showSerName val="0"/>
          <c:showPercent val="0"/>
          <c:showBubbleSize val="0"/>
        </c:dLbls>
        <c:gapWidth val="40"/>
        <c:axId val="521354760"/>
        <c:axId val="521356720"/>
      </c:barChart>
      <c:catAx>
        <c:axId val="521354760"/>
        <c:scaling>
          <c:orientation val="minMax"/>
        </c:scaling>
        <c:delete val="0"/>
        <c:axPos val="b"/>
        <c:numFmt formatCode="General" sourceLinked="1"/>
        <c:majorTickMark val="none"/>
        <c:minorTickMark val="none"/>
        <c:tickLblPos val="none"/>
        <c:spPr>
          <a:ln w="3175">
            <a:solidFill>
              <a:srgbClr val="000000"/>
            </a:solidFill>
            <a:prstDash val="solid"/>
          </a:ln>
        </c:spPr>
        <c:crossAx val="521356720"/>
        <c:crossesAt val="0"/>
        <c:auto val="1"/>
        <c:lblAlgn val="ctr"/>
        <c:lblOffset val="100"/>
        <c:tickMarkSkip val="1"/>
        <c:noMultiLvlLbl val="0"/>
      </c:catAx>
      <c:valAx>
        <c:axId val="521356720"/>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354760"/>
        <c:crosses val="autoZero"/>
        <c:crossBetween val="between"/>
        <c:majorUnit val="1"/>
        <c:minorUnit val="0.1"/>
      </c:valAx>
      <c:spPr>
        <a:noFill/>
        <a:ln w="3175">
          <a:solidFill>
            <a:srgbClr val="000000"/>
          </a:solidFill>
          <a:prstDash val="solid"/>
        </a:ln>
      </c:spPr>
    </c:plotArea>
    <c:plotVisOnly val="0"/>
    <c:dispBlanksAs val="gap"/>
    <c:showDLblsOverMax val="0"/>
  </c:chart>
  <c:spPr>
    <a:noFill/>
    <a:ln w="635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524115755627015E-2"/>
          <c:y val="8.4337597472695883E-2"/>
          <c:w val="0.91639871382636651"/>
          <c:h val="0.72891780672830009"/>
        </c:manualLayout>
      </c:layout>
      <c:barChart>
        <c:barDir val="col"/>
        <c:grouping val="clustered"/>
        <c:varyColors val="0"/>
        <c:ser>
          <c:idx val="0"/>
          <c:order val="0"/>
          <c:spPr>
            <a:solidFill>
              <a:srgbClr val="99CC00"/>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E9EF-407F-A81E-77AF31C42ECA}"/>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E9EF-407F-A81E-77AF31C42ECA}"/>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E9EF-407F-A81E-77AF31C42ECA}"/>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結果!$U$60:$U$62</c:f>
              <c:strCache>
                <c:ptCount val="3"/>
                <c:pt idx="0">
                  <c:v>水資源</c:v>
                </c:pt>
                <c:pt idx="1">
                  <c:v>非再生性材料の削減</c:v>
                </c:pt>
                <c:pt idx="2">
                  <c:v>汚染物質回避</c:v>
                </c:pt>
              </c:strCache>
            </c:strRef>
          </c:cat>
          <c:val>
            <c:numRef>
              <c:f>結果!$V$60:$V$62</c:f>
              <c:numCache>
                <c:formatCode>0.0_ </c:formatCode>
                <c:ptCount val="3"/>
                <c:pt idx="0">
                  <c:v>3</c:v>
                </c:pt>
                <c:pt idx="1">
                  <c:v>3</c:v>
                </c:pt>
                <c:pt idx="2">
                  <c:v>3</c:v>
                </c:pt>
              </c:numCache>
            </c:numRef>
          </c:val>
          <c:extLst>
            <c:ext xmlns:c16="http://schemas.microsoft.com/office/drawing/2014/chart" uri="{C3380CC4-5D6E-409C-BE32-E72D297353CC}">
              <c16:uniqueId val="{00000003-947B-48B2-A3E8-F566772275B2}"/>
            </c:ext>
          </c:extLst>
        </c:ser>
        <c:dLbls>
          <c:showLegendKey val="0"/>
          <c:showVal val="1"/>
          <c:showCatName val="0"/>
          <c:showSerName val="0"/>
          <c:showPercent val="0"/>
          <c:showBubbleSize val="0"/>
        </c:dLbls>
        <c:gapWidth val="70"/>
        <c:axId val="521351232"/>
        <c:axId val="521353976"/>
      </c:barChart>
      <c:catAx>
        <c:axId val="521351232"/>
        <c:scaling>
          <c:orientation val="minMax"/>
        </c:scaling>
        <c:delete val="0"/>
        <c:axPos val="b"/>
        <c:numFmt formatCode="General" sourceLinked="1"/>
        <c:majorTickMark val="none"/>
        <c:minorTickMark val="none"/>
        <c:tickLblPos val="none"/>
        <c:spPr>
          <a:ln w="3175">
            <a:solidFill>
              <a:srgbClr val="000000"/>
            </a:solidFill>
            <a:prstDash val="solid"/>
          </a:ln>
        </c:spPr>
        <c:crossAx val="521353976"/>
        <c:crossesAt val="0"/>
        <c:auto val="1"/>
        <c:lblAlgn val="ctr"/>
        <c:lblOffset val="100"/>
        <c:tickMarkSkip val="1"/>
        <c:noMultiLvlLbl val="0"/>
      </c:catAx>
      <c:valAx>
        <c:axId val="521353976"/>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351232"/>
        <c:crosses val="autoZero"/>
        <c:crossBetween val="between"/>
        <c:majorUnit val="1"/>
        <c:minorUnit val="0.1"/>
      </c:valAx>
      <c:spPr>
        <a:noFill/>
        <a:ln w="3175">
          <a:solidFill>
            <a:srgbClr val="000000"/>
          </a:solidFill>
          <a:prstDash val="solid"/>
        </a:ln>
      </c:spPr>
    </c:plotArea>
    <c:plotVisOnly val="0"/>
    <c:dispBlanksAs val="gap"/>
    <c:showDLblsOverMax val="0"/>
  </c:chart>
  <c:spPr>
    <a:noFill/>
    <a:ln w="6350">
      <a:noFill/>
    </a:ln>
  </c:spPr>
  <c:txPr>
    <a:bodyPr/>
    <a:lstStyle/>
    <a:p>
      <a:pPr>
        <a:defRPr sz="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795221843003413"/>
          <c:y val="9.8425196850393706E-2"/>
          <c:w val="0.69965870307167233"/>
          <c:h val="0.70078740157480313"/>
        </c:manualLayout>
      </c:layout>
      <c:areaChart>
        <c:grouping val="standard"/>
        <c:varyColors val="0"/>
        <c:ser>
          <c:idx val="4"/>
          <c:order val="3"/>
          <c:tx>
            <c:strRef>
              <c:f>結果_IS!$S$30</c:f>
              <c:strCache>
                <c:ptCount val="1"/>
                <c:pt idx="0">
                  <c:v>S</c:v>
                </c:pt>
              </c:strCache>
            </c:strRef>
          </c:tx>
          <c:spPr>
            <a:pattFill prst="pct70">
              <a:fgClr>
                <a:srgbClr val="339966"/>
              </a:fgClr>
              <a:bgClr>
                <a:srgbClr val="FFFFFF"/>
              </a:bgClr>
            </a:pattFill>
            <a:ln w="12700">
              <a:solidFill>
                <a:srgbClr val="000000"/>
              </a:solidFill>
              <a:prstDash val="solid"/>
            </a:ln>
          </c:spPr>
          <c:cat>
            <c:numRef>
              <c:f>結果_IS!$T$24:$U$24</c:f>
              <c:numCache>
                <c:formatCode>General</c:formatCode>
                <c:ptCount val="2"/>
                <c:pt idx="0" formatCode="#,##0_);[Red]\(#,##0\)">
                  <c:v>0</c:v>
                </c:pt>
                <c:pt idx="1">
                  <c:v>0</c:v>
                </c:pt>
              </c:numCache>
            </c:numRef>
          </c:cat>
          <c:val>
            <c:numRef>
              <c:f>結果_IS!$T$30:$Z$30</c:f>
              <c:numCache>
                <c:formatCode>General</c:formatCode>
                <c:ptCount val="7"/>
                <c:pt idx="0">
                  <c:v>100</c:v>
                </c:pt>
                <c:pt idx="1">
                  <c:v>100</c:v>
                </c:pt>
                <c:pt idx="2">
                  <c:v>100</c:v>
                </c:pt>
                <c:pt idx="3">
                  <c:v>100</c:v>
                </c:pt>
                <c:pt idx="4">
                  <c:v>100</c:v>
                </c:pt>
                <c:pt idx="5">
                  <c:v>100</c:v>
                </c:pt>
                <c:pt idx="6">
                  <c:v>100</c:v>
                </c:pt>
              </c:numCache>
            </c:numRef>
          </c:val>
          <c:extLst>
            <c:ext xmlns:c16="http://schemas.microsoft.com/office/drawing/2014/chart" uri="{C3380CC4-5D6E-409C-BE32-E72D297353CC}">
              <c16:uniqueId val="{00000000-D1C4-486B-A2FD-9827B3A90D86}"/>
            </c:ext>
          </c:extLst>
        </c:ser>
        <c:ser>
          <c:idx val="3"/>
          <c:order val="4"/>
          <c:tx>
            <c:strRef>
              <c:f>結果_IS!$S$31</c:f>
              <c:strCache>
                <c:ptCount val="1"/>
                <c:pt idx="0">
                  <c:v>A</c:v>
                </c:pt>
              </c:strCache>
            </c:strRef>
          </c:tx>
          <c:spPr>
            <a:pattFill prst="pct90">
              <a:fgClr>
                <a:srgbClr val="CCFFCC"/>
              </a:fgClr>
              <a:bgClr>
                <a:srgbClr val="FFFFFF"/>
              </a:bgClr>
            </a:pattFill>
            <a:ln w="12700">
              <a:solidFill>
                <a:srgbClr val="000000"/>
              </a:solidFill>
              <a:prstDash val="solid"/>
            </a:ln>
          </c:spPr>
          <c:cat>
            <c:numRef>
              <c:f>結果_IS!$T$24:$U$24</c:f>
              <c:numCache>
                <c:formatCode>General</c:formatCode>
                <c:ptCount val="2"/>
                <c:pt idx="0" formatCode="#,##0_);[Red]\(#,##0\)">
                  <c:v>0</c:v>
                </c:pt>
                <c:pt idx="1">
                  <c:v>0</c:v>
                </c:pt>
              </c:numCache>
            </c:numRef>
          </c:cat>
          <c:val>
            <c:numRef>
              <c:f>結果_IS!$T$31:$Z$31</c:f>
              <c:numCache>
                <c:formatCode>General</c:formatCode>
                <c:ptCount val="7"/>
                <c:pt idx="0">
                  <c:v>50</c:v>
                </c:pt>
                <c:pt idx="1">
                  <c:v>50</c:v>
                </c:pt>
                <c:pt idx="2">
                  <c:v>100</c:v>
                </c:pt>
                <c:pt idx="3">
                  <c:v>100</c:v>
                </c:pt>
                <c:pt idx="4">
                  <c:v>100</c:v>
                </c:pt>
                <c:pt idx="5">
                  <c:v>100</c:v>
                </c:pt>
                <c:pt idx="6">
                  <c:v>100</c:v>
                </c:pt>
              </c:numCache>
            </c:numRef>
          </c:val>
          <c:extLst>
            <c:ext xmlns:c16="http://schemas.microsoft.com/office/drawing/2014/chart" uri="{C3380CC4-5D6E-409C-BE32-E72D297353CC}">
              <c16:uniqueId val="{00000001-D1C4-486B-A2FD-9827B3A90D86}"/>
            </c:ext>
          </c:extLst>
        </c:ser>
        <c:ser>
          <c:idx val="2"/>
          <c:order val="5"/>
          <c:tx>
            <c:strRef>
              <c:f>結果_IS!$S$32</c:f>
              <c:strCache>
                <c:ptCount val="1"/>
                <c:pt idx="0">
                  <c:v>B+</c:v>
                </c:pt>
              </c:strCache>
            </c:strRef>
          </c:tx>
          <c:spPr>
            <a:solidFill>
              <a:srgbClr val="FFFFCC"/>
            </a:solidFill>
            <a:ln w="12700">
              <a:solidFill>
                <a:srgbClr val="000000"/>
              </a:solidFill>
              <a:prstDash val="solid"/>
            </a:ln>
          </c:spPr>
          <c:cat>
            <c:numRef>
              <c:f>結果_IS!$T$24:$U$24</c:f>
              <c:numCache>
                <c:formatCode>General</c:formatCode>
                <c:ptCount val="2"/>
                <c:pt idx="0" formatCode="#,##0_);[Red]\(#,##0\)">
                  <c:v>0</c:v>
                </c:pt>
                <c:pt idx="1">
                  <c:v>0</c:v>
                </c:pt>
              </c:numCache>
            </c:numRef>
          </c:cat>
          <c:val>
            <c:numRef>
              <c:f>結果_IS!$T$32:$Z$32</c:f>
              <c:numCache>
                <c:formatCode>General</c:formatCode>
                <c:ptCount val="7"/>
                <c:pt idx="0">
                  <c:v>0</c:v>
                </c:pt>
                <c:pt idx="1">
                  <c:v>25</c:v>
                </c:pt>
                <c:pt idx="2">
                  <c:v>50</c:v>
                </c:pt>
                <c:pt idx="3">
                  <c:v>75</c:v>
                </c:pt>
                <c:pt idx="4">
                  <c:v>100</c:v>
                </c:pt>
                <c:pt idx="5">
                  <c:v>100</c:v>
                </c:pt>
                <c:pt idx="6">
                  <c:v>100</c:v>
                </c:pt>
              </c:numCache>
            </c:numRef>
          </c:val>
          <c:extLst>
            <c:ext xmlns:c16="http://schemas.microsoft.com/office/drawing/2014/chart" uri="{C3380CC4-5D6E-409C-BE32-E72D297353CC}">
              <c16:uniqueId val="{00000002-D1C4-486B-A2FD-9827B3A90D86}"/>
            </c:ext>
          </c:extLst>
        </c:ser>
        <c:ser>
          <c:idx val="1"/>
          <c:order val="6"/>
          <c:tx>
            <c:strRef>
              <c:f>結果_IS!$S$34</c:f>
              <c:strCache>
                <c:ptCount val="1"/>
                <c:pt idx="0">
                  <c:v>B-</c:v>
                </c:pt>
              </c:strCache>
            </c:strRef>
          </c:tx>
          <c:spPr>
            <a:solidFill>
              <a:srgbClr val="FFFFFF"/>
            </a:solidFill>
            <a:ln w="12700">
              <a:solidFill>
                <a:srgbClr val="000000"/>
              </a:solidFill>
              <a:prstDash val="solid"/>
            </a:ln>
          </c:spPr>
          <c:cat>
            <c:numRef>
              <c:f>結果_IS!$T$24:$U$24</c:f>
              <c:numCache>
                <c:formatCode>General</c:formatCode>
                <c:ptCount val="2"/>
                <c:pt idx="0" formatCode="#,##0_);[Red]\(#,##0\)">
                  <c:v>0</c:v>
                </c:pt>
                <c:pt idx="1">
                  <c:v>0</c:v>
                </c:pt>
              </c:numCache>
            </c:numRef>
          </c:cat>
          <c:val>
            <c:numRef>
              <c:f>結果_IS!$T$34:$Z$34</c:f>
              <c:numCache>
                <c:formatCode>General</c:formatCode>
                <c:ptCount val="7"/>
                <c:pt idx="0">
                  <c:v>0</c:v>
                </c:pt>
                <c:pt idx="1">
                  <c:v>8.3333333333333339</c:v>
                </c:pt>
                <c:pt idx="2">
                  <c:v>16.666666666666668</c:v>
                </c:pt>
                <c:pt idx="3">
                  <c:v>25</c:v>
                </c:pt>
                <c:pt idx="4">
                  <c:v>33.333333333333336</c:v>
                </c:pt>
                <c:pt idx="5">
                  <c:v>41.666666666666671</c:v>
                </c:pt>
                <c:pt idx="6">
                  <c:v>50</c:v>
                </c:pt>
              </c:numCache>
            </c:numRef>
          </c:val>
          <c:extLst>
            <c:ext xmlns:c16="http://schemas.microsoft.com/office/drawing/2014/chart" uri="{C3380CC4-5D6E-409C-BE32-E72D297353CC}">
              <c16:uniqueId val="{00000003-D1C4-486B-A2FD-9827B3A90D86}"/>
            </c:ext>
          </c:extLst>
        </c:ser>
        <c:ser>
          <c:idx val="0"/>
          <c:order val="7"/>
          <c:tx>
            <c:strRef>
              <c:f>結果_IS!$S$33</c:f>
              <c:strCache>
                <c:ptCount val="1"/>
                <c:pt idx="0">
                  <c:v>B</c:v>
                </c:pt>
              </c:strCache>
            </c:strRef>
          </c:tx>
          <c:spPr>
            <a:noFill/>
            <a:ln w="12700">
              <a:solidFill>
                <a:srgbClr val="000000"/>
              </a:solidFill>
              <a:prstDash val="solid"/>
            </a:ln>
          </c:spPr>
          <c:cat>
            <c:numRef>
              <c:f>結果_IS!$T$24:$U$24</c:f>
              <c:numCache>
                <c:formatCode>General</c:formatCode>
                <c:ptCount val="2"/>
                <c:pt idx="0" formatCode="#,##0_);[Red]\(#,##0\)">
                  <c:v>0</c:v>
                </c:pt>
                <c:pt idx="1">
                  <c:v>0</c:v>
                </c:pt>
              </c:numCache>
            </c:numRef>
          </c:cat>
          <c:val>
            <c:numRef>
              <c:f>結果_IS!$T$33:$Z$33</c:f>
              <c:numCache>
                <c:formatCode>General</c:formatCode>
                <c:ptCount val="7"/>
                <c:pt idx="0">
                  <c:v>0</c:v>
                </c:pt>
                <c:pt idx="1">
                  <c:v>16.666666666666668</c:v>
                </c:pt>
                <c:pt idx="2">
                  <c:v>33.333333333333336</c:v>
                </c:pt>
                <c:pt idx="3">
                  <c:v>50</c:v>
                </c:pt>
                <c:pt idx="4">
                  <c:v>66.666666666666671</c:v>
                </c:pt>
                <c:pt idx="5">
                  <c:v>83.333333333333343</c:v>
                </c:pt>
                <c:pt idx="6">
                  <c:v>100</c:v>
                </c:pt>
              </c:numCache>
            </c:numRef>
          </c:val>
          <c:extLst>
            <c:ext xmlns:c16="http://schemas.microsoft.com/office/drawing/2014/chart" uri="{C3380CC4-5D6E-409C-BE32-E72D297353CC}">
              <c16:uniqueId val="{00000004-D1C4-486B-A2FD-9827B3A90D86}"/>
            </c:ext>
          </c:extLst>
        </c:ser>
        <c:dLbls>
          <c:showLegendKey val="0"/>
          <c:showVal val="0"/>
          <c:showCatName val="0"/>
          <c:showSerName val="0"/>
          <c:showPercent val="0"/>
          <c:showBubbleSize val="0"/>
        </c:dLbls>
        <c:axId val="164109768"/>
        <c:axId val="164112512"/>
      </c:areaChart>
      <c:scatterChart>
        <c:scatterStyle val="lineMarker"/>
        <c:varyColors val="0"/>
        <c:ser>
          <c:idx val="7"/>
          <c:order val="0"/>
          <c:spPr>
            <a:ln w="25400">
              <a:solidFill>
                <a:srgbClr val="008000"/>
              </a:solidFill>
              <a:prstDash val="sysDash"/>
            </a:ln>
          </c:spPr>
          <c:marker>
            <c:symbol val="none"/>
          </c:marker>
          <c:dPt>
            <c:idx val="1"/>
            <c:bubble3D val="0"/>
            <c:spPr>
              <a:ln w="19050">
                <a:noFill/>
              </a:ln>
            </c:spPr>
            <c:extLst>
              <c:ext xmlns:c16="http://schemas.microsoft.com/office/drawing/2014/chart" uri="{C3380CC4-5D6E-409C-BE32-E72D297353CC}">
                <c16:uniqueId val="{00000006-D1C4-486B-A2FD-9827B3A90D86}"/>
              </c:ext>
            </c:extLst>
          </c:dPt>
          <c:dLbls>
            <c:dLbl>
              <c:idx val="2"/>
              <c:layout>
                <c:manualLayout>
                  <c:x val="-2.3856744869349086E-3"/>
                  <c:y val="0.27926509186351711"/>
                </c:manualLayout>
              </c:layout>
              <c:spPr>
                <a:noFill/>
                <a:ln w="25400">
                  <a:noFill/>
                </a:ln>
              </c:spPr>
              <c:txPr>
                <a:bodyPr/>
                <a:lstStyle/>
                <a:p>
                  <a:pPr>
                    <a:defRPr sz="800" b="1" i="0" u="none" strike="noStrike" baseline="0">
                      <a:solidFill>
                        <a:srgbClr val="FF0000"/>
                      </a:solidFill>
                      <a:latin typeface="ＭＳ Ｐゴシック"/>
                      <a:ea typeface="ＭＳ Ｐゴシック"/>
                      <a:cs typeface="ＭＳ Ｐゴシック"/>
                    </a:defRPr>
                  </a:pPr>
                  <a:endParaRPr lang="ja-JP"/>
                </a:p>
              </c:tx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1C4-486B-A2FD-9827B3A90D86}"/>
                </c:ext>
              </c:extLst>
            </c:dLbl>
            <c:dLbl>
              <c:idx val="3"/>
              <c:layout>
                <c:manualLayout>
                  <c:x val="-5.2504187829763476E-3"/>
                  <c:y val="-3.9632545931758544E-2"/>
                </c:manualLayout>
              </c:layout>
              <c:spPr>
                <a:noFill/>
                <a:ln w="25400">
                  <a:noFill/>
                </a:ln>
              </c:spPr>
              <c:txPr>
                <a:bodyPr/>
                <a:lstStyle/>
                <a:p>
                  <a:pPr>
                    <a:defRPr sz="800" b="1" i="0" u="none" strike="noStrike" baseline="0">
                      <a:solidFill>
                        <a:srgbClr val="FF0000"/>
                      </a:solidFill>
                      <a:latin typeface="ＭＳ Ｐゴシック"/>
                      <a:ea typeface="ＭＳ Ｐゴシック"/>
                      <a:cs typeface="ＭＳ Ｐゴシック"/>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1C4-486B-A2FD-9827B3A90D8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Ref>
              <c:f>結果_IS!$R$26:$U$26</c:f>
              <c:numCache>
                <c:formatCode>General</c:formatCode>
                <c:ptCount val="4"/>
                <c:pt idx="0">
                  <c:v>0</c:v>
                </c:pt>
                <c:pt idx="1">
                  <c:v>0</c:v>
                </c:pt>
                <c:pt idx="2" formatCode="#,##0_);[Red]\(#,##0\)">
                  <c:v>0</c:v>
                </c:pt>
                <c:pt idx="3">
                  <c:v>0.1</c:v>
                </c:pt>
              </c:numCache>
            </c:numRef>
          </c:xVal>
          <c:yVal>
            <c:numRef>
              <c:f>結果_IS!$R$27:$U$27</c:f>
              <c:numCache>
                <c:formatCode>General</c:formatCode>
                <c:ptCount val="4"/>
                <c:pt idx="0">
                  <c:v>0</c:v>
                </c:pt>
                <c:pt idx="1">
                  <c:v>0</c:v>
                </c:pt>
                <c:pt idx="2">
                  <c:v>49.7</c:v>
                </c:pt>
                <c:pt idx="3" formatCode="#,##0_);[Red]\(#,##0\)">
                  <c:v>49.7</c:v>
                </c:pt>
              </c:numCache>
            </c:numRef>
          </c:yVal>
          <c:smooth val="0"/>
          <c:extLst>
            <c:ext xmlns:c16="http://schemas.microsoft.com/office/drawing/2014/chart" uri="{C3380CC4-5D6E-409C-BE32-E72D297353CC}">
              <c16:uniqueId val="{00000009-D1C4-486B-A2FD-9827B3A90D86}"/>
            </c:ext>
          </c:extLst>
        </c:ser>
        <c:ser>
          <c:idx val="8"/>
          <c:order val="1"/>
          <c:spPr>
            <a:ln w="19050">
              <a:noFill/>
            </a:ln>
          </c:spPr>
          <c:marker>
            <c:symbol val="none"/>
          </c:marker>
          <c:dPt>
            <c:idx val="1"/>
            <c:marker>
              <c:symbol val="circle"/>
              <c:size val="6"/>
              <c:spPr>
                <a:solidFill>
                  <a:srgbClr val="008000"/>
                </a:solidFill>
                <a:ln>
                  <a:solidFill>
                    <a:srgbClr val="000000"/>
                  </a:solidFill>
                  <a:prstDash val="solid"/>
                </a:ln>
              </c:spPr>
            </c:marker>
            <c:bubble3D val="0"/>
            <c:extLst>
              <c:ext xmlns:c16="http://schemas.microsoft.com/office/drawing/2014/chart" uri="{C3380CC4-5D6E-409C-BE32-E72D297353CC}">
                <c16:uniqueId val="{0000000A-D1C4-486B-A2FD-9827B3A90D86}"/>
              </c:ext>
            </c:extLst>
          </c:dPt>
          <c:dPt>
            <c:idx val="3"/>
            <c:marker>
              <c:symbol val="circle"/>
              <c:size val="6"/>
              <c:spPr>
                <a:solidFill>
                  <a:srgbClr val="008000"/>
                </a:solidFill>
                <a:ln>
                  <a:solidFill>
                    <a:srgbClr val="000000"/>
                  </a:solidFill>
                  <a:prstDash val="solid"/>
                </a:ln>
              </c:spPr>
            </c:marker>
            <c:bubble3D val="0"/>
            <c:extLst>
              <c:ext xmlns:c16="http://schemas.microsoft.com/office/drawing/2014/chart" uri="{C3380CC4-5D6E-409C-BE32-E72D297353CC}">
                <c16:uniqueId val="{0000000B-D1C4-486B-A2FD-9827B3A90D86}"/>
              </c:ext>
            </c:extLst>
          </c:dPt>
          <c:xVal>
            <c:numRef>
              <c:f>結果_IS!$R$26:$U$26</c:f>
              <c:numCache>
                <c:formatCode>General</c:formatCode>
                <c:ptCount val="4"/>
                <c:pt idx="0">
                  <c:v>0</c:v>
                </c:pt>
                <c:pt idx="1">
                  <c:v>0</c:v>
                </c:pt>
                <c:pt idx="2" formatCode="#,##0_);[Red]\(#,##0\)">
                  <c:v>0</c:v>
                </c:pt>
                <c:pt idx="3">
                  <c:v>0.1</c:v>
                </c:pt>
              </c:numCache>
            </c:numRef>
          </c:xVal>
          <c:yVal>
            <c:numRef>
              <c:f>結果_IS!$R$27:$U$27</c:f>
              <c:numCache>
                <c:formatCode>General</c:formatCode>
                <c:ptCount val="4"/>
                <c:pt idx="0">
                  <c:v>0</c:v>
                </c:pt>
                <c:pt idx="1">
                  <c:v>0</c:v>
                </c:pt>
                <c:pt idx="2">
                  <c:v>49.7</c:v>
                </c:pt>
                <c:pt idx="3" formatCode="#,##0_);[Red]\(#,##0\)">
                  <c:v>49.7</c:v>
                </c:pt>
              </c:numCache>
            </c:numRef>
          </c:yVal>
          <c:smooth val="0"/>
          <c:extLst>
            <c:ext xmlns:c16="http://schemas.microsoft.com/office/drawing/2014/chart" uri="{C3380CC4-5D6E-409C-BE32-E72D297353CC}">
              <c16:uniqueId val="{0000000C-D1C4-486B-A2FD-9827B3A90D86}"/>
            </c:ext>
          </c:extLst>
        </c:ser>
        <c:ser>
          <c:idx val="5"/>
          <c:order val="2"/>
          <c:tx>
            <c:strRef>
              <c:f>結果_IS!$S$12</c:f>
              <c:strCache>
                <c:ptCount val="1"/>
                <c:pt idx="0">
                  <c:v>#VALUE!</c:v>
                </c:pt>
              </c:strCache>
            </c:strRef>
          </c:tx>
          <c:spPr>
            <a:ln w="12700">
              <a:solidFill>
                <a:srgbClr val="800000"/>
              </a:solidFill>
              <a:prstDash val="solid"/>
            </a:ln>
          </c:spPr>
          <c:marker>
            <c:symbol val="none"/>
          </c:marker>
          <c:dPt>
            <c:idx val="0"/>
            <c:marker>
              <c:symbol val="circle"/>
              <c:size val="20"/>
              <c:spPr>
                <a:noFill/>
                <a:ln>
                  <a:solidFill>
                    <a:srgbClr val="FF0000"/>
                  </a:solidFill>
                  <a:prstDash val="solid"/>
                </a:ln>
              </c:spPr>
            </c:marker>
            <c:bubble3D val="0"/>
            <c:extLst>
              <c:ext xmlns:c16="http://schemas.microsoft.com/office/drawing/2014/chart" uri="{C3380CC4-5D6E-409C-BE32-E72D297353CC}">
                <c16:uniqueId val="{0000000D-D1C4-486B-A2FD-9827B3A90D86}"/>
              </c:ext>
            </c:extLst>
          </c:dPt>
          <c:dPt>
            <c:idx val="1"/>
            <c:marker>
              <c:symbol val="triangle"/>
              <c:size val="20"/>
              <c:spPr>
                <a:solidFill>
                  <a:srgbClr val="339966"/>
                </a:solidFill>
                <a:ln>
                  <a:solidFill>
                    <a:srgbClr val="000000"/>
                  </a:solidFill>
                  <a:prstDash val="solid"/>
                </a:ln>
              </c:spPr>
            </c:marker>
            <c:bubble3D val="0"/>
            <c:spPr>
              <a:ln w="19050">
                <a:noFill/>
              </a:ln>
            </c:spPr>
            <c:extLst>
              <c:ext xmlns:c16="http://schemas.microsoft.com/office/drawing/2014/chart" uri="{C3380CC4-5D6E-409C-BE32-E72D297353CC}">
                <c16:uniqueId val="{0000000F-D1C4-486B-A2FD-9827B3A90D86}"/>
              </c:ext>
            </c:extLst>
          </c:dPt>
          <c:dPt>
            <c:idx val="2"/>
            <c:bubble3D val="0"/>
            <c:spPr>
              <a:ln w="38100">
                <a:solidFill>
                  <a:srgbClr val="008000"/>
                </a:solidFill>
                <a:prstDash val="solid"/>
              </a:ln>
            </c:spPr>
            <c:extLst>
              <c:ext xmlns:c16="http://schemas.microsoft.com/office/drawing/2014/chart" uri="{C3380CC4-5D6E-409C-BE32-E72D297353CC}">
                <c16:uniqueId val="{00000011-D1C4-486B-A2FD-9827B3A90D86}"/>
              </c:ext>
            </c:extLst>
          </c:dPt>
          <c:dLbls>
            <c:dLbl>
              <c:idx val="1"/>
              <c:layout>
                <c:manualLayout>
                  <c:x val="-1.603755162004069E-2"/>
                  <c:y val="-5.0183727034120738E-2"/>
                </c:manualLayout>
              </c:layout>
              <c:spPr>
                <a:noFill/>
                <a:ln w="25400">
                  <a:noFill/>
                </a:ln>
              </c:spPr>
              <c:txPr>
                <a:bodyPr/>
                <a:lstStyle/>
                <a:p>
                  <a:pPr>
                    <a:defRPr sz="1875" b="1" i="0" u="none" strike="noStrike" baseline="0">
                      <a:solidFill>
                        <a:srgbClr val="FF0000"/>
                      </a:solidFill>
                      <a:latin typeface="ＭＳ Ｐゴシック"/>
                      <a:ea typeface="ＭＳ Ｐゴシック"/>
                      <a:cs typeface="ＭＳ Ｐゴシック"/>
                    </a:defRPr>
                  </a:pPr>
                  <a:endParaRPr lang="ja-JP"/>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D1C4-486B-A2FD-9827B3A90D8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xVal>
            <c:numRef>
              <c:f>結果_IS!$S$24:$U$24</c:f>
              <c:numCache>
                <c:formatCode>#,##0_);[Red]\(#,##0\)</c:formatCode>
                <c:ptCount val="3"/>
                <c:pt idx="1">
                  <c:v>0</c:v>
                </c:pt>
                <c:pt idx="2" formatCode="General">
                  <c:v>0</c:v>
                </c:pt>
              </c:numCache>
            </c:numRef>
          </c:xVal>
          <c:yVal>
            <c:numRef>
              <c:f>結果_IS!$S$25:$U$25</c:f>
              <c:numCache>
                <c:formatCode>#,##0_);[Red]\(#,##0\)</c:formatCode>
                <c:ptCount val="3"/>
                <c:pt idx="1">
                  <c:v>49.7</c:v>
                </c:pt>
                <c:pt idx="2" formatCode="General">
                  <c:v>0</c:v>
                </c:pt>
              </c:numCache>
            </c:numRef>
          </c:yVal>
          <c:smooth val="0"/>
          <c:extLst>
            <c:ext xmlns:c16="http://schemas.microsoft.com/office/drawing/2014/chart" uri="{C3380CC4-5D6E-409C-BE32-E72D297353CC}">
              <c16:uniqueId val="{00000012-D1C4-486B-A2FD-9827B3A90D86}"/>
            </c:ext>
          </c:extLst>
        </c:ser>
        <c:dLbls>
          <c:showLegendKey val="0"/>
          <c:showVal val="0"/>
          <c:showCatName val="0"/>
          <c:showSerName val="0"/>
          <c:showPercent val="0"/>
          <c:showBubbleSize val="0"/>
        </c:dLbls>
        <c:axId val="233586976"/>
        <c:axId val="233586192"/>
      </c:scatterChart>
      <c:catAx>
        <c:axId val="164109768"/>
        <c:scaling>
          <c:orientation val="minMax"/>
        </c:scaling>
        <c:delete val="0"/>
        <c:axPos val="b"/>
        <c:numFmt formatCode="#,##0_);[Red]\(#,##0\)" sourceLinked="1"/>
        <c:majorTickMark val="none"/>
        <c:minorTickMark val="none"/>
        <c:tickLblPos val="none"/>
        <c:spPr>
          <a:ln w="3175">
            <a:solidFill>
              <a:srgbClr val="000000"/>
            </a:solidFill>
            <a:prstDash val="solid"/>
          </a:ln>
        </c:spPr>
        <c:crossAx val="164112512"/>
        <c:crosses val="autoZero"/>
        <c:auto val="0"/>
        <c:lblAlgn val="ctr"/>
        <c:lblOffset val="100"/>
        <c:tickLblSkip val="50"/>
        <c:tickMarkSkip val="50"/>
        <c:noMultiLvlLbl val="0"/>
      </c:catAx>
      <c:valAx>
        <c:axId val="164112512"/>
        <c:scaling>
          <c:orientation val="minMax"/>
          <c:max val="100"/>
          <c:min val="0"/>
        </c:scaling>
        <c:delete val="0"/>
        <c:axPos val="l"/>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109768"/>
        <c:crosses val="autoZero"/>
        <c:crossBetween val="midCat"/>
        <c:majorUnit val="50"/>
      </c:valAx>
      <c:valAx>
        <c:axId val="233586976"/>
        <c:scaling>
          <c:orientation val="minMax"/>
          <c:max val="100"/>
          <c:min val="0"/>
        </c:scaling>
        <c:delete val="0"/>
        <c:axPos val="t"/>
        <c:numFmt formatCode="General" sourceLinked="1"/>
        <c:majorTickMark val="none"/>
        <c:minorTickMark val="none"/>
        <c:tickLblPos val="low"/>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3586192"/>
        <c:crosses val="max"/>
        <c:crossBetween val="midCat"/>
        <c:majorUnit val="50"/>
      </c:valAx>
      <c:valAx>
        <c:axId val="233586192"/>
        <c:scaling>
          <c:orientation val="minMax"/>
          <c:max val="100"/>
        </c:scaling>
        <c:delete val="0"/>
        <c:axPos val="r"/>
        <c:numFmt formatCode="General" sourceLinked="1"/>
        <c:majorTickMark val="in"/>
        <c:minorTickMark val="none"/>
        <c:tickLblPos val="none"/>
        <c:spPr>
          <a:ln w="3175">
            <a:solidFill>
              <a:srgbClr val="000000"/>
            </a:solidFill>
            <a:prstDash val="solid"/>
          </a:ln>
        </c:spPr>
        <c:crossAx val="233586976"/>
        <c:crosses val="max"/>
        <c:crossBetween val="midCat"/>
        <c:majorUnit val="50"/>
      </c:valAx>
      <c:spPr>
        <a:solidFill>
          <a:srgbClr val="C0C0C0"/>
        </a:solidFill>
        <a:ln w="12700">
          <a:solidFill>
            <a:srgbClr val="808080"/>
          </a:solidFill>
          <a:prstDash val="solid"/>
        </a:ln>
      </c:spPr>
    </c:plotArea>
    <c:plotVisOnly val="0"/>
    <c:dispBlanksAs val="gap"/>
    <c:showDLblsOverMax val="0"/>
  </c:chart>
  <c:spPr>
    <a:noFill/>
    <a:ln w="635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3236870310825297E-2"/>
          <c:y val="4.4176706827309238E-2"/>
          <c:w val="0.91639871382636651"/>
          <c:h val="0.72891780672830009"/>
        </c:manualLayout>
      </c:layout>
      <c:barChart>
        <c:barDir val="col"/>
        <c:grouping val="clustered"/>
        <c:varyColors val="0"/>
        <c:ser>
          <c:idx val="0"/>
          <c:order val="0"/>
          <c:spPr>
            <a:solidFill>
              <a:srgbClr val="99CC00"/>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164D-46BE-805E-B0AA2571424E}"/>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164D-46BE-805E-B0AA2571424E}"/>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164D-46BE-805E-B0AA2571424E}"/>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結果!$X$60:$X$62</c:f>
              <c:strCache>
                <c:ptCount val="3"/>
                <c:pt idx="0">
                  <c:v>地球温暖化への配慮</c:v>
                </c:pt>
                <c:pt idx="1">
                  <c:v>地域環境への配慮</c:v>
                </c:pt>
                <c:pt idx="2">
                  <c:v>周辺環境への配慮</c:v>
                </c:pt>
              </c:strCache>
            </c:strRef>
          </c:cat>
          <c:val>
            <c:numRef>
              <c:f>結果!$Y$60:$Y$62</c:f>
              <c:numCache>
                <c:formatCode>0.0_ </c:formatCode>
                <c:ptCount val="3"/>
                <c:pt idx="0">
                  <c:v>0</c:v>
                </c:pt>
                <c:pt idx="1">
                  <c:v>3</c:v>
                </c:pt>
                <c:pt idx="2">
                  <c:v>3</c:v>
                </c:pt>
              </c:numCache>
            </c:numRef>
          </c:val>
          <c:extLst>
            <c:ext xmlns:c16="http://schemas.microsoft.com/office/drawing/2014/chart" uri="{C3380CC4-5D6E-409C-BE32-E72D297353CC}">
              <c16:uniqueId val="{00000003-7CA3-4C1A-BBB2-F23CFC385DBE}"/>
            </c:ext>
          </c:extLst>
        </c:ser>
        <c:dLbls>
          <c:showLegendKey val="0"/>
          <c:showVal val="1"/>
          <c:showCatName val="0"/>
          <c:showSerName val="0"/>
          <c:showPercent val="0"/>
          <c:showBubbleSize val="0"/>
        </c:dLbls>
        <c:gapWidth val="70"/>
        <c:axId val="521352408"/>
        <c:axId val="521353584"/>
      </c:barChart>
      <c:catAx>
        <c:axId val="521352408"/>
        <c:scaling>
          <c:orientation val="minMax"/>
        </c:scaling>
        <c:delete val="0"/>
        <c:axPos val="b"/>
        <c:numFmt formatCode="General" sourceLinked="1"/>
        <c:majorTickMark val="none"/>
        <c:minorTickMark val="none"/>
        <c:tickLblPos val="none"/>
        <c:spPr>
          <a:ln w="3175">
            <a:solidFill>
              <a:srgbClr val="000000"/>
            </a:solidFill>
            <a:prstDash val="solid"/>
          </a:ln>
        </c:spPr>
        <c:crossAx val="521353584"/>
        <c:crossesAt val="0"/>
        <c:auto val="1"/>
        <c:lblAlgn val="ctr"/>
        <c:lblOffset val="100"/>
        <c:tickMarkSkip val="1"/>
        <c:noMultiLvlLbl val="0"/>
      </c:catAx>
      <c:valAx>
        <c:axId val="521353584"/>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352408"/>
        <c:crosses val="autoZero"/>
        <c:crossBetween val="between"/>
        <c:majorUnit val="1"/>
        <c:minorUnit val="0.1"/>
      </c:valAx>
      <c:spPr>
        <a:noFill/>
        <a:ln w="3175">
          <a:solidFill>
            <a:srgbClr val="000000"/>
          </a:solidFill>
          <a:prstDash val="solid"/>
        </a:ln>
      </c:spPr>
    </c:plotArea>
    <c:plotVisOnly val="0"/>
    <c:dispBlanksAs val="gap"/>
    <c:showDLblsOverMax val="0"/>
  </c:chart>
  <c:spPr>
    <a:noFill/>
    <a:ln w="6350">
      <a:noFill/>
    </a:ln>
  </c:spPr>
  <c:txPr>
    <a:bodyPr/>
    <a:lstStyle/>
    <a:p>
      <a:pPr>
        <a:defRPr sz="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0430161159487251"/>
          <c:y val="0.17088634000188513"/>
          <c:w val="0.58871122288522471"/>
          <c:h val="0.69303904556320084"/>
        </c:manualLayout>
      </c:layout>
      <c:radarChart>
        <c:radarStyle val="filled"/>
        <c:varyColors val="0"/>
        <c:ser>
          <c:idx val="0"/>
          <c:order val="0"/>
          <c:spPr>
            <a:blipFill dpi="0" rotWithShape="0">
              <a:blip xmlns:r="http://schemas.openxmlformats.org/officeDocument/2006/relationships" r:embed="rId1"/>
              <a:srcRect/>
              <a:stretch>
                <a:fillRect/>
              </a:stretch>
            </a:blipFill>
            <a:ln w="12700">
              <a:solidFill>
                <a:srgbClr val="000000"/>
              </a:solidFill>
              <a:prstDash val="solid"/>
            </a:ln>
          </c:spPr>
          <c:cat>
            <c:strRef>
              <c:f>結果_IS!$V$8:$V$13</c:f>
              <c:strCache>
                <c:ptCount val="6"/>
                <c:pt idx="0">
                  <c:v>Q2 サービス性能</c:v>
                </c:pt>
                <c:pt idx="1">
                  <c:v>Q3 室外環境
(敷地内)</c:v>
                </c:pt>
                <c:pt idx="2">
                  <c:v>LR3 
敷地外環境</c:v>
                </c:pt>
                <c:pt idx="3">
                  <c:v>LR2 資源・
マテリアル</c:v>
                </c:pt>
                <c:pt idx="4">
                  <c:v>LR1 
エネルギー</c:v>
                </c:pt>
                <c:pt idx="5">
                  <c:v>Q1　
室内環境</c:v>
                </c:pt>
              </c:strCache>
            </c:strRef>
          </c:cat>
          <c:val>
            <c:numRef>
              <c:f>結果_IS!$W$8:$W$13</c:f>
              <c:numCache>
                <c:formatCode>General</c:formatCode>
                <c:ptCount val="6"/>
                <c:pt idx="0">
                  <c:v>5</c:v>
                </c:pt>
                <c:pt idx="1">
                  <c:v>5</c:v>
                </c:pt>
                <c:pt idx="2">
                  <c:v>5</c:v>
                </c:pt>
                <c:pt idx="3">
                  <c:v>5</c:v>
                </c:pt>
                <c:pt idx="4">
                  <c:v>5</c:v>
                </c:pt>
                <c:pt idx="5">
                  <c:v>5</c:v>
                </c:pt>
              </c:numCache>
            </c:numRef>
          </c:val>
          <c:extLst>
            <c:ext xmlns:c16="http://schemas.microsoft.com/office/drawing/2014/chart" uri="{C3380CC4-5D6E-409C-BE32-E72D297353CC}">
              <c16:uniqueId val="{00000000-88B0-43CE-BC08-D3F3B30A01A2}"/>
            </c:ext>
          </c:extLst>
        </c:ser>
        <c:ser>
          <c:idx val="1"/>
          <c:order val="1"/>
          <c:spPr>
            <a:noFill/>
            <a:ln w="12700">
              <a:solidFill>
                <a:srgbClr val="000000"/>
              </a:solidFill>
              <a:prstDash val="solid"/>
            </a:ln>
          </c:spPr>
          <c:cat>
            <c:strRef>
              <c:f>結果_IS!$V$8:$V$13</c:f>
              <c:strCache>
                <c:ptCount val="6"/>
                <c:pt idx="0">
                  <c:v>Q2 サービス性能</c:v>
                </c:pt>
                <c:pt idx="1">
                  <c:v>Q3 室外環境
(敷地内)</c:v>
                </c:pt>
                <c:pt idx="2">
                  <c:v>LR3 
敷地外環境</c:v>
                </c:pt>
                <c:pt idx="3">
                  <c:v>LR2 資源・
マテリアル</c:v>
                </c:pt>
                <c:pt idx="4">
                  <c:v>LR1 
エネルギー</c:v>
                </c:pt>
                <c:pt idx="5">
                  <c:v>Q1　
室内環境</c:v>
                </c:pt>
              </c:strCache>
            </c:strRef>
          </c:cat>
          <c:val>
            <c:numRef>
              <c:f>結果_IS!$X$8:$X$13</c:f>
              <c:numCache>
                <c:formatCode>General</c:formatCode>
                <c:ptCount val="6"/>
                <c:pt idx="0">
                  <c:v>4</c:v>
                </c:pt>
                <c:pt idx="1">
                  <c:v>4</c:v>
                </c:pt>
                <c:pt idx="2">
                  <c:v>4</c:v>
                </c:pt>
                <c:pt idx="3">
                  <c:v>4</c:v>
                </c:pt>
                <c:pt idx="4">
                  <c:v>4</c:v>
                </c:pt>
                <c:pt idx="5">
                  <c:v>4</c:v>
                </c:pt>
              </c:numCache>
            </c:numRef>
          </c:val>
          <c:extLst>
            <c:ext xmlns:c16="http://schemas.microsoft.com/office/drawing/2014/chart" uri="{C3380CC4-5D6E-409C-BE32-E72D297353CC}">
              <c16:uniqueId val="{00000001-88B0-43CE-BC08-D3F3B30A01A2}"/>
            </c:ext>
          </c:extLst>
        </c:ser>
        <c:ser>
          <c:idx val="2"/>
          <c:order val="2"/>
          <c:spPr>
            <a:noFill/>
            <a:ln w="12700">
              <a:solidFill>
                <a:srgbClr val="000000"/>
              </a:solidFill>
              <a:prstDash val="solid"/>
            </a:ln>
          </c:spPr>
          <c:cat>
            <c:strRef>
              <c:f>結果_IS!$V$8:$V$13</c:f>
              <c:strCache>
                <c:ptCount val="6"/>
                <c:pt idx="0">
                  <c:v>Q2 サービス性能</c:v>
                </c:pt>
                <c:pt idx="1">
                  <c:v>Q3 室外環境
(敷地内)</c:v>
                </c:pt>
                <c:pt idx="2">
                  <c:v>LR3 
敷地外環境</c:v>
                </c:pt>
                <c:pt idx="3">
                  <c:v>LR2 資源・
マテリアル</c:v>
                </c:pt>
                <c:pt idx="4">
                  <c:v>LR1 
エネルギー</c:v>
                </c:pt>
                <c:pt idx="5">
                  <c:v>Q1　
室内環境</c:v>
                </c:pt>
              </c:strCache>
            </c:strRef>
          </c:cat>
          <c:val>
            <c:numRef>
              <c:f>結果_IS!$Y$8:$Y$13</c:f>
              <c:numCache>
                <c:formatCode>General</c:formatCode>
                <c:ptCount val="6"/>
                <c:pt idx="0">
                  <c:v>2</c:v>
                </c:pt>
                <c:pt idx="1">
                  <c:v>2</c:v>
                </c:pt>
                <c:pt idx="2">
                  <c:v>2</c:v>
                </c:pt>
                <c:pt idx="3">
                  <c:v>2</c:v>
                </c:pt>
                <c:pt idx="4">
                  <c:v>2</c:v>
                </c:pt>
                <c:pt idx="5">
                  <c:v>2</c:v>
                </c:pt>
              </c:numCache>
            </c:numRef>
          </c:val>
          <c:extLst>
            <c:ext xmlns:c16="http://schemas.microsoft.com/office/drawing/2014/chart" uri="{C3380CC4-5D6E-409C-BE32-E72D297353CC}">
              <c16:uniqueId val="{00000002-88B0-43CE-BC08-D3F3B30A01A2}"/>
            </c:ext>
          </c:extLst>
        </c:ser>
        <c:ser>
          <c:idx val="3"/>
          <c:order val="3"/>
          <c:spPr>
            <a:pattFill prst="pct50">
              <a:fgClr>
                <a:srgbClr val="CCCCFF"/>
              </a:fgClr>
              <a:bgClr>
                <a:srgbClr val="FFFFFF"/>
              </a:bgClr>
            </a:pattFill>
            <a:ln w="12700">
              <a:solidFill>
                <a:srgbClr val="000000"/>
              </a:solidFill>
              <a:prstDash val="solid"/>
            </a:ln>
          </c:spPr>
          <c:cat>
            <c:strRef>
              <c:f>結果_IS!$V$8:$V$13</c:f>
              <c:strCache>
                <c:ptCount val="6"/>
                <c:pt idx="0">
                  <c:v>Q2 サービス性能</c:v>
                </c:pt>
                <c:pt idx="1">
                  <c:v>Q3 室外環境
(敷地内)</c:v>
                </c:pt>
                <c:pt idx="2">
                  <c:v>LR3 
敷地外環境</c:v>
                </c:pt>
                <c:pt idx="3">
                  <c:v>LR2 資源・
マテリアル</c:v>
                </c:pt>
                <c:pt idx="4">
                  <c:v>LR1 
エネルギー</c:v>
                </c:pt>
                <c:pt idx="5">
                  <c:v>Q1　
室内環境</c:v>
                </c:pt>
              </c:strCache>
            </c:strRef>
          </c:cat>
          <c:val>
            <c:numRef>
              <c:f>結果_IS!$Z$8:$Z$13</c:f>
              <c:numCache>
                <c:formatCode>General</c:formatCode>
                <c:ptCount val="6"/>
                <c:pt idx="0">
                  <c:v>2.9</c:v>
                </c:pt>
                <c:pt idx="1">
                  <c:v>3</c:v>
                </c:pt>
                <c:pt idx="2">
                  <c:v>0</c:v>
                </c:pt>
                <c:pt idx="3">
                  <c:v>3</c:v>
                </c:pt>
                <c:pt idx="4">
                  <c:v>3</c:v>
                </c:pt>
                <c:pt idx="5">
                  <c:v>3</c:v>
                </c:pt>
              </c:numCache>
            </c:numRef>
          </c:val>
          <c:extLst>
            <c:ext xmlns:c16="http://schemas.microsoft.com/office/drawing/2014/chart" uri="{C3380CC4-5D6E-409C-BE32-E72D297353CC}">
              <c16:uniqueId val="{00000003-88B0-43CE-BC08-D3F3B30A01A2}"/>
            </c:ext>
          </c:extLst>
        </c:ser>
        <c:ser>
          <c:idx val="4"/>
          <c:order val="4"/>
          <c:spPr>
            <a:noFill/>
            <a:ln w="12700">
              <a:solidFill>
                <a:srgbClr val="FF0000"/>
              </a:solidFill>
              <a:prstDash val="solid"/>
            </a:ln>
          </c:spPr>
          <c:cat>
            <c:strRef>
              <c:f>結果_IS!$V$8:$V$13</c:f>
              <c:strCache>
                <c:ptCount val="6"/>
                <c:pt idx="0">
                  <c:v>Q2 サービス性能</c:v>
                </c:pt>
                <c:pt idx="1">
                  <c:v>Q3 室外環境
(敷地内)</c:v>
                </c:pt>
                <c:pt idx="2">
                  <c:v>LR3 
敷地外環境</c:v>
                </c:pt>
                <c:pt idx="3">
                  <c:v>LR2 資源・
マテリアル</c:v>
                </c:pt>
                <c:pt idx="4">
                  <c:v>LR1 
エネルギー</c:v>
                </c:pt>
                <c:pt idx="5">
                  <c:v>Q1　
室内環境</c:v>
                </c:pt>
              </c:strCache>
            </c:strRef>
          </c:cat>
          <c:val>
            <c:numRef>
              <c:f>結果_IS!$AA$8:$AA$13</c:f>
              <c:numCache>
                <c:formatCode>General</c:formatCode>
                <c:ptCount val="6"/>
                <c:pt idx="0">
                  <c:v>3</c:v>
                </c:pt>
                <c:pt idx="1">
                  <c:v>3</c:v>
                </c:pt>
                <c:pt idx="2">
                  <c:v>3</c:v>
                </c:pt>
                <c:pt idx="3">
                  <c:v>3</c:v>
                </c:pt>
                <c:pt idx="4">
                  <c:v>3</c:v>
                </c:pt>
                <c:pt idx="5">
                  <c:v>3</c:v>
                </c:pt>
              </c:numCache>
            </c:numRef>
          </c:val>
          <c:extLst>
            <c:ext xmlns:c16="http://schemas.microsoft.com/office/drawing/2014/chart" uri="{C3380CC4-5D6E-409C-BE32-E72D297353CC}">
              <c16:uniqueId val="{00000004-88B0-43CE-BC08-D3F3B30A01A2}"/>
            </c:ext>
          </c:extLst>
        </c:ser>
        <c:dLbls>
          <c:showLegendKey val="0"/>
          <c:showVal val="0"/>
          <c:showCatName val="0"/>
          <c:showSerName val="0"/>
          <c:showPercent val="0"/>
          <c:showBubbleSize val="0"/>
        </c:dLbls>
        <c:axId val="233584624"/>
        <c:axId val="233583840"/>
      </c:radarChart>
      <c:catAx>
        <c:axId val="233584624"/>
        <c:scaling>
          <c:orientation val="minMax"/>
        </c:scaling>
        <c:delete val="0"/>
        <c:axPos val="b"/>
        <c:majorGridlines>
          <c:spPr>
            <a:ln w="3175">
              <a:solidFill>
                <a:srgbClr val="000000"/>
              </a:solidFill>
              <a:prstDash val="solid"/>
            </a:ln>
          </c:spPr>
        </c:majorGridlines>
        <c:numFmt formatCode="General" sourceLinked="1"/>
        <c:majorTickMark val="out"/>
        <c:minorTickMark val="none"/>
        <c:tickLblPos val="nextTo"/>
        <c:txPr>
          <a:bodyPr rot="0" vert="horz"/>
          <a:lstStyle/>
          <a:p>
            <a:pPr>
              <a:defRPr sz="900" b="1" i="0" u="none" strike="noStrike" baseline="0">
                <a:solidFill>
                  <a:srgbClr val="000000"/>
                </a:solidFill>
                <a:latin typeface="ＭＳ Ｐゴシック"/>
                <a:ea typeface="ＭＳ Ｐゴシック"/>
                <a:cs typeface="ＭＳ Ｐゴシック"/>
              </a:defRPr>
            </a:pPr>
            <a:endParaRPr lang="ja-JP"/>
          </a:p>
        </c:txPr>
        <c:crossAx val="233583840"/>
        <c:crosses val="autoZero"/>
        <c:auto val="0"/>
        <c:lblAlgn val="ctr"/>
        <c:lblOffset val="100"/>
        <c:noMultiLvlLbl val="0"/>
      </c:catAx>
      <c:valAx>
        <c:axId val="233583840"/>
        <c:scaling>
          <c:orientation val="minMax"/>
          <c:max val="5"/>
          <c:min val="1"/>
        </c:scaling>
        <c:delete val="0"/>
        <c:axPos val="l"/>
        <c:majorGridlines>
          <c:spPr>
            <a:ln w="3175">
              <a:solidFill>
                <a:srgbClr val="000000"/>
              </a:solidFill>
              <a:prstDash val="solid"/>
            </a:ln>
          </c:spPr>
        </c:majorGridlines>
        <c:numFmt formatCode="#,##0_);[Red]\(#,##0\)" sourceLinked="0"/>
        <c:majorTickMark val="cross"/>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ＭＳ Ｐゴシック"/>
                <a:ea typeface="ＭＳ Ｐゴシック"/>
                <a:cs typeface="ＭＳ Ｐゴシック"/>
              </a:defRPr>
            </a:pPr>
            <a:endParaRPr lang="ja-JP"/>
          </a:p>
        </c:txPr>
        <c:crossAx val="233584624"/>
        <c:crosses val="autoZero"/>
        <c:crossBetween val="between"/>
        <c:majorUnit val="1"/>
      </c:valAx>
      <c:spPr>
        <a:noFill/>
        <a:ln w="25400">
          <a:noFill/>
        </a:ln>
      </c:spPr>
    </c:plotArea>
    <c:plotVisOnly val="0"/>
    <c:dispBlanksAs val="gap"/>
    <c:showDLblsOverMax val="0"/>
  </c:chart>
  <c:spPr>
    <a:noFill/>
    <a:ln w="6350">
      <a:noFill/>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924969694061724E-2"/>
          <c:y val="8.4337597472695883E-2"/>
          <c:w val="0.90462555408004719"/>
          <c:h val="0.72289369262310754"/>
        </c:manualLayout>
      </c:layout>
      <c:barChart>
        <c:barDir val="col"/>
        <c:grouping val="clustered"/>
        <c:varyColors val="0"/>
        <c:ser>
          <c:idx val="0"/>
          <c:order val="0"/>
          <c:spPr>
            <a:solidFill>
              <a:srgbClr val="FFFF99"/>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077F-4007-9A61-4520BC62980C}"/>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077F-4007-9A61-4520BC62980C}"/>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077F-4007-9A61-4520BC62980C}"/>
                </c:ext>
              </c:extLst>
            </c:dLbl>
            <c:dLbl>
              <c:idx val="3"/>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3-077F-4007-9A61-4520BC62980C}"/>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結果_IS!$R$49:$R$52</c:f>
              <c:strCache>
                <c:ptCount val="4"/>
                <c:pt idx="0">
                  <c:v>音環境</c:v>
                </c:pt>
                <c:pt idx="1">
                  <c:v>温熱環境</c:v>
                </c:pt>
                <c:pt idx="2">
                  <c:v>光・視環境</c:v>
                </c:pt>
                <c:pt idx="3">
                  <c:v>空気質環境</c:v>
                </c:pt>
              </c:strCache>
            </c:strRef>
          </c:cat>
          <c:val>
            <c:numRef>
              <c:f>結果_IS!$S$49:$S$52</c:f>
              <c:numCache>
                <c:formatCode>0.0;_Ā</c:formatCode>
                <c:ptCount val="4"/>
                <c:pt idx="0">
                  <c:v>3</c:v>
                </c:pt>
                <c:pt idx="1">
                  <c:v>3</c:v>
                </c:pt>
                <c:pt idx="2">
                  <c:v>3</c:v>
                </c:pt>
                <c:pt idx="3">
                  <c:v>3</c:v>
                </c:pt>
              </c:numCache>
            </c:numRef>
          </c:val>
          <c:extLst>
            <c:ext xmlns:c16="http://schemas.microsoft.com/office/drawing/2014/chart" uri="{C3380CC4-5D6E-409C-BE32-E72D297353CC}">
              <c16:uniqueId val="{00000004-62FC-4274-873E-D1F717B1F1B6}"/>
            </c:ext>
          </c:extLst>
        </c:ser>
        <c:dLbls>
          <c:showLegendKey val="0"/>
          <c:showVal val="1"/>
          <c:showCatName val="0"/>
          <c:showSerName val="0"/>
          <c:showPercent val="0"/>
          <c:showBubbleSize val="0"/>
        </c:dLbls>
        <c:gapWidth val="40"/>
        <c:axId val="233585800"/>
        <c:axId val="233585408"/>
      </c:barChart>
      <c:catAx>
        <c:axId val="233585800"/>
        <c:scaling>
          <c:orientation val="minMax"/>
        </c:scaling>
        <c:delete val="0"/>
        <c:axPos val="b"/>
        <c:numFmt formatCode="General" sourceLinked="1"/>
        <c:majorTickMark val="none"/>
        <c:minorTickMark val="none"/>
        <c:tickLblPos val="none"/>
        <c:spPr>
          <a:ln w="3175">
            <a:solidFill>
              <a:srgbClr val="000000"/>
            </a:solidFill>
            <a:prstDash val="solid"/>
          </a:ln>
        </c:spPr>
        <c:crossAx val="233585408"/>
        <c:crossesAt val="0"/>
        <c:auto val="1"/>
        <c:lblAlgn val="ctr"/>
        <c:lblOffset val="100"/>
        <c:tickMarkSkip val="1"/>
        <c:noMultiLvlLbl val="0"/>
      </c:catAx>
      <c:valAx>
        <c:axId val="233585408"/>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3585800"/>
        <c:crosses val="autoZero"/>
        <c:crossBetween val="between"/>
        <c:majorUnit val="1"/>
        <c:minorUnit val="0.1"/>
      </c:valAx>
      <c:spPr>
        <a:noFill/>
        <a:ln w="3175">
          <a:solidFill>
            <a:srgbClr val="000000"/>
          </a:solidFill>
          <a:prstDash val="solid"/>
        </a:ln>
      </c:spPr>
    </c:plotArea>
    <c:plotVisOnly val="0"/>
    <c:dispBlanksAs val="gap"/>
    <c:showDLblsOverMax val="0"/>
  </c:chart>
  <c:spPr>
    <a:noFill/>
    <a:ln w="635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524115755627015E-2"/>
          <c:y val="8.4337597472695883E-2"/>
          <c:w val="0.91639871382636651"/>
          <c:h val="0.72891780672830009"/>
        </c:manualLayout>
      </c:layout>
      <c:barChart>
        <c:barDir val="col"/>
        <c:grouping val="clustered"/>
        <c:varyColors val="0"/>
        <c:ser>
          <c:idx val="0"/>
          <c:order val="0"/>
          <c:spPr>
            <a:solidFill>
              <a:srgbClr val="FFFF99"/>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8981-4D73-AE5B-4CFAB87106AD}"/>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8981-4D73-AE5B-4CFAB87106AD}"/>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8981-4D73-AE5B-4CFAB87106AD}"/>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結果_IS!$U$49:$U$51</c:f>
              <c:strCache>
                <c:ptCount val="3"/>
                <c:pt idx="0">
                  <c:v>機能性</c:v>
                </c:pt>
                <c:pt idx="1">
                  <c:v>耐用性・信頼性</c:v>
                </c:pt>
                <c:pt idx="2">
                  <c:v>対応性･更新性</c:v>
                </c:pt>
              </c:strCache>
            </c:strRef>
          </c:cat>
          <c:val>
            <c:numRef>
              <c:f>結果_IS!$V$49:$V$51</c:f>
              <c:numCache>
                <c:formatCode>0.0_ </c:formatCode>
                <c:ptCount val="3"/>
                <c:pt idx="0">
                  <c:v>2.9</c:v>
                </c:pt>
                <c:pt idx="1">
                  <c:v>3</c:v>
                </c:pt>
                <c:pt idx="2">
                  <c:v>3</c:v>
                </c:pt>
              </c:numCache>
            </c:numRef>
          </c:val>
          <c:extLst>
            <c:ext xmlns:c16="http://schemas.microsoft.com/office/drawing/2014/chart" uri="{C3380CC4-5D6E-409C-BE32-E72D297353CC}">
              <c16:uniqueId val="{00000003-DECC-46DF-87B4-182AF6BC1E26}"/>
            </c:ext>
          </c:extLst>
        </c:ser>
        <c:dLbls>
          <c:showLegendKey val="0"/>
          <c:showVal val="1"/>
          <c:showCatName val="0"/>
          <c:showSerName val="0"/>
          <c:showPercent val="0"/>
          <c:showBubbleSize val="0"/>
        </c:dLbls>
        <c:gapWidth val="70"/>
        <c:axId val="233586584"/>
        <c:axId val="233588152"/>
      </c:barChart>
      <c:catAx>
        <c:axId val="233586584"/>
        <c:scaling>
          <c:orientation val="minMax"/>
        </c:scaling>
        <c:delete val="0"/>
        <c:axPos val="b"/>
        <c:numFmt formatCode="General" sourceLinked="1"/>
        <c:majorTickMark val="none"/>
        <c:minorTickMark val="none"/>
        <c:tickLblPos val="none"/>
        <c:spPr>
          <a:ln w="3175">
            <a:solidFill>
              <a:srgbClr val="000000"/>
            </a:solidFill>
            <a:prstDash val="solid"/>
          </a:ln>
        </c:spPr>
        <c:crossAx val="233588152"/>
        <c:crossesAt val="0"/>
        <c:auto val="1"/>
        <c:lblAlgn val="ctr"/>
        <c:lblOffset val="100"/>
        <c:tickMarkSkip val="1"/>
        <c:noMultiLvlLbl val="0"/>
      </c:catAx>
      <c:valAx>
        <c:axId val="233588152"/>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3586584"/>
        <c:crosses val="autoZero"/>
        <c:crossBetween val="between"/>
        <c:majorUnit val="1"/>
        <c:minorUnit val="0.1"/>
      </c:valAx>
      <c:spPr>
        <a:noFill/>
        <a:ln w="3175">
          <a:solidFill>
            <a:srgbClr val="000000"/>
          </a:solidFill>
          <a:prstDash val="solid"/>
        </a:ln>
      </c:spPr>
    </c:plotArea>
    <c:plotVisOnly val="0"/>
    <c:dispBlanksAs val="gap"/>
    <c:showDLblsOverMax val="0"/>
  </c:chart>
  <c:spPr>
    <a:noFill/>
    <a:ln w="6350">
      <a:noFill/>
    </a:ln>
  </c:spPr>
  <c:txPr>
    <a:bodyPr/>
    <a:lstStyle/>
    <a:p>
      <a:pPr>
        <a:defRPr sz="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524115755627015E-2"/>
          <c:y val="8.4337597472695883E-2"/>
          <c:w val="0.91639871382636651"/>
          <c:h val="0.72891780672830009"/>
        </c:manualLayout>
      </c:layout>
      <c:barChart>
        <c:barDir val="col"/>
        <c:grouping val="clustered"/>
        <c:varyColors val="0"/>
        <c:ser>
          <c:idx val="0"/>
          <c:order val="0"/>
          <c:spPr>
            <a:solidFill>
              <a:srgbClr val="FFFF99"/>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C1DC-439A-8FD0-9011C585F503}"/>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結果_IS!$X$49:$X$51</c15:sqref>
                  </c15:fullRef>
                </c:ext>
              </c:extLst>
              <c:f>結果_IS!$X$49</c:f>
              <c:strCache>
                <c:ptCount val="1"/>
                <c:pt idx="0">
                  <c:v>豊かな室外環境</c:v>
                </c:pt>
              </c:strCache>
            </c:strRef>
          </c:cat>
          <c:val>
            <c:numRef>
              <c:extLst>
                <c:ext xmlns:c15="http://schemas.microsoft.com/office/drawing/2012/chart" uri="{02D57815-91ED-43cb-92C2-25804820EDAC}">
                  <c15:fullRef>
                    <c15:sqref>結果_IS!$Y$49:$Y$51</c15:sqref>
                  </c15:fullRef>
                </c:ext>
              </c:extLst>
              <c:f>結果_IS!$Y$49</c:f>
              <c:numCache>
                <c:formatCode>0.0_ </c:formatCode>
                <c:ptCount val="1"/>
                <c:pt idx="0">
                  <c:v>0</c:v>
                </c:pt>
              </c:numCache>
            </c:numRef>
          </c:val>
          <c:extLst>
            <c:ext xmlns:c15="http://schemas.microsoft.com/office/drawing/2012/chart" uri="{02D57815-91ED-43cb-92C2-25804820EDAC}">
              <c15:categoryFilterExceptions>
                <c15:categoryFilterException>
                  <c15:sqref>結果_IS!$Y$50</c15:sqref>
                  <c15: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27CB-4552-A27E-66F20E0E9C42}"/>
                      </c:ext>
                    </c:extLst>
                  </c15:dLbl>
                </c15:categoryFilterException>
                <c15:categoryFilterException>
                  <c15:sqref>結果_IS!$Y$51</c15:sqref>
                  <c15: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27CB-4552-A27E-66F20E0E9C42}"/>
                      </c:ext>
                    </c:extLst>
                  </c15:dLbl>
                </c15:categoryFilterException>
              </c15:categoryFilterExceptions>
            </c:ext>
            <c:ext xmlns:c16="http://schemas.microsoft.com/office/drawing/2014/chart" uri="{C3380CC4-5D6E-409C-BE32-E72D297353CC}">
              <c16:uniqueId val="{00000001-F22A-4D3C-89BE-AEFDFF50C702}"/>
            </c:ext>
          </c:extLst>
        </c:ser>
        <c:dLbls>
          <c:showLegendKey val="0"/>
          <c:showVal val="1"/>
          <c:showCatName val="0"/>
          <c:showSerName val="0"/>
          <c:showPercent val="0"/>
          <c:showBubbleSize val="0"/>
        </c:dLbls>
        <c:gapWidth val="70"/>
        <c:axId val="233588544"/>
        <c:axId val="233582664"/>
      </c:barChart>
      <c:catAx>
        <c:axId val="233588544"/>
        <c:scaling>
          <c:orientation val="minMax"/>
        </c:scaling>
        <c:delete val="0"/>
        <c:axPos val="b"/>
        <c:numFmt formatCode="General" sourceLinked="1"/>
        <c:majorTickMark val="none"/>
        <c:minorTickMark val="none"/>
        <c:tickLblPos val="none"/>
        <c:spPr>
          <a:ln w="3175">
            <a:solidFill>
              <a:srgbClr val="000000"/>
            </a:solidFill>
            <a:prstDash val="solid"/>
          </a:ln>
        </c:spPr>
        <c:crossAx val="233582664"/>
        <c:crossesAt val="0"/>
        <c:auto val="1"/>
        <c:lblAlgn val="ctr"/>
        <c:lblOffset val="100"/>
        <c:tickMarkSkip val="1"/>
        <c:noMultiLvlLbl val="0"/>
      </c:catAx>
      <c:valAx>
        <c:axId val="233582664"/>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3588544"/>
        <c:crosses val="autoZero"/>
        <c:crossBetween val="between"/>
        <c:majorUnit val="1"/>
        <c:minorUnit val="0.1"/>
      </c:valAx>
      <c:spPr>
        <a:noFill/>
        <a:ln w="3175">
          <a:solidFill>
            <a:srgbClr val="000000"/>
          </a:solidFill>
          <a:prstDash val="solid"/>
        </a:ln>
      </c:spPr>
    </c:plotArea>
    <c:plotVisOnly val="0"/>
    <c:dispBlanksAs val="gap"/>
    <c:showDLblsOverMax val="0"/>
  </c:chart>
  <c:spPr>
    <a:noFill/>
    <a:ln w="6350">
      <a:noFill/>
    </a:ln>
  </c:spPr>
  <c:txPr>
    <a:bodyPr/>
    <a:lstStyle/>
    <a:p>
      <a:pPr>
        <a:defRPr sz="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924969694061724E-2"/>
          <c:y val="8.4337597472695883E-2"/>
          <c:w val="0.90462555408004719"/>
          <c:h val="0.72289369262310754"/>
        </c:manualLayout>
      </c:layout>
      <c:barChart>
        <c:barDir val="col"/>
        <c:grouping val="clustered"/>
        <c:varyColors val="0"/>
        <c:ser>
          <c:idx val="0"/>
          <c:order val="0"/>
          <c:spPr>
            <a:solidFill>
              <a:srgbClr val="99CC00"/>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43E8-4299-9836-57DA040053DB}"/>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43E8-4299-9836-57DA040053DB}"/>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43E8-4299-9836-57DA040053DB}"/>
                </c:ext>
              </c:extLst>
            </c:dLbl>
            <c:dLbl>
              <c:idx val="3"/>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3-43E8-4299-9836-57DA040053DB}"/>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結果_IS!$R$60:$R$63</c:f>
              <c:strCache>
                <c:ptCount val="4"/>
                <c:pt idx="0">
                  <c:v>熱負荷抑制</c:v>
                </c:pt>
                <c:pt idx="1">
                  <c:v>自然ｴﾈﾙｷﾞｰ</c:v>
                </c:pt>
                <c:pt idx="2">
                  <c:v>設備の効率的利用</c:v>
                </c:pt>
                <c:pt idx="3">
                  <c:v>運用ﾏﾈｼﾞﾒﾝﾄ</c:v>
                </c:pt>
              </c:strCache>
            </c:strRef>
          </c:cat>
          <c:val>
            <c:numRef>
              <c:f>結果_IS!$S$60:$S$63</c:f>
              <c:numCache>
                <c:formatCode>#,##0.0;[Red]\-#,##0.0</c:formatCode>
                <c:ptCount val="4"/>
                <c:pt idx="0">
                  <c:v>3</c:v>
                </c:pt>
                <c:pt idx="1">
                  <c:v>3</c:v>
                </c:pt>
                <c:pt idx="2">
                  <c:v>3</c:v>
                </c:pt>
                <c:pt idx="3">
                  <c:v>3</c:v>
                </c:pt>
              </c:numCache>
            </c:numRef>
          </c:val>
          <c:extLst>
            <c:ext xmlns:c16="http://schemas.microsoft.com/office/drawing/2014/chart" uri="{C3380CC4-5D6E-409C-BE32-E72D297353CC}">
              <c16:uniqueId val="{00000004-F8C5-4F42-B06C-AE53CDD90E44}"/>
            </c:ext>
          </c:extLst>
        </c:ser>
        <c:dLbls>
          <c:showLegendKey val="0"/>
          <c:showVal val="1"/>
          <c:showCatName val="0"/>
          <c:showSerName val="0"/>
          <c:showPercent val="0"/>
          <c:showBubbleSize val="0"/>
        </c:dLbls>
        <c:gapWidth val="40"/>
        <c:axId val="233587760"/>
        <c:axId val="233588936"/>
      </c:barChart>
      <c:catAx>
        <c:axId val="233587760"/>
        <c:scaling>
          <c:orientation val="minMax"/>
        </c:scaling>
        <c:delete val="0"/>
        <c:axPos val="b"/>
        <c:numFmt formatCode="General" sourceLinked="1"/>
        <c:majorTickMark val="none"/>
        <c:minorTickMark val="none"/>
        <c:tickLblPos val="none"/>
        <c:spPr>
          <a:ln w="3175">
            <a:solidFill>
              <a:srgbClr val="000000"/>
            </a:solidFill>
            <a:prstDash val="solid"/>
          </a:ln>
        </c:spPr>
        <c:crossAx val="233588936"/>
        <c:crossesAt val="0"/>
        <c:auto val="1"/>
        <c:lblAlgn val="ctr"/>
        <c:lblOffset val="100"/>
        <c:tickMarkSkip val="1"/>
        <c:noMultiLvlLbl val="0"/>
      </c:catAx>
      <c:valAx>
        <c:axId val="233588936"/>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3587760"/>
        <c:crosses val="autoZero"/>
        <c:crossBetween val="between"/>
        <c:majorUnit val="1"/>
        <c:minorUnit val="0.1"/>
      </c:valAx>
      <c:spPr>
        <a:noFill/>
        <a:ln w="3175">
          <a:solidFill>
            <a:srgbClr val="000000"/>
          </a:solidFill>
          <a:prstDash val="solid"/>
        </a:ln>
      </c:spPr>
    </c:plotArea>
    <c:plotVisOnly val="0"/>
    <c:dispBlanksAs val="gap"/>
    <c:showDLblsOverMax val="0"/>
  </c:chart>
  <c:spPr>
    <a:noFill/>
    <a:ln w="635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524115755627015E-2"/>
          <c:y val="8.4337597472695883E-2"/>
          <c:w val="0.91639871382636651"/>
          <c:h val="0.72891780672830009"/>
        </c:manualLayout>
      </c:layout>
      <c:barChart>
        <c:barDir val="col"/>
        <c:grouping val="clustered"/>
        <c:varyColors val="0"/>
        <c:ser>
          <c:idx val="0"/>
          <c:order val="0"/>
          <c:spPr>
            <a:solidFill>
              <a:srgbClr val="99CC00"/>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EF73-4885-8F56-2158303882DA}"/>
                </c:ext>
              </c:extLst>
            </c:dLbl>
            <c: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EF73-4885-8F56-2158303882DA}"/>
                </c:ext>
              </c:extLst>
            </c:dLbl>
            <c:dLbl>
              <c:idx val="2"/>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2-EF73-4885-8F56-2158303882DA}"/>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結果_IS!$U$60:$U$62</c:f>
              <c:strCache>
                <c:ptCount val="3"/>
                <c:pt idx="0">
                  <c:v>水資源</c:v>
                </c:pt>
                <c:pt idx="1">
                  <c:v>非再生性材料の削減</c:v>
                </c:pt>
                <c:pt idx="2">
                  <c:v>汚染物質回避</c:v>
                </c:pt>
              </c:strCache>
            </c:strRef>
          </c:cat>
          <c:val>
            <c:numRef>
              <c:f>結果_IS!$V$60:$V$62</c:f>
              <c:numCache>
                <c:formatCode>0.0_ </c:formatCode>
                <c:ptCount val="3"/>
                <c:pt idx="0">
                  <c:v>3</c:v>
                </c:pt>
                <c:pt idx="1">
                  <c:v>3</c:v>
                </c:pt>
                <c:pt idx="2">
                  <c:v>3</c:v>
                </c:pt>
              </c:numCache>
            </c:numRef>
          </c:val>
          <c:extLst>
            <c:ext xmlns:c16="http://schemas.microsoft.com/office/drawing/2014/chart" uri="{C3380CC4-5D6E-409C-BE32-E72D297353CC}">
              <c16:uniqueId val="{00000003-33C6-41B4-BE00-9163D6B1997E}"/>
            </c:ext>
          </c:extLst>
        </c:ser>
        <c:dLbls>
          <c:showLegendKey val="0"/>
          <c:showVal val="1"/>
          <c:showCatName val="0"/>
          <c:showSerName val="0"/>
          <c:showPercent val="0"/>
          <c:showBubbleSize val="0"/>
        </c:dLbls>
        <c:gapWidth val="70"/>
        <c:axId val="233582272"/>
        <c:axId val="233583056"/>
      </c:barChart>
      <c:catAx>
        <c:axId val="233582272"/>
        <c:scaling>
          <c:orientation val="minMax"/>
        </c:scaling>
        <c:delete val="0"/>
        <c:axPos val="b"/>
        <c:numFmt formatCode="General" sourceLinked="1"/>
        <c:majorTickMark val="none"/>
        <c:minorTickMark val="none"/>
        <c:tickLblPos val="none"/>
        <c:spPr>
          <a:ln w="3175">
            <a:solidFill>
              <a:srgbClr val="000000"/>
            </a:solidFill>
            <a:prstDash val="solid"/>
          </a:ln>
        </c:spPr>
        <c:crossAx val="233583056"/>
        <c:crossesAt val="0"/>
        <c:auto val="1"/>
        <c:lblAlgn val="ctr"/>
        <c:lblOffset val="100"/>
        <c:tickMarkSkip val="1"/>
        <c:noMultiLvlLbl val="0"/>
      </c:catAx>
      <c:valAx>
        <c:axId val="233583056"/>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3582272"/>
        <c:crosses val="autoZero"/>
        <c:crossBetween val="between"/>
        <c:majorUnit val="1"/>
        <c:minorUnit val="0.1"/>
      </c:valAx>
      <c:spPr>
        <a:noFill/>
        <a:ln w="3175">
          <a:solidFill>
            <a:srgbClr val="000000"/>
          </a:solidFill>
          <a:prstDash val="solid"/>
        </a:ln>
      </c:spPr>
    </c:plotArea>
    <c:plotVisOnly val="0"/>
    <c:dispBlanksAs val="gap"/>
    <c:showDLblsOverMax val="0"/>
  </c:chart>
  <c:spPr>
    <a:noFill/>
    <a:ln w="6350">
      <a:noFill/>
    </a:ln>
  </c:spPr>
  <c:txPr>
    <a:bodyPr/>
    <a:lstStyle/>
    <a:p>
      <a:pPr>
        <a:defRPr sz="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3236870310825297E-2"/>
          <c:y val="4.4176706827309238E-2"/>
          <c:w val="0.88973228346456679"/>
          <c:h val="0.72891780672830009"/>
        </c:manualLayout>
      </c:layout>
      <c:barChart>
        <c:barDir val="col"/>
        <c:grouping val="clustered"/>
        <c:varyColors val="0"/>
        <c:ser>
          <c:idx val="0"/>
          <c:order val="0"/>
          <c:spPr>
            <a:solidFill>
              <a:srgbClr val="99CC00"/>
            </a:solidFill>
            <a:ln w="12700">
              <a:solidFill>
                <a:srgbClr val="000000"/>
              </a:solidFill>
              <a:prstDash val="solid"/>
            </a:ln>
          </c:spPr>
          <c:invertIfNegative val="0"/>
          <c:dLbls>
            <c: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9395-4F16-B9FB-C83D4F36ACCB}"/>
                </c:ext>
              </c:extLst>
            </c:dLbl>
            <c:spPr>
              <a:noFill/>
              <a:ln w="25400">
                <a:noFill/>
              </a:ln>
            </c:spPr>
            <c:txPr>
              <a:bodyPr wrap="square" lIns="38100" tIns="19050" rIns="38100" bIns="19050" anchor="ctr">
                <a:spAutoFit/>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結果_IS!$X$60:$X$62</c15:sqref>
                  </c15:fullRef>
                </c:ext>
              </c:extLst>
              <c:f>結果_IS!$X$61</c:f>
              <c:strCache>
                <c:ptCount val="1"/>
                <c:pt idx="0">
                  <c:v>地域環境への配慮</c:v>
                </c:pt>
              </c:strCache>
            </c:strRef>
          </c:cat>
          <c:val>
            <c:numRef>
              <c:extLst>
                <c:ext xmlns:c15="http://schemas.microsoft.com/office/drawing/2012/chart" uri="{02D57815-91ED-43cb-92C2-25804820EDAC}">
                  <c15:fullRef>
                    <c15:sqref>結果_IS!$Y$60:$Y$62</c15:sqref>
                  </c15:fullRef>
                </c:ext>
              </c:extLst>
              <c:f>結果_IS!$Y$61</c:f>
              <c:numCache>
                <c:formatCode>0.0_ </c:formatCode>
                <c:ptCount val="1"/>
                <c:pt idx="0">
                  <c:v>3</c:v>
                </c:pt>
              </c:numCache>
            </c:numRef>
          </c:val>
          <c:extLst>
            <c:ext xmlns:c15="http://schemas.microsoft.com/office/drawing/2012/chart" uri="{02D57815-91ED-43cb-92C2-25804820EDAC}">
              <c15:categoryFilterExceptions>
                <c15:categoryFilterException>
                  <c15:sqref>結果_IS!$Y$60</c15:sqref>
                  <c15:dLbl>
                    <c:idx val="-1"/>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0-03CC-455B-B2CC-172B5BCDDC07}"/>
                      </c:ext>
                    </c:extLst>
                  </c15:dLbl>
                </c15:categoryFilterException>
                <c15:categoryFilterException>
                  <c15:sqref>結果_IS!$Y$62</c15:sqref>
                  <c15:dLbl>
                    <c:idx val="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inEnd"/>
                    <c:showLegendKey val="0"/>
                    <c:showVal val="1"/>
                    <c:showCatName val="0"/>
                    <c:showSerName val="0"/>
                    <c:showPercent val="0"/>
                    <c:showBubbleSize val="0"/>
                    <c:extLst>
                      <c:ext xmlns:c16="http://schemas.microsoft.com/office/drawing/2014/chart" uri="{C3380CC4-5D6E-409C-BE32-E72D297353CC}">
                        <c16:uniqueId val="{00000001-03CC-455B-B2CC-172B5BCDDC07}"/>
                      </c:ext>
                    </c:extLst>
                  </c15:dLbl>
                </c15:categoryFilterException>
              </c15:categoryFilterExceptions>
            </c:ext>
            <c:ext xmlns:c16="http://schemas.microsoft.com/office/drawing/2014/chart" uri="{C3380CC4-5D6E-409C-BE32-E72D297353CC}">
              <c16:uniqueId val="{00000001-CA71-4DC6-AF12-16FC54A0EB86}"/>
            </c:ext>
          </c:extLst>
        </c:ser>
        <c:dLbls>
          <c:showLegendKey val="0"/>
          <c:showVal val="1"/>
          <c:showCatName val="0"/>
          <c:showSerName val="0"/>
          <c:showPercent val="0"/>
          <c:showBubbleSize val="0"/>
        </c:dLbls>
        <c:gapWidth val="70"/>
        <c:axId val="520380168"/>
        <c:axId val="520380952"/>
      </c:barChart>
      <c:catAx>
        <c:axId val="520380168"/>
        <c:scaling>
          <c:orientation val="minMax"/>
        </c:scaling>
        <c:delete val="0"/>
        <c:axPos val="b"/>
        <c:numFmt formatCode="General" sourceLinked="1"/>
        <c:majorTickMark val="none"/>
        <c:minorTickMark val="none"/>
        <c:tickLblPos val="none"/>
        <c:spPr>
          <a:ln w="3175">
            <a:solidFill>
              <a:srgbClr val="000000"/>
            </a:solidFill>
            <a:prstDash val="solid"/>
          </a:ln>
        </c:spPr>
        <c:crossAx val="520380952"/>
        <c:crossesAt val="0"/>
        <c:auto val="1"/>
        <c:lblAlgn val="ctr"/>
        <c:lblOffset val="100"/>
        <c:tickMarkSkip val="1"/>
        <c:noMultiLvlLbl val="0"/>
      </c:catAx>
      <c:valAx>
        <c:axId val="520380952"/>
        <c:scaling>
          <c:orientation val="minMax"/>
          <c:max val="5"/>
          <c:min val="1"/>
        </c:scaling>
        <c:delete val="0"/>
        <c:axPos val="l"/>
        <c:majorGridlines>
          <c:spPr>
            <a:ln w="3175">
              <a:solidFill>
                <a:srgbClr val="000000"/>
              </a:solidFill>
              <a:prstDash val="solid"/>
            </a:ln>
          </c:spPr>
        </c:majorGridlines>
        <c:numFmt formatCode="General"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0380168"/>
        <c:crosses val="autoZero"/>
        <c:crossBetween val="between"/>
        <c:majorUnit val="1"/>
        <c:minorUnit val="0.1"/>
      </c:valAx>
      <c:spPr>
        <a:noFill/>
        <a:ln w="3175">
          <a:solidFill>
            <a:srgbClr val="000000"/>
          </a:solidFill>
          <a:prstDash val="solid"/>
        </a:ln>
      </c:spPr>
    </c:plotArea>
    <c:plotVisOnly val="0"/>
    <c:dispBlanksAs val="gap"/>
    <c:showDLblsOverMax val="0"/>
  </c:chart>
  <c:spPr>
    <a:noFill/>
    <a:ln w="6350">
      <a:noFill/>
    </a:ln>
  </c:spPr>
  <c:txPr>
    <a:bodyPr/>
    <a:lstStyle/>
    <a:p>
      <a:pPr>
        <a:defRPr sz="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userShapes r:id="rId1"/>
</c:chartSpace>
</file>

<file path=xl/ctrlProps/ctrlProp1.xml><?xml version="1.0" encoding="utf-8"?>
<formControlPr xmlns="http://schemas.microsoft.com/office/spreadsheetml/2009/9/main" objectType="Radio" firstButton="1" fmlaLink="$Q$3" lockText="1"/>
</file>

<file path=xl/ctrlProps/ctrlProp2.xml><?xml version="1.0" encoding="utf-8"?>
<formControlPr xmlns="http://schemas.microsoft.com/office/spreadsheetml/2009/9/main" objectType="Radio" lockText="1"/>
</file>

<file path=xl/ctrlProps/ctrlProp3.xml><?xml version="1.0" encoding="utf-8"?>
<formControlPr xmlns="http://schemas.microsoft.com/office/spreadsheetml/2009/9/main" objectType="Radio" lockText="1"/>
</file>

<file path=xl/ctrlProps/ctrlProp4.xml><?xml version="1.0" encoding="utf-8"?>
<formControlPr xmlns="http://schemas.microsoft.com/office/spreadsheetml/2009/9/main" objectType="Radio" lockText="1"/>
</file>

<file path=xl/ctrlProps/ctrlProp5.xml><?xml version="1.0" encoding="utf-8"?>
<formControlPr xmlns="http://schemas.microsoft.com/office/spreadsheetml/2009/9/main" objectType="Radio" lockText="1"/>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openxmlformats.org/officeDocument/2006/relationships/image" Target="../media/image1.emf"/><Relationship Id="rId6" Type="http://schemas.openxmlformats.org/officeDocument/2006/relationships/chart" Target="../charts/chart5.xml"/><Relationship Id="rId11" Type="http://schemas.openxmlformats.org/officeDocument/2006/relationships/image" Target="../media/image5.png"/><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10.xml.rels><?xml version="1.0" encoding="UTF-8" standalone="yes"?>
<Relationships xmlns="http://schemas.openxmlformats.org/package/2006/relationships"><Relationship Id="rId8" Type="http://schemas.openxmlformats.org/officeDocument/2006/relationships/chart" Target="../charts/chart16.xml"/><Relationship Id="rId13" Type="http://schemas.openxmlformats.org/officeDocument/2006/relationships/image" Target="../media/image6.png"/><Relationship Id="rId3" Type="http://schemas.openxmlformats.org/officeDocument/2006/relationships/chart" Target="../charts/chart11.xml"/><Relationship Id="rId7" Type="http://schemas.openxmlformats.org/officeDocument/2006/relationships/chart" Target="../charts/chart15.xml"/><Relationship Id="rId12" Type="http://schemas.openxmlformats.org/officeDocument/2006/relationships/chart" Target="../charts/chart20.xml"/><Relationship Id="rId2" Type="http://schemas.openxmlformats.org/officeDocument/2006/relationships/chart" Target="../charts/chart10.xml"/><Relationship Id="rId1" Type="http://schemas.openxmlformats.org/officeDocument/2006/relationships/image" Target="../media/image1.emf"/><Relationship Id="rId6" Type="http://schemas.openxmlformats.org/officeDocument/2006/relationships/chart" Target="../charts/chart14.xml"/><Relationship Id="rId11" Type="http://schemas.openxmlformats.org/officeDocument/2006/relationships/chart" Target="../charts/chart19.xml"/><Relationship Id="rId5" Type="http://schemas.openxmlformats.org/officeDocument/2006/relationships/chart" Target="../charts/chart13.xml"/><Relationship Id="rId10" Type="http://schemas.openxmlformats.org/officeDocument/2006/relationships/chart" Target="../charts/chart18.xml"/><Relationship Id="rId4" Type="http://schemas.openxmlformats.org/officeDocument/2006/relationships/chart" Target="../charts/chart12.xml"/><Relationship Id="rId9"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11</xdr:col>
      <xdr:colOff>638175</xdr:colOff>
      <xdr:row>1</xdr:row>
      <xdr:rowOff>38100</xdr:rowOff>
    </xdr:from>
    <xdr:to>
      <xdr:col>14</xdr:col>
      <xdr:colOff>762000</xdr:colOff>
      <xdr:row>3</xdr:row>
      <xdr:rowOff>133350</xdr:rowOff>
    </xdr:to>
    <xdr:pic>
      <xdr:nvPicPr>
        <xdr:cNvPr id="2" name="Picture 38">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69884" t="27533" b="27725"/>
        <a:stretch>
          <a:fillRect/>
        </a:stretch>
      </xdr:blipFill>
      <xdr:spPr bwMode="auto">
        <a:xfrm>
          <a:off x="7353300" y="114300"/>
          <a:ext cx="25812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38100</xdr:colOff>
      <xdr:row>22</xdr:row>
      <xdr:rowOff>190500</xdr:rowOff>
    </xdr:from>
    <xdr:to>
      <xdr:col>7</xdr:col>
      <xdr:colOff>428625</xdr:colOff>
      <xdr:row>26</xdr:row>
      <xdr:rowOff>152400</xdr:rowOff>
    </xdr:to>
    <xdr:graphicFrame>
      <xdr:nvGraphicFramePr>
        <xdr:cNvPr id="3" name="Chart 123">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47625</xdr:colOff>
      <xdr:row>23</xdr:row>
      <xdr:rowOff>180975</xdr:rowOff>
    </xdr:from>
    <xdr:ext cx="560410" cy="219419"/>
    <xdr:sp textlink="">
      <xdr:nvSpPr>
        <xdr:cNvPr id="4" name="Text Box 39">
          <a:extLst>
            <a:ext uri="{FF2B5EF4-FFF2-40B4-BE49-F238E27FC236}">
              <a16:creationId xmlns:a16="http://schemas.microsoft.com/office/drawing/2014/main" id="{00000000-0008-0000-0000-000004000000}"/>
            </a:ext>
          </a:extLst>
        </xdr:cNvPr>
        <xdr:cNvSpPr txBox="1">
          <a:spLocks noChangeArrowheads="1"/>
        </xdr:cNvSpPr>
      </xdr:nvSpPr>
      <xdr:spPr bwMode="auto">
        <a:xfrm>
          <a:off x="47625" y="3876675"/>
          <a:ext cx="560410" cy="219419"/>
        </a:xfrm>
        <a:prstGeom prst="rect">
          <a:avLst/>
        </a:prstGeom>
        <a:noFill/>
        <a:ln w="9525">
          <a:noFill/>
          <a:miter lim="800000"/>
          <a:headEnd/>
          <a:tailEnd/>
        </a:ln>
      </xdr:spPr>
      <xdr:txBody>
        <a:bodyPr wrap="none" lIns="27432" tIns="27432" rIns="0" bIns="0" anchor="t" upright="1">
          <a:spAutoFit/>
        </a:bodyPr>
        <a:lstStyle/>
        <a:p>
          <a:pPr algn="l" rtl="1">
            <a:defRPr sz="1000"/>
          </a:pPr>
          <a:r>
            <a:rPr lang="en-US" altLang="ja-JP" sz="1300" b="1" i="0" strike="noStrike">
              <a:solidFill>
                <a:srgbClr val="000000"/>
              </a:solidFill>
              <a:latin typeface="Arial"/>
              <a:cs typeface="Arial"/>
            </a:rPr>
            <a:t>BEE = </a:t>
          </a:r>
        </a:p>
      </xdr:txBody>
    </xdr:sp>
    <xdr:clientData/>
  </xdr:oneCellAnchor>
  <xdr:twoCellAnchor editAs="absolute">
    <xdr:from>
      <xdr:col>2</xdr:col>
      <xdr:colOff>552450</xdr:colOff>
      <xdr:row>26</xdr:row>
      <xdr:rowOff>133350</xdr:rowOff>
    </xdr:from>
    <xdr:to>
      <xdr:col>7</xdr:col>
      <xdr:colOff>200025</xdr:colOff>
      <xdr:row>39</xdr:row>
      <xdr:rowOff>76200</xdr:rowOff>
    </xdr:to>
    <xdr:graphicFrame>
      <xdr:nvGraphicFramePr>
        <xdr:cNvPr id="8" name="Chart 1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9</xdr:col>
      <xdr:colOff>895350</xdr:colOff>
      <xdr:row>22</xdr:row>
      <xdr:rowOff>209550</xdr:rowOff>
    </xdr:from>
    <xdr:to>
      <xdr:col>14</xdr:col>
      <xdr:colOff>152400</xdr:colOff>
      <xdr:row>38</xdr:row>
      <xdr:rowOff>123825</xdr:rowOff>
    </xdr:to>
    <xdr:graphicFrame>
      <xdr:nvGraphicFramePr>
        <xdr:cNvPr id="15" name="Chart 8">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9525</xdr:colOff>
      <xdr:row>42</xdr:row>
      <xdr:rowOff>114300</xdr:rowOff>
    </xdr:from>
    <xdr:to>
      <xdr:col>7</xdr:col>
      <xdr:colOff>0</xdr:colOff>
      <xdr:row>50</xdr:row>
      <xdr:rowOff>171450</xdr:rowOff>
    </xdr:to>
    <xdr:graphicFrame>
      <xdr:nvGraphicFramePr>
        <xdr:cNvPr id="16" name="Chart 4">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238125</xdr:colOff>
      <xdr:row>42</xdr:row>
      <xdr:rowOff>104775</xdr:rowOff>
    </xdr:from>
    <xdr:to>
      <xdr:col>10</xdr:col>
      <xdr:colOff>752475</xdr:colOff>
      <xdr:row>50</xdr:row>
      <xdr:rowOff>161925</xdr:rowOff>
    </xdr:to>
    <xdr:graphicFrame>
      <xdr:nvGraphicFramePr>
        <xdr:cNvPr id="17" name="Chart 15">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76199</xdr:colOff>
      <xdr:row>42</xdr:row>
      <xdr:rowOff>104775</xdr:rowOff>
    </xdr:from>
    <xdr:to>
      <xdr:col>14</xdr:col>
      <xdr:colOff>371475</xdr:colOff>
      <xdr:row>50</xdr:row>
      <xdr:rowOff>161925</xdr:rowOff>
    </xdr:to>
    <xdr:graphicFrame>
      <xdr:nvGraphicFramePr>
        <xdr:cNvPr id="18" name="Chart 15">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47625</xdr:colOff>
      <xdr:row>53</xdr:row>
      <xdr:rowOff>152400</xdr:rowOff>
    </xdr:from>
    <xdr:to>
      <xdr:col>6</xdr:col>
      <xdr:colOff>476250</xdr:colOff>
      <xdr:row>61</xdr:row>
      <xdr:rowOff>161925</xdr:rowOff>
    </xdr:to>
    <xdr:graphicFrame>
      <xdr:nvGraphicFramePr>
        <xdr:cNvPr id="19" name="Chart 4">
          <a:extLst>
            <a:ext uri="{FF2B5EF4-FFF2-40B4-BE49-F238E27FC236}">
              <a16:creationId xmlns:a16="http://schemas.microsoft.com/office/drawing/2014/main" id="{00000000-0008-0000-00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228600</xdr:colOff>
      <xdr:row>53</xdr:row>
      <xdr:rowOff>133350</xdr:rowOff>
    </xdr:from>
    <xdr:to>
      <xdr:col>10</xdr:col>
      <xdr:colOff>742950</xdr:colOff>
      <xdr:row>61</xdr:row>
      <xdr:rowOff>142875</xdr:rowOff>
    </xdr:to>
    <xdr:graphicFrame>
      <xdr:nvGraphicFramePr>
        <xdr:cNvPr id="20" name="Chart 15">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12</xdr:col>
      <xdr:colOff>47625</xdr:colOff>
      <xdr:row>54</xdr:row>
      <xdr:rowOff>0</xdr:rowOff>
    </xdr:from>
    <xdr:to>
      <xdr:col>14</xdr:col>
      <xdr:colOff>400050</xdr:colOff>
      <xdr:row>62</xdr:row>
      <xdr:rowOff>0</xdr:rowOff>
    </xdr:to>
    <xdr:graphicFrame>
      <xdr:nvGraphicFramePr>
        <xdr:cNvPr id="21" name="Chart 15">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2</xdr:col>
      <xdr:colOff>219075</xdr:colOff>
      <xdr:row>49</xdr:row>
      <xdr:rowOff>161925</xdr:rowOff>
    </xdr:from>
    <xdr:to>
      <xdr:col>2</xdr:col>
      <xdr:colOff>704850</xdr:colOff>
      <xdr:row>50</xdr:row>
      <xdr:rowOff>104775</xdr:rowOff>
    </xdr:to>
    <xdr:sp textlink="">
      <xdr:nvSpPr>
        <xdr:cNvPr id="22" name="Text Box 20">
          <a:extLst>
            <a:ext uri="{FF2B5EF4-FFF2-40B4-BE49-F238E27FC236}">
              <a16:creationId xmlns:a16="http://schemas.microsoft.com/office/drawing/2014/main" id="{00000000-0008-0000-0000-000016000000}"/>
            </a:ext>
          </a:extLst>
        </xdr:cNvPr>
        <xdr:cNvSpPr txBox="1">
          <a:spLocks noChangeArrowheads="1"/>
        </xdr:cNvSpPr>
      </xdr:nvSpPr>
      <xdr:spPr bwMode="auto">
        <a:xfrm>
          <a:off x="438150" y="8896350"/>
          <a:ext cx="485775" cy="13335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音環境　　　　　　　　　　</a:t>
          </a:r>
        </a:p>
      </xdr:txBody>
    </xdr:sp>
    <xdr:clientData/>
  </xdr:twoCellAnchor>
  <xdr:twoCellAnchor editAs="oneCell">
    <xdr:from>
      <xdr:col>7</xdr:col>
      <xdr:colOff>781050</xdr:colOff>
      <xdr:row>49</xdr:row>
      <xdr:rowOff>161925</xdr:rowOff>
    </xdr:from>
    <xdr:to>
      <xdr:col>8</xdr:col>
      <xdr:colOff>285750</xdr:colOff>
      <xdr:row>50</xdr:row>
      <xdr:rowOff>104775</xdr:rowOff>
    </xdr:to>
    <xdr:sp textlink="">
      <xdr:nvSpPr>
        <xdr:cNvPr id="23" name="Text Box 21">
          <a:extLst>
            <a:ext uri="{FF2B5EF4-FFF2-40B4-BE49-F238E27FC236}">
              <a16:creationId xmlns:a16="http://schemas.microsoft.com/office/drawing/2014/main" id="{00000000-0008-0000-0000-000017000000}"/>
            </a:ext>
          </a:extLst>
        </xdr:cNvPr>
        <xdr:cNvSpPr txBox="1">
          <a:spLocks noChangeArrowheads="1"/>
        </xdr:cNvSpPr>
      </xdr:nvSpPr>
      <xdr:spPr bwMode="auto">
        <a:xfrm>
          <a:off x="4143375" y="8896350"/>
          <a:ext cx="504825" cy="13335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機能性  </a:t>
          </a:r>
        </a:p>
      </xdr:txBody>
    </xdr:sp>
    <xdr:clientData/>
  </xdr:twoCellAnchor>
  <xdr:oneCellAnchor>
    <xdr:from>
      <xdr:col>12</xdr:col>
      <xdr:colOff>712731</xdr:colOff>
      <xdr:row>49</xdr:row>
      <xdr:rowOff>142865</xdr:rowOff>
    </xdr:from>
    <xdr:ext cx="708143" cy="133370"/>
    <xdr:sp textlink="">
      <xdr:nvSpPr>
        <xdr:cNvPr id="24" name="Text Box 22">
          <a:extLst>
            <a:ext uri="{FF2B5EF4-FFF2-40B4-BE49-F238E27FC236}">
              <a16:creationId xmlns:a16="http://schemas.microsoft.com/office/drawing/2014/main" id="{00000000-0008-0000-0000-000018000000}"/>
            </a:ext>
          </a:extLst>
        </xdr:cNvPr>
        <xdr:cNvSpPr txBox="1">
          <a:spLocks noChangeArrowheads="1"/>
        </xdr:cNvSpPr>
      </xdr:nvSpPr>
      <xdr:spPr bwMode="auto">
        <a:xfrm>
          <a:off x="8332731" y="9286865"/>
          <a:ext cx="708143" cy="133370"/>
        </a:xfrm>
        <a:prstGeom prst="rect">
          <a:avLst/>
        </a:prstGeom>
        <a:noFill/>
        <a:ln w="9525">
          <a:noFill/>
          <a:miter lim="800000"/>
          <a:headEnd/>
          <a:tailEnd/>
        </a:ln>
      </xdr:spPr>
      <xdr:txBody>
        <a:bodyPr wrap="none" lIns="0" tIns="0" rIns="0" bIns="0" anchor="ctr" upright="1">
          <a:spAutoFit/>
        </a:bodyPr>
        <a:lstStyle/>
        <a:p>
          <a:pPr algn="ctr" rtl="0">
            <a:defRPr sz="1000"/>
          </a:pPr>
          <a:r>
            <a:rPr lang="ja-JP" altLang="en-US" sz="800" b="0" i="0" strike="noStrike">
              <a:solidFill>
                <a:srgbClr val="000000"/>
              </a:solidFill>
              <a:latin typeface="ＭＳ Ｐゴシック"/>
              <a:ea typeface="ＭＳ Ｐゴシック"/>
            </a:rPr>
            <a:t>豊かな室外環境</a:t>
          </a:r>
        </a:p>
      </xdr:txBody>
    </xdr:sp>
    <xdr:clientData/>
  </xdr:oneCellAnchor>
  <xdr:twoCellAnchor editAs="oneCell">
    <xdr:from>
      <xdr:col>9</xdr:col>
      <xdr:colOff>85725</xdr:colOff>
      <xdr:row>49</xdr:row>
      <xdr:rowOff>114300</xdr:rowOff>
    </xdr:from>
    <xdr:to>
      <xdr:col>9</xdr:col>
      <xdr:colOff>581025</xdr:colOff>
      <xdr:row>51</xdr:row>
      <xdr:rowOff>0</xdr:rowOff>
    </xdr:to>
    <xdr:sp textlink="">
      <xdr:nvSpPr>
        <xdr:cNvPr id="25" name="Text Box 107">
          <a:extLst>
            <a:ext uri="{FF2B5EF4-FFF2-40B4-BE49-F238E27FC236}">
              <a16:creationId xmlns:a16="http://schemas.microsoft.com/office/drawing/2014/main" id="{00000000-0008-0000-0000-000019000000}"/>
            </a:ext>
          </a:extLst>
        </xdr:cNvPr>
        <xdr:cNvSpPr txBox="1">
          <a:spLocks noChangeArrowheads="1"/>
        </xdr:cNvSpPr>
      </xdr:nvSpPr>
      <xdr:spPr bwMode="auto">
        <a:xfrm>
          <a:off x="4972050" y="8848725"/>
          <a:ext cx="495300" cy="2667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 耐用性</a:t>
          </a:r>
        </a:p>
        <a:p>
          <a:pPr algn="ctr" rtl="0">
            <a:defRPr sz="1000"/>
          </a:pPr>
          <a:r>
            <a:rPr lang="ja-JP" altLang="en-US" sz="800" b="0" i="0" strike="noStrike">
              <a:solidFill>
                <a:srgbClr val="000000"/>
              </a:solidFill>
              <a:latin typeface="ＭＳ Ｐゴシック"/>
              <a:ea typeface="ＭＳ Ｐゴシック"/>
            </a:rPr>
            <a:t> ・信頼性</a:t>
          </a:r>
        </a:p>
      </xdr:txBody>
    </xdr:sp>
    <xdr:clientData/>
  </xdr:twoCellAnchor>
  <xdr:twoCellAnchor editAs="oneCell">
    <xdr:from>
      <xdr:col>10</xdr:col>
      <xdr:colOff>66675</xdr:colOff>
      <xdr:row>49</xdr:row>
      <xdr:rowOff>114300</xdr:rowOff>
    </xdr:from>
    <xdr:to>
      <xdr:col>10</xdr:col>
      <xdr:colOff>571500</xdr:colOff>
      <xdr:row>51</xdr:row>
      <xdr:rowOff>0</xdr:rowOff>
    </xdr:to>
    <xdr:sp textlink="">
      <xdr:nvSpPr>
        <xdr:cNvPr id="26" name="Text Box 108">
          <a:extLst>
            <a:ext uri="{FF2B5EF4-FFF2-40B4-BE49-F238E27FC236}">
              <a16:creationId xmlns:a16="http://schemas.microsoft.com/office/drawing/2014/main" id="{00000000-0008-0000-0000-00001A000000}"/>
            </a:ext>
          </a:extLst>
        </xdr:cNvPr>
        <xdr:cNvSpPr txBox="1">
          <a:spLocks noChangeArrowheads="1"/>
        </xdr:cNvSpPr>
      </xdr:nvSpPr>
      <xdr:spPr bwMode="auto">
        <a:xfrm>
          <a:off x="5876925" y="8848725"/>
          <a:ext cx="504825" cy="2667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対応性</a:t>
          </a:r>
        </a:p>
        <a:p>
          <a:pPr algn="ctr" rtl="0">
            <a:defRPr sz="1000"/>
          </a:pPr>
          <a:r>
            <a:rPr lang="ja-JP" altLang="en-US" sz="800" b="0" i="0" strike="noStrike">
              <a:solidFill>
                <a:srgbClr val="000000"/>
              </a:solidFill>
              <a:latin typeface="ＭＳ Ｐゴシック"/>
              <a:ea typeface="ＭＳ Ｐゴシック"/>
            </a:rPr>
            <a:t> ・更新性　</a:t>
          </a:r>
        </a:p>
      </xdr:txBody>
    </xdr:sp>
    <xdr:clientData/>
  </xdr:twoCellAnchor>
  <xdr:oneCellAnchor>
    <xdr:from>
      <xdr:col>13</xdr:col>
      <xdr:colOff>85725</xdr:colOff>
      <xdr:row>42</xdr:row>
      <xdr:rowOff>9525</xdr:rowOff>
    </xdr:from>
    <xdr:ext cx="779957" cy="201850"/>
    <xdr:sp textlink="">
      <xdr:nvSpPr>
        <xdr:cNvPr id="29" name="Text Box 135">
          <a:extLst>
            <a:ext uri="{FF2B5EF4-FFF2-40B4-BE49-F238E27FC236}">
              <a16:creationId xmlns:a16="http://schemas.microsoft.com/office/drawing/2014/main" id="{00000000-0008-0000-0000-00001D000000}"/>
            </a:ext>
          </a:extLst>
        </xdr:cNvPr>
        <xdr:cNvSpPr txBox="1">
          <a:spLocks noChangeArrowheads="1"/>
        </xdr:cNvSpPr>
      </xdr:nvSpPr>
      <xdr:spPr bwMode="auto">
        <a:xfrm>
          <a:off x="8601075" y="7410450"/>
          <a:ext cx="779957" cy="201850"/>
        </a:xfrm>
        <a:prstGeom prst="rect">
          <a:avLst/>
        </a:prstGeom>
        <a:noFill/>
        <a:ln w="9525">
          <a:noFill/>
          <a:miter lim="800000"/>
          <a:headEnd/>
          <a:tailEnd/>
        </a:ln>
      </xdr:spPr>
      <xdr:txBody>
        <a:bodyPr wrap="none" lIns="27432" tIns="18288" rIns="0" bIns="0" anchor="t" upright="1">
          <a:spAutoFit/>
        </a:bodyPr>
        <a:lstStyle/>
        <a:p>
          <a:pPr algn="l" rtl="0">
            <a:defRPr sz="1000"/>
          </a:pPr>
          <a:r>
            <a:rPr lang="en-US" altLang="ja-JP" sz="1100" b="1" i="0" strike="noStrike">
              <a:solidFill>
                <a:srgbClr val="000000"/>
              </a:solidFill>
              <a:latin typeface="ＭＳ Ｐゴシック"/>
              <a:ea typeface="ＭＳ Ｐゴシック"/>
            </a:rPr>
            <a:t>Q3</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9</xdr:col>
      <xdr:colOff>57150</xdr:colOff>
      <xdr:row>41</xdr:row>
      <xdr:rowOff>171450</xdr:rowOff>
    </xdr:from>
    <xdr:ext cx="779957" cy="201850"/>
    <xdr:sp textlink="">
      <xdr:nvSpPr>
        <xdr:cNvPr id="30" name="Text Box 138">
          <a:extLst>
            <a:ext uri="{FF2B5EF4-FFF2-40B4-BE49-F238E27FC236}">
              <a16:creationId xmlns:a16="http://schemas.microsoft.com/office/drawing/2014/main" id="{00000000-0008-0000-0000-00001E000000}"/>
            </a:ext>
          </a:extLst>
        </xdr:cNvPr>
        <xdr:cNvSpPr txBox="1">
          <a:spLocks noChangeArrowheads="1"/>
        </xdr:cNvSpPr>
      </xdr:nvSpPr>
      <xdr:spPr bwMode="auto">
        <a:xfrm>
          <a:off x="4943475" y="7381875"/>
          <a:ext cx="779957" cy="201850"/>
        </a:xfrm>
        <a:prstGeom prst="rect">
          <a:avLst/>
        </a:prstGeom>
        <a:noFill/>
        <a:ln w="9525">
          <a:noFill/>
          <a:miter lim="800000"/>
          <a:headEnd/>
          <a:tailEnd/>
        </a:ln>
      </xdr:spPr>
      <xdr:txBody>
        <a:bodyPr wrap="none" lIns="27432" tIns="18288" rIns="0" bIns="0" anchor="t" upright="1">
          <a:spAutoFit/>
        </a:bodyPr>
        <a:lstStyle/>
        <a:p>
          <a:pPr algn="l" rtl="0">
            <a:defRPr sz="1000"/>
          </a:pPr>
          <a:r>
            <a:rPr lang="en-US" altLang="ja-JP" sz="1100" b="1" i="0" strike="noStrike">
              <a:solidFill>
                <a:srgbClr val="000000"/>
              </a:solidFill>
              <a:latin typeface="ＭＳ Ｐゴシック"/>
              <a:ea typeface="ＭＳ Ｐゴシック"/>
            </a:rPr>
            <a:t>Q2</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4</xdr:col>
      <xdr:colOff>333375</xdr:colOff>
      <xdr:row>42</xdr:row>
      <xdr:rowOff>0</xdr:rowOff>
    </xdr:from>
    <xdr:ext cx="779957" cy="201850"/>
    <xdr:sp textlink="">
      <xdr:nvSpPr>
        <xdr:cNvPr id="31" name="Text Box 139">
          <a:extLst>
            <a:ext uri="{FF2B5EF4-FFF2-40B4-BE49-F238E27FC236}">
              <a16:creationId xmlns:a16="http://schemas.microsoft.com/office/drawing/2014/main" id="{00000000-0008-0000-0000-00001F000000}"/>
            </a:ext>
          </a:extLst>
        </xdr:cNvPr>
        <xdr:cNvSpPr txBox="1">
          <a:spLocks noChangeArrowheads="1"/>
        </xdr:cNvSpPr>
      </xdr:nvSpPr>
      <xdr:spPr bwMode="auto">
        <a:xfrm>
          <a:off x="1981200" y="7400925"/>
          <a:ext cx="779957" cy="201850"/>
        </a:xfrm>
        <a:prstGeom prst="rect">
          <a:avLst/>
        </a:prstGeom>
        <a:noFill/>
        <a:ln w="9525">
          <a:noFill/>
          <a:miter lim="800000"/>
          <a:headEnd/>
          <a:tailEnd/>
        </a:ln>
      </xdr:spPr>
      <xdr:txBody>
        <a:bodyPr wrap="none" lIns="27432" tIns="18288" rIns="0" bIns="0" anchor="t" upright="1">
          <a:spAutoFit/>
        </a:bodyPr>
        <a:lstStyle/>
        <a:p>
          <a:pPr algn="l" rtl="0">
            <a:defRPr sz="1000"/>
          </a:pPr>
          <a:r>
            <a:rPr lang="en-US" altLang="ja-JP" sz="1100" b="1" i="0" strike="noStrike">
              <a:solidFill>
                <a:srgbClr val="000000"/>
              </a:solidFill>
              <a:latin typeface="ＭＳ Ｐゴシック"/>
              <a:ea typeface="ＭＳ Ｐゴシック"/>
            </a:rPr>
            <a:t>Q1</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twoCellAnchor editAs="oneCell">
    <xdr:from>
      <xdr:col>2</xdr:col>
      <xdr:colOff>933450</xdr:colOff>
      <xdr:row>49</xdr:row>
      <xdr:rowOff>171450</xdr:rowOff>
    </xdr:from>
    <xdr:to>
      <xdr:col>4</xdr:col>
      <xdr:colOff>76200</xdr:colOff>
      <xdr:row>50</xdr:row>
      <xdr:rowOff>95250</xdr:rowOff>
    </xdr:to>
    <xdr:sp textlink="">
      <xdr:nvSpPr>
        <xdr:cNvPr id="32" name="Text Box 142">
          <a:extLst>
            <a:ext uri="{FF2B5EF4-FFF2-40B4-BE49-F238E27FC236}">
              <a16:creationId xmlns:a16="http://schemas.microsoft.com/office/drawing/2014/main" id="{00000000-0008-0000-0000-000020000000}"/>
            </a:ext>
          </a:extLst>
        </xdr:cNvPr>
        <xdr:cNvSpPr txBox="1">
          <a:spLocks noChangeArrowheads="1"/>
        </xdr:cNvSpPr>
      </xdr:nvSpPr>
      <xdr:spPr bwMode="auto">
        <a:xfrm>
          <a:off x="1152525" y="8905875"/>
          <a:ext cx="571500" cy="1143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温熱環境</a:t>
          </a:r>
        </a:p>
      </xdr:txBody>
    </xdr:sp>
    <xdr:clientData/>
  </xdr:twoCellAnchor>
  <xdr:oneCellAnchor>
    <xdr:from>
      <xdr:col>4</xdr:col>
      <xdr:colOff>295275</xdr:colOff>
      <xdr:row>49</xdr:row>
      <xdr:rowOff>171450</xdr:rowOff>
    </xdr:from>
    <xdr:ext cx="660117" cy="133370"/>
    <xdr:sp textlink="">
      <xdr:nvSpPr>
        <xdr:cNvPr id="33" name="Text Box 143">
          <a:extLst>
            <a:ext uri="{FF2B5EF4-FFF2-40B4-BE49-F238E27FC236}">
              <a16:creationId xmlns:a16="http://schemas.microsoft.com/office/drawing/2014/main" id="{00000000-0008-0000-0000-000021000000}"/>
            </a:ext>
          </a:extLst>
        </xdr:cNvPr>
        <xdr:cNvSpPr txBox="1">
          <a:spLocks noChangeArrowheads="1"/>
        </xdr:cNvSpPr>
      </xdr:nvSpPr>
      <xdr:spPr bwMode="auto">
        <a:xfrm>
          <a:off x="1943100" y="8905875"/>
          <a:ext cx="660117" cy="133370"/>
        </a:xfrm>
        <a:prstGeom prst="rect">
          <a:avLst/>
        </a:prstGeom>
        <a:noFill/>
        <a:ln w="9525">
          <a:noFill/>
          <a:miter lim="800000"/>
          <a:headEnd/>
          <a:tailEnd/>
        </a:ln>
      </xdr:spPr>
      <xdr:txBody>
        <a:bodyPr wrap="none" lIns="0" tIns="0" rIns="0" bIns="0" anchor="ctr" upright="1">
          <a:spAutoFit/>
        </a:bodyPr>
        <a:lstStyle/>
        <a:p>
          <a:pPr algn="ctr" rtl="0">
            <a:defRPr sz="1000"/>
          </a:pPr>
          <a:r>
            <a:rPr lang="ja-JP" altLang="en-US" sz="800" b="0" i="0" strike="noStrike">
              <a:solidFill>
                <a:srgbClr val="000000"/>
              </a:solidFill>
              <a:latin typeface="ＭＳ Ｐゴシック"/>
              <a:ea typeface="ＭＳ Ｐゴシック"/>
            </a:rPr>
            <a:t>光･視環境　　　</a:t>
          </a:r>
        </a:p>
      </xdr:txBody>
    </xdr:sp>
    <xdr:clientData/>
  </xdr:oneCellAnchor>
  <xdr:twoCellAnchor editAs="oneCell">
    <xdr:from>
      <xdr:col>5</xdr:col>
      <xdr:colOff>171450</xdr:colOff>
      <xdr:row>49</xdr:row>
      <xdr:rowOff>161925</xdr:rowOff>
    </xdr:from>
    <xdr:to>
      <xdr:col>6</xdr:col>
      <xdr:colOff>400050</xdr:colOff>
      <xdr:row>50</xdr:row>
      <xdr:rowOff>104775</xdr:rowOff>
    </xdr:to>
    <xdr:sp textlink="">
      <xdr:nvSpPr>
        <xdr:cNvPr id="34" name="Text Box 144">
          <a:extLst>
            <a:ext uri="{FF2B5EF4-FFF2-40B4-BE49-F238E27FC236}">
              <a16:creationId xmlns:a16="http://schemas.microsoft.com/office/drawing/2014/main" id="{00000000-0008-0000-0000-000022000000}"/>
            </a:ext>
          </a:extLst>
        </xdr:cNvPr>
        <xdr:cNvSpPr txBox="1">
          <a:spLocks noChangeArrowheads="1"/>
        </xdr:cNvSpPr>
      </xdr:nvSpPr>
      <xdr:spPr bwMode="auto">
        <a:xfrm>
          <a:off x="2562225" y="8896350"/>
          <a:ext cx="704850" cy="13335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空気質環境　　　　　　　</a:t>
          </a:r>
        </a:p>
      </xdr:txBody>
    </xdr:sp>
    <xdr:clientData/>
  </xdr:twoCellAnchor>
  <xdr:twoCellAnchor editAs="oneCell">
    <xdr:from>
      <xdr:col>7</xdr:col>
      <xdr:colOff>657225</xdr:colOff>
      <xdr:row>60</xdr:row>
      <xdr:rowOff>114300</xdr:rowOff>
    </xdr:from>
    <xdr:to>
      <xdr:col>8</xdr:col>
      <xdr:colOff>209550</xdr:colOff>
      <xdr:row>61</xdr:row>
      <xdr:rowOff>190500</xdr:rowOff>
    </xdr:to>
    <xdr:sp textlink="">
      <xdr:nvSpPr>
        <xdr:cNvPr id="35" name="Text Box 7">
          <a:extLst>
            <a:ext uri="{FF2B5EF4-FFF2-40B4-BE49-F238E27FC236}">
              <a16:creationId xmlns:a16="http://schemas.microsoft.com/office/drawing/2014/main" id="{00000000-0008-0000-0000-000023000000}"/>
            </a:ext>
          </a:extLst>
        </xdr:cNvPr>
        <xdr:cNvSpPr txBox="1">
          <a:spLocks noChangeArrowheads="1"/>
        </xdr:cNvSpPr>
      </xdr:nvSpPr>
      <xdr:spPr bwMode="auto">
        <a:xfrm>
          <a:off x="4019550" y="11020425"/>
          <a:ext cx="552450" cy="276225"/>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900" b="0" i="0" strike="noStrike">
              <a:solidFill>
                <a:srgbClr val="000000"/>
              </a:solidFill>
              <a:latin typeface="ＭＳ Ｐゴシック"/>
              <a:ea typeface="ＭＳ Ｐゴシック"/>
            </a:rPr>
            <a:t>   </a:t>
          </a:r>
          <a:r>
            <a:rPr lang="ja-JP" altLang="en-US" sz="800" b="0" i="0" strike="noStrike">
              <a:solidFill>
                <a:srgbClr val="000000"/>
              </a:solidFill>
              <a:latin typeface="ＭＳ Ｐゴシック"/>
              <a:ea typeface="ＭＳ Ｐゴシック"/>
            </a:rPr>
            <a:t>水資源　　</a:t>
          </a:r>
        </a:p>
        <a:p>
          <a:pPr algn="ctr" rtl="0">
            <a:defRPr sz="1000"/>
          </a:pPr>
          <a:r>
            <a:rPr lang="ja-JP" altLang="en-US" sz="800" b="0" i="0" strike="noStrike">
              <a:solidFill>
                <a:srgbClr val="000000"/>
              </a:solidFill>
              <a:latin typeface="ＭＳ Ｐゴシック"/>
              <a:ea typeface="ＭＳ Ｐゴシック"/>
            </a:rPr>
            <a:t>　  保護</a:t>
          </a:r>
        </a:p>
      </xdr:txBody>
    </xdr:sp>
    <xdr:clientData/>
  </xdr:twoCellAnchor>
  <xdr:twoCellAnchor editAs="oneCell">
    <xdr:from>
      <xdr:col>9</xdr:col>
      <xdr:colOff>0</xdr:colOff>
      <xdr:row>60</xdr:row>
      <xdr:rowOff>114300</xdr:rowOff>
    </xdr:from>
    <xdr:to>
      <xdr:col>9</xdr:col>
      <xdr:colOff>704850</xdr:colOff>
      <xdr:row>61</xdr:row>
      <xdr:rowOff>190500</xdr:rowOff>
    </xdr:to>
    <xdr:sp textlink="">
      <xdr:nvSpPr>
        <xdr:cNvPr id="36" name="Text Box 104">
          <a:extLst>
            <a:ext uri="{FF2B5EF4-FFF2-40B4-BE49-F238E27FC236}">
              <a16:creationId xmlns:a16="http://schemas.microsoft.com/office/drawing/2014/main" id="{00000000-0008-0000-0000-000024000000}"/>
            </a:ext>
          </a:extLst>
        </xdr:cNvPr>
        <xdr:cNvSpPr txBox="1">
          <a:spLocks noChangeArrowheads="1"/>
        </xdr:cNvSpPr>
      </xdr:nvSpPr>
      <xdr:spPr bwMode="auto">
        <a:xfrm>
          <a:off x="4886325" y="11020425"/>
          <a:ext cx="704850" cy="276225"/>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800" b="0" i="0" strike="noStrike">
              <a:solidFill>
                <a:srgbClr val="000000"/>
              </a:solidFill>
              <a:latin typeface="ＭＳ Ｐゴシック"/>
              <a:ea typeface="ＭＳ Ｐゴシック"/>
            </a:rPr>
            <a:t>非再生材料の</a:t>
          </a:r>
        </a:p>
        <a:p>
          <a:pPr algn="ctr" rtl="0">
            <a:lnSpc>
              <a:spcPts val="1000"/>
            </a:lnSpc>
            <a:defRPr sz="1000"/>
          </a:pPr>
          <a:r>
            <a:rPr lang="ja-JP" altLang="en-US" sz="800" b="0" i="0" strike="noStrike">
              <a:solidFill>
                <a:srgbClr val="000000"/>
              </a:solidFill>
              <a:latin typeface="ＭＳ Ｐゴシック"/>
              <a:ea typeface="ＭＳ Ｐゴシック"/>
            </a:rPr>
            <a:t>使用削減</a:t>
          </a:r>
          <a:r>
            <a:rPr lang="ja-JP" altLang="en-US" sz="900" b="0" i="0" strike="noStrike">
              <a:solidFill>
                <a:srgbClr val="000000"/>
              </a:solidFill>
              <a:latin typeface="ＭＳ Ｐゴシック"/>
              <a:ea typeface="ＭＳ Ｐゴシック"/>
            </a:rPr>
            <a:t>　　　</a:t>
          </a:r>
        </a:p>
      </xdr:txBody>
    </xdr:sp>
    <xdr:clientData/>
  </xdr:twoCellAnchor>
  <xdr:oneCellAnchor>
    <xdr:from>
      <xdr:col>13</xdr:col>
      <xdr:colOff>66675</xdr:colOff>
      <xdr:row>52</xdr:row>
      <xdr:rowOff>180975</xdr:rowOff>
    </xdr:from>
    <xdr:ext cx="845040" cy="201850"/>
    <xdr:sp textlink="">
      <xdr:nvSpPr>
        <xdr:cNvPr id="37" name="Text Box 136">
          <a:extLst>
            <a:ext uri="{FF2B5EF4-FFF2-40B4-BE49-F238E27FC236}">
              <a16:creationId xmlns:a16="http://schemas.microsoft.com/office/drawing/2014/main" id="{00000000-0008-0000-0000-000025000000}"/>
            </a:ext>
          </a:extLst>
        </xdr:cNvPr>
        <xdr:cNvSpPr txBox="1">
          <a:spLocks noChangeArrowheads="1"/>
        </xdr:cNvSpPr>
      </xdr:nvSpPr>
      <xdr:spPr bwMode="auto">
        <a:xfrm>
          <a:off x="8582025" y="9525000"/>
          <a:ext cx="845040" cy="201850"/>
        </a:xfrm>
        <a:prstGeom prst="rect">
          <a:avLst/>
        </a:prstGeom>
        <a:noFill/>
        <a:ln w="9525">
          <a:noFill/>
          <a:miter lim="800000"/>
          <a:headEnd/>
          <a:tailEnd/>
        </a:ln>
      </xdr:spPr>
      <xdr:txBody>
        <a:bodyPr wrap="none" lIns="27432" tIns="18288" rIns="0" bIns="0" anchor="t" upright="1">
          <a:spAutoFit/>
        </a:bodyPr>
        <a:lstStyle/>
        <a:p>
          <a:pPr algn="l" rtl="0">
            <a:defRPr sz="1000"/>
          </a:pPr>
          <a:r>
            <a:rPr lang="en-US" altLang="ja-JP" sz="1100" b="1" i="0" strike="noStrike">
              <a:solidFill>
                <a:srgbClr val="000000"/>
              </a:solidFill>
              <a:latin typeface="ＭＳ Ｐゴシック"/>
              <a:ea typeface="ＭＳ Ｐゴシック"/>
            </a:rPr>
            <a:t>LR3</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8</xdr:col>
      <xdr:colOff>495300</xdr:colOff>
      <xdr:row>52</xdr:row>
      <xdr:rowOff>180975</xdr:rowOff>
    </xdr:from>
    <xdr:ext cx="845040" cy="201850"/>
    <xdr:sp textlink="">
      <xdr:nvSpPr>
        <xdr:cNvPr id="38" name="Text Box 137">
          <a:extLst>
            <a:ext uri="{FF2B5EF4-FFF2-40B4-BE49-F238E27FC236}">
              <a16:creationId xmlns:a16="http://schemas.microsoft.com/office/drawing/2014/main" id="{00000000-0008-0000-0000-000026000000}"/>
            </a:ext>
          </a:extLst>
        </xdr:cNvPr>
        <xdr:cNvSpPr txBox="1">
          <a:spLocks noChangeArrowheads="1"/>
        </xdr:cNvSpPr>
      </xdr:nvSpPr>
      <xdr:spPr bwMode="auto">
        <a:xfrm>
          <a:off x="4857750" y="9525000"/>
          <a:ext cx="845040" cy="201850"/>
        </a:xfrm>
        <a:prstGeom prst="rect">
          <a:avLst/>
        </a:prstGeom>
        <a:noFill/>
        <a:ln w="9525">
          <a:noFill/>
          <a:miter lim="800000"/>
          <a:headEnd/>
          <a:tailEnd/>
        </a:ln>
      </xdr:spPr>
      <xdr:txBody>
        <a:bodyPr wrap="none" lIns="27432" tIns="18288" rIns="0" bIns="0" anchor="t" upright="1">
          <a:spAutoFit/>
        </a:bodyPr>
        <a:lstStyle/>
        <a:p>
          <a:pPr algn="l" rtl="0">
            <a:defRPr sz="1000"/>
          </a:pPr>
          <a:r>
            <a:rPr lang="en-US" altLang="ja-JP" sz="1100" b="1" i="0" strike="noStrike">
              <a:solidFill>
                <a:srgbClr val="000000"/>
              </a:solidFill>
              <a:latin typeface="ＭＳ Ｐゴシック"/>
              <a:ea typeface="ＭＳ Ｐゴシック"/>
            </a:rPr>
            <a:t>LR2</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4</xdr:col>
      <xdr:colOff>266700</xdr:colOff>
      <xdr:row>52</xdr:row>
      <xdr:rowOff>180975</xdr:rowOff>
    </xdr:from>
    <xdr:ext cx="845040" cy="201850"/>
    <xdr:sp textlink="">
      <xdr:nvSpPr>
        <xdr:cNvPr id="39" name="Text Box 140">
          <a:extLst>
            <a:ext uri="{FF2B5EF4-FFF2-40B4-BE49-F238E27FC236}">
              <a16:creationId xmlns:a16="http://schemas.microsoft.com/office/drawing/2014/main" id="{00000000-0008-0000-0000-000027000000}"/>
            </a:ext>
          </a:extLst>
        </xdr:cNvPr>
        <xdr:cNvSpPr txBox="1">
          <a:spLocks noChangeArrowheads="1"/>
        </xdr:cNvSpPr>
      </xdr:nvSpPr>
      <xdr:spPr bwMode="auto">
        <a:xfrm>
          <a:off x="1914525" y="9525000"/>
          <a:ext cx="845040" cy="201850"/>
        </a:xfrm>
        <a:prstGeom prst="rect">
          <a:avLst/>
        </a:prstGeom>
        <a:noFill/>
        <a:ln w="9525">
          <a:noFill/>
          <a:miter lim="800000"/>
          <a:headEnd/>
          <a:tailEnd/>
        </a:ln>
      </xdr:spPr>
      <xdr:txBody>
        <a:bodyPr wrap="none" lIns="27432" tIns="18288" rIns="0" bIns="0" anchor="t" upright="1">
          <a:spAutoFit/>
        </a:bodyPr>
        <a:lstStyle/>
        <a:p>
          <a:pPr algn="l" rtl="0">
            <a:defRPr sz="1000"/>
          </a:pPr>
          <a:r>
            <a:rPr lang="en-US" altLang="ja-JP" sz="1100" b="1" i="0" strike="noStrike">
              <a:solidFill>
                <a:srgbClr val="000000"/>
              </a:solidFill>
              <a:latin typeface="ＭＳ Ｐゴシック"/>
              <a:ea typeface="ＭＳ Ｐゴシック"/>
            </a:rPr>
            <a:t>LR1</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twoCellAnchor editAs="oneCell">
    <xdr:from>
      <xdr:col>9</xdr:col>
      <xdr:colOff>876300</xdr:colOff>
      <xdr:row>60</xdr:row>
      <xdr:rowOff>114300</xdr:rowOff>
    </xdr:from>
    <xdr:to>
      <xdr:col>10</xdr:col>
      <xdr:colOff>657225</xdr:colOff>
      <xdr:row>61</xdr:row>
      <xdr:rowOff>190500</xdr:rowOff>
    </xdr:to>
    <xdr:sp textlink="">
      <xdr:nvSpPr>
        <xdr:cNvPr id="40" name="Text Box 145">
          <a:extLst>
            <a:ext uri="{FF2B5EF4-FFF2-40B4-BE49-F238E27FC236}">
              <a16:creationId xmlns:a16="http://schemas.microsoft.com/office/drawing/2014/main" id="{00000000-0008-0000-0000-000028000000}"/>
            </a:ext>
          </a:extLst>
        </xdr:cNvPr>
        <xdr:cNvSpPr txBox="1">
          <a:spLocks noChangeArrowheads="1"/>
        </xdr:cNvSpPr>
      </xdr:nvSpPr>
      <xdr:spPr bwMode="auto">
        <a:xfrm>
          <a:off x="5762625" y="11020425"/>
          <a:ext cx="704850" cy="276225"/>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800" b="0" i="0" strike="noStrike">
              <a:solidFill>
                <a:srgbClr val="000000"/>
              </a:solidFill>
              <a:latin typeface="ＭＳ Ｐゴシック"/>
              <a:ea typeface="ＭＳ Ｐゴシック"/>
            </a:rPr>
            <a:t>汚染物質</a:t>
          </a:r>
        </a:p>
        <a:p>
          <a:pPr algn="ctr" rtl="0">
            <a:lnSpc>
              <a:spcPts val="1000"/>
            </a:lnSpc>
            <a:defRPr sz="1000"/>
          </a:pPr>
          <a:r>
            <a:rPr lang="ja-JP" altLang="en-US" sz="800" b="0" i="0" strike="noStrike">
              <a:solidFill>
                <a:srgbClr val="000000"/>
              </a:solidFill>
              <a:latin typeface="ＭＳ Ｐゴシック"/>
              <a:ea typeface="ＭＳ Ｐゴシック"/>
            </a:rPr>
            <a:t>回避</a:t>
          </a:r>
          <a:r>
            <a:rPr lang="ja-JP" altLang="en-US" sz="900" b="0" i="0" strike="noStrike">
              <a:solidFill>
                <a:srgbClr val="000000"/>
              </a:solidFill>
              <a:latin typeface="ＭＳ Ｐゴシック"/>
              <a:ea typeface="ＭＳ Ｐゴシック"/>
            </a:rPr>
            <a:t>　　　</a:t>
          </a:r>
        </a:p>
      </xdr:txBody>
    </xdr:sp>
    <xdr:clientData/>
  </xdr:twoCellAnchor>
  <xdr:twoCellAnchor editAs="oneCell">
    <xdr:from>
      <xdr:col>2</xdr:col>
      <xdr:colOff>76200</xdr:colOff>
      <xdr:row>60</xdr:row>
      <xdr:rowOff>114300</xdr:rowOff>
    </xdr:from>
    <xdr:to>
      <xdr:col>2</xdr:col>
      <xdr:colOff>771525</xdr:colOff>
      <xdr:row>61</xdr:row>
      <xdr:rowOff>190500</xdr:rowOff>
    </xdr:to>
    <xdr:sp textlink="">
      <xdr:nvSpPr>
        <xdr:cNvPr id="41" name="Text Box 23">
          <a:extLst>
            <a:ext uri="{FF2B5EF4-FFF2-40B4-BE49-F238E27FC236}">
              <a16:creationId xmlns:a16="http://schemas.microsoft.com/office/drawing/2014/main" id="{00000000-0008-0000-0000-000029000000}"/>
            </a:ext>
          </a:extLst>
        </xdr:cNvPr>
        <xdr:cNvSpPr txBox="1">
          <a:spLocks noChangeArrowheads="1"/>
        </xdr:cNvSpPr>
      </xdr:nvSpPr>
      <xdr:spPr bwMode="auto">
        <a:xfrm>
          <a:off x="295275" y="11020425"/>
          <a:ext cx="6953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a:lstStyle/>
        <a:p>
          <a:pPr algn="ctr" rtl="0">
            <a:defRPr sz="1000"/>
          </a:pPr>
          <a:r>
            <a:rPr lang="ja-JP" altLang="en-US" sz="825" b="0" i="0" u="none" strike="noStrike" baseline="0">
              <a:solidFill>
                <a:srgbClr val="000000"/>
              </a:solidFill>
              <a:latin typeface="ＭＳ Ｐゴシック"/>
              <a:ea typeface="ＭＳ Ｐゴシック"/>
            </a:rPr>
            <a:t>   建物外皮の        </a:t>
          </a:r>
        </a:p>
        <a:p>
          <a:pPr algn="ctr" rtl="0">
            <a:lnSpc>
              <a:spcPts val="1000"/>
            </a:lnSpc>
            <a:defRPr sz="1000"/>
          </a:pPr>
          <a:r>
            <a:rPr lang="ja-JP" altLang="en-US" sz="825" b="0" i="0" u="none" strike="noStrike" baseline="0">
              <a:solidFill>
                <a:srgbClr val="000000"/>
              </a:solidFill>
              <a:latin typeface="ＭＳ Ｐゴシック"/>
              <a:ea typeface="ＭＳ Ｐゴシック"/>
            </a:rPr>
            <a:t>   熱負荷</a:t>
          </a:r>
        </a:p>
      </xdr:txBody>
    </xdr:sp>
    <xdr:clientData/>
  </xdr:twoCellAnchor>
  <xdr:twoCellAnchor editAs="oneCell">
    <xdr:from>
      <xdr:col>2</xdr:col>
      <xdr:colOff>952500</xdr:colOff>
      <xdr:row>60</xdr:row>
      <xdr:rowOff>114300</xdr:rowOff>
    </xdr:from>
    <xdr:to>
      <xdr:col>4</xdr:col>
      <xdr:colOff>85725</xdr:colOff>
      <xdr:row>61</xdr:row>
      <xdr:rowOff>190500</xdr:rowOff>
    </xdr:to>
    <xdr:sp textlink="">
      <xdr:nvSpPr>
        <xdr:cNvPr id="42" name="Text Box 101">
          <a:extLst>
            <a:ext uri="{FF2B5EF4-FFF2-40B4-BE49-F238E27FC236}">
              <a16:creationId xmlns:a16="http://schemas.microsoft.com/office/drawing/2014/main" id="{00000000-0008-0000-0000-00002A000000}"/>
            </a:ext>
          </a:extLst>
        </xdr:cNvPr>
        <xdr:cNvSpPr txBox="1">
          <a:spLocks noChangeArrowheads="1"/>
        </xdr:cNvSpPr>
      </xdr:nvSpPr>
      <xdr:spPr bwMode="auto">
        <a:xfrm>
          <a:off x="1171575" y="11020425"/>
          <a:ext cx="561975" cy="276225"/>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25" b="0" i="0" strike="noStrike">
              <a:solidFill>
                <a:srgbClr val="000000"/>
              </a:solidFill>
              <a:latin typeface="ＭＳ Ｐゴシック"/>
              <a:ea typeface="ＭＳ Ｐゴシック"/>
            </a:rPr>
            <a:t> 自然エネ     </a:t>
          </a:r>
        </a:p>
        <a:p>
          <a:pPr algn="ctr" rtl="0">
            <a:lnSpc>
              <a:spcPts val="1000"/>
            </a:lnSpc>
            <a:defRPr sz="1000"/>
          </a:pPr>
          <a:r>
            <a:rPr lang="ja-JP" altLang="en-US" sz="825" b="0" i="0" strike="noStrike">
              <a:solidFill>
                <a:srgbClr val="000000"/>
              </a:solidFill>
              <a:latin typeface="ＭＳ Ｐゴシック"/>
              <a:ea typeface="ＭＳ Ｐゴシック"/>
            </a:rPr>
            <a:t>  ルギー</a:t>
          </a:r>
        </a:p>
      </xdr:txBody>
    </xdr:sp>
    <xdr:clientData/>
  </xdr:twoCellAnchor>
  <xdr:twoCellAnchor editAs="oneCell">
    <xdr:from>
      <xdr:col>4</xdr:col>
      <xdr:colOff>219075</xdr:colOff>
      <xdr:row>60</xdr:row>
      <xdr:rowOff>114300</xdr:rowOff>
    </xdr:from>
    <xdr:to>
      <xdr:col>5</xdr:col>
      <xdr:colOff>142875</xdr:colOff>
      <xdr:row>61</xdr:row>
      <xdr:rowOff>180975</xdr:rowOff>
    </xdr:to>
    <xdr:sp textlink="">
      <xdr:nvSpPr>
        <xdr:cNvPr id="43" name="Text Box 102">
          <a:extLst>
            <a:ext uri="{FF2B5EF4-FFF2-40B4-BE49-F238E27FC236}">
              <a16:creationId xmlns:a16="http://schemas.microsoft.com/office/drawing/2014/main" id="{00000000-0008-0000-0000-00002B000000}"/>
            </a:ext>
          </a:extLst>
        </xdr:cNvPr>
        <xdr:cNvSpPr txBox="1">
          <a:spLocks noChangeArrowheads="1"/>
        </xdr:cNvSpPr>
      </xdr:nvSpPr>
      <xdr:spPr bwMode="auto">
        <a:xfrm>
          <a:off x="1866900" y="11020425"/>
          <a:ext cx="666750" cy="2667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25" b="0" i="0" strike="noStrike">
              <a:solidFill>
                <a:srgbClr val="000000"/>
              </a:solidFill>
              <a:latin typeface="ＭＳ Ｐゴシック"/>
              <a:ea typeface="ＭＳ Ｐゴシック"/>
            </a:rPr>
            <a:t> 設備システ     </a:t>
          </a:r>
        </a:p>
        <a:p>
          <a:pPr algn="ctr" rtl="0">
            <a:lnSpc>
              <a:spcPts val="1000"/>
            </a:lnSpc>
            <a:defRPr sz="1000"/>
          </a:pPr>
          <a:r>
            <a:rPr lang="ja-JP" altLang="en-US" sz="825" b="0" i="0" strike="noStrike">
              <a:solidFill>
                <a:srgbClr val="000000"/>
              </a:solidFill>
              <a:latin typeface="ＭＳ Ｐゴシック"/>
              <a:ea typeface="ＭＳ Ｐゴシック"/>
            </a:rPr>
            <a:t> ム効率化</a:t>
          </a:r>
        </a:p>
      </xdr:txBody>
    </xdr:sp>
    <xdr:clientData/>
  </xdr:twoCellAnchor>
  <xdr:twoCellAnchor editAs="oneCell">
    <xdr:from>
      <xdr:col>5</xdr:col>
      <xdr:colOff>361950</xdr:colOff>
      <xdr:row>60</xdr:row>
      <xdr:rowOff>114300</xdr:rowOff>
    </xdr:from>
    <xdr:to>
      <xdr:col>6</xdr:col>
      <xdr:colOff>285750</xdr:colOff>
      <xdr:row>61</xdr:row>
      <xdr:rowOff>180975</xdr:rowOff>
    </xdr:to>
    <xdr:sp textlink="">
      <xdr:nvSpPr>
        <xdr:cNvPr id="44" name="Text Box 103">
          <a:extLst>
            <a:ext uri="{FF2B5EF4-FFF2-40B4-BE49-F238E27FC236}">
              <a16:creationId xmlns:a16="http://schemas.microsoft.com/office/drawing/2014/main" id="{00000000-0008-0000-0000-00002C000000}"/>
            </a:ext>
          </a:extLst>
        </xdr:cNvPr>
        <xdr:cNvSpPr txBox="1">
          <a:spLocks noChangeArrowheads="1"/>
        </xdr:cNvSpPr>
      </xdr:nvSpPr>
      <xdr:spPr bwMode="auto">
        <a:xfrm>
          <a:off x="2752725" y="11020425"/>
          <a:ext cx="400050" cy="2667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25" b="0" i="0" strike="noStrike">
              <a:solidFill>
                <a:srgbClr val="000000"/>
              </a:solidFill>
              <a:latin typeface="ＭＳ Ｐゴシック"/>
              <a:ea typeface="ＭＳ Ｐゴシック"/>
            </a:rPr>
            <a:t>効率的              </a:t>
          </a:r>
        </a:p>
        <a:p>
          <a:pPr algn="ctr" rtl="0">
            <a:lnSpc>
              <a:spcPts val="1000"/>
            </a:lnSpc>
            <a:defRPr sz="1000"/>
          </a:pPr>
          <a:r>
            <a:rPr lang="ja-JP" altLang="en-US" sz="825" b="0" i="0" strike="noStrike">
              <a:solidFill>
                <a:srgbClr val="000000"/>
              </a:solidFill>
              <a:latin typeface="ＭＳ Ｐゴシック"/>
              <a:ea typeface="ＭＳ Ｐゴシック"/>
            </a:rPr>
            <a:t>運用</a:t>
          </a:r>
        </a:p>
      </xdr:txBody>
    </xdr:sp>
    <xdr:clientData/>
  </xdr:twoCellAnchor>
  <xdr:twoCellAnchor editAs="oneCell">
    <xdr:from>
      <xdr:col>12</xdr:col>
      <xdr:colOff>714375</xdr:colOff>
      <xdr:row>60</xdr:row>
      <xdr:rowOff>104775</xdr:rowOff>
    </xdr:from>
    <xdr:to>
      <xdr:col>13</xdr:col>
      <xdr:colOff>523875</xdr:colOff>
      <xdr:row>61</xdr:row>
      <xdr:rowOff>180975</xdr:rowOff>
    </xdr:to>
    <xdr:sp textlink="">
      <xdr:nvSpPr>
        <xdr:cNvPr id="46" name="Text Box 149">
          <a:extLst>
            <a:ext uri="{FF2B5EF4-FFF2-40B4-BE49-F238E27FC236}">
              <a16:creationId xmlns:a16="http://schemas.microsoft.com/office/drawing/2014/main" id="{00000000-0008-0000-0000-00002E000000}"/>
            </a:ext>
          </a:extLst>
        </xdr:cNvPr>
        <xdr:cNvSpPr txBox="1">
          <a:spLocks noChangeArrowheads="1"/>
        </xdr:cNvSpPr>
      </xdr:nvSpPr>
      <xdr:spPr bwMode="auto">
        <a:xfrm>
          <a:off x="8334375" y="11420475"/>
          <a:ext cx="704850" cy="276225"/>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800" b="0" i="0" strike="noStrike">
              <a:solidFill>
                <a:srgbClr val="000000"/>
              </a:solidFill>
              <a:latin typeface="ＭＳ Ｐゴシック"/>
              <a:ea typeface="ＭＳ Ｐゴシック"/>
            </a:rPr>
            <a:t>地域環境</a:t>
          </a:r>
        </a:p>
        <a:p>
          <a:pPr algn="ctr" rtl="0">
            <a:lnSpc>
              <a:spcPts val="1000"/>
            </a:lnSpc>
            <a:defRPr sz="1000"/>
          </a:pPr>
          <a:r>
            <a:rPr lang="ja-JP" altLang="en-US" sz="800" b="0" i="0" strike="noStrike">
              <a:solidFill>
                <a:srgbClr val="000000"/>
              </a:solidFill>
              <a:latin typeface="ＭＳ Ｐゴシック"/>
              <a:ea typeface="ＭＳ Ｐゴシック"/>
            </a:rPr>
            <a:t>への配慮</a:t>
          </a:r>
          <a:r>
            <a:rPr lang="ja-JP" altLang="en-US" sz="900" b="0" i="0" strike="noStrike">
              <a:solidFill>
                <a:srgbClr val="000000"/>
              </a:solidFill>
              <a:latin typeface="ＭＳ Ｐゴシック"/>
              <a:ea typeface="ＭＳ Ｐゴシック"/>
            </a:rPr>
            <a:t>　　　</a:t>
          </a:r>
        </a:p>
      </xdr:txBody>
    </xdr:sp>
    <xdr:clientData/>
  </xdr:twoCellAnchor>
  <xdr:twoCellAnchor>
    <xdr:from>
      <xdr:col>1</xdr:col>
      <xdr:colOff>0</xdr:colOff>
      <xdr:row>71</xdr:row>
      <xdr:rowOff>0</xdr:rowOff>
    </xdr:from>
    <xdr:to>
      <xdr:col>15</xdr:col>
      <xdr:colOff>9525</xdr:colOff>
      <xdr:row>97</xdr:row>
      <xdr:rowOff>76200</xdr:rowOff>
    </xdr:to>
    <xdr:sp textlink="">
      <xdr:nvSpPr>
        <xdr:cNvPr id="48" name="Text Box 141">
          <a:extLst>
            <a:ext uri="{FF2B5EF4-FFF2-40B4-BE49-F238E27FC236}">
              <a16:creationId xmlns:a16="http://schemas.microsoft.com/office/drawing/2014/main" id="{00000000-0008-0000-0000-000030000000}"/>
            </a:ext>
          </a:extLst>
        </xdr:cNvPr>
        <xdr:cNvSpPr txBox="1">
          <a:spLocks noChangeArrowheads="1"/>
        </xdr:cNvSpPr>
      </xdr:nvSpPr>
      <xdr:spPr bwMode="auto">
        <a:xfrm>
          <a:off x="57150" y="14335125"/>
          <a:ext cx="10001250" cy="8001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ＭＳ Ｐゴシック"/>
              <a:ea typeface="ＭＳ Ｐゴシック"/>
            </a:rPr>
            <a:t>■CASBEE: Comprehensive Assessment System for Built Environment Efficiency</a:t>
          </a:r>
          <a:r>
            <a:rPr lang="ja-JP" altLang="en-US" sz="900" b="0" i="0" u="none" strike="noStrike" baseline="0">
              <a:solidFill>
                <a:srgbClr val="000000"/>
              </a:solidFill>
              <a:latin typeface="ＭＳ Ｐゴシック"/>
              <a:ea typeface="ＭＳ Ｐゴシック"/>
            </a:rPr>
            <a:t> （建築環境総合性能評価システム）</a:t>
          </a:r>
        </a:p>
        <a:p>
          <a:pPr algn="l" rtl="0">
            <a:defRPr sz="1000"/>
          </a:pPr>
          <a:r>
            <a:rPr lang="ja-JP" altLang="en-US" sz="900" b="0" i="0" u="none" strike="noStrike" baseline="0">
              <a:solidFill>
                <a:srgbClr val="000000"/>
              </a:solidFill>
              <a:latin typeface="ＭＳ Ｐゴシック"/>
              <a:ea typeface="ＭＳ Ｐゴシック"/>
            </a:rPr>
            <a:t>■</a:t>
          </a:r>
          <a:r>
            <a:rPr lang="ja-JP" altLang="en-US" sz="900" b="1" i="0" u="none" strike="noStrike" baseline="0">
              <a:solidFill>
                <a:srgbClr val="000000"/>
              </a:solidFill>
              <a:latin typeface="ＭＳ Ｐゴシック"/>
              <a:ea typeface="ＭＳ Ｐゴシック"/>
            </a:rPr>
            <a:t>Q: Quality</a:t>
          </a:r>
          <a:r>
            <a:rPr lang="ja-JP" altLang="en-US" sz="900" b="0" i="0" u="none" strike="noStrike" baseline="0">
              <a:solidFill>
                <a:srgbClr val="000000"/>
              </a:solidFill>
              <a:latin typeface="ＭＳ Ｐゴシック"/>
              <a:ea typeface="ＭＳ Ｐゴシック"/>
            </a:rPr>
            <a:t> （建築物の環境品質）、</a:t>
          </a:r>
          <a:r>
            <a:rPr lang="ja-JP" altLang="en-US" sz="900" b="1" i="0" u="none" strike="noStrike" baseline="0">
              <a:solidFill>
                <a:srgbClr val="000000"/>
              </a:solidFill>
              <a:latin typeface="ＭＳ Ｐゴシック"/>
              <a:ea typeface="ＭＳ Ｐゴシック"/>
            </a:rPr>
            <a:t>L: Load </a:t>
          </a:r>
          <a:r>
            <a:rPr lang="ja-JP" altLang="en-US" sz="900" b="0" i="0" u="none" strike="noStrike" baseline="0">
              <a:solidFill>
                <a:srgbClr val="000000"/>
              </a:solidFill>
              <a:latin typeface="ＭＳ Ｐゴシック"/>
              <a:ea typeface="ＭＳ Ｐゴシック"/>
            </a:rPr>
            <a:t>（建築物の環境負荷）、</a:t>
          </a:r>
          <a:r>
            <a:rPr lang="ja-JP" altLang="en-US" sz="900" b="1" i="0" u="none" strike="noStrike" baseline="0">
              <a:solidFill>
                <a:srgbClr val="000000"/>
              </a:solidFill>
              <a:latin typeface="ＭＳ Ｐゴシック"/>
              <a:ea typeface="ＭＳ Ｐゴシック"/>
            </a:rPr>
            <a:t>LR: Load Reduction </a:t>
          </a:r>
          <a:r>
            <a:rPr lang="ja-JP" altLang="en-US" sz="900" b="0" i="0" u="none" strike="noStrike" baseline="0">
              <a:solidFill>
                <a:srgbClr val="000000"/>
              </a:solidFill>
              <a:latin typeface="ＭＳ Ｐゴシック"/>
              <a:ea typeface="ＭＳ Ｐゴシック"/>
            </a:rPr>
            <a:t>（建築物の環境負荷低減性）、</a:t>
          </a:r>
          <a:r>
            <a:rPr lang="ja-JP" altLang="en-US" sz="900" b="1" i="0" u="none" strike="noStrike" baseline="0">
              <a:solidFill>
                <a:srgbClr val="000000"/>
              </a:solidFill>
              <a:latin typeface="ＭＳ Ｐゴシック"/>
              <a:ea typeface="ＭＳ Ｐゴシック"/>
            </a:rPr>
            <a:t>BEE: Built Environment Efficiency </a:t>
          </a:r>
          <a:r>
            <a:rPr lang="ja-JP" altLang="en-US" sz="900" b="0" i="0" u="none" strike="noStrike" baseline="0">
              <a:solidFill>
                <a:srgbClr val="000000"/>
              </a:solidFill>
              <a:latin typeface="ＭＳ Ｐゴシック"/>
              <a:ea typeface="ＭＳ Ｐゴシック"/>
            </a:rPr>
            <a:t>（建築物の環境効率）</a:t>
          </a:r>
        </a:p>
        <a:p>
          <a:pPr algn="l" rtl="0">
            <a:lnSpc>
              <a:spcPts val="1100"/>
            </a:lnSpc>
            <a:defRPr sz="1000"/>
          </a:pPr>
          <a:r>
            <a:rPr lang="ja-JP" altLang="en-US" sz="900" b="0" i="0" u="none" strike="noStrike" baseline="0">
              <a:solidFill>
                <a:srgbClr val="000000"/>
              </a:solidFill>
              <a:latin typeface="ＭＳ Ｐゴシック"/>
              <a:ea typeface="ＭＳ Ｐゴシック"/>
            </a:rPr>
            <a:t>■「ライフサイクルCO</a:t>
          </a:r>
          <a:r>
            <a:rPr lang="ja-JP" altLang="en-US" sz="900" b="0" i="0" u="none" strike="noStrike" baseline="-25000">
              <a:solidFill>
                <a:srgbClr val="000000"/>
              </a:solidFill>
              <a:latin typeface="ＭＳ Ｐゴシック"/>
              <a:ea typeface="ＭＳ Ｐゴシック"/>
            </a:rPr>
            <a:t>2</a:t>
          </a:r>
          <a:r>
            <a:rPr lang="ja-JP" altLang="en-US" sz="900" b="0" i="0" u="none" strike="noStrike" baseline="0">
              <a:solidFill>
                <a:srgbClr val="000000"/>
              </a:solidFill>
              <a:latin typeface="ＭＳ Ｐゴシック"/>
              <a:ea typeface="ＭＳ Ｐゴシック"/>
            </a:rPr>
            <a:t>」とは、建築物の部材生産・建設から運用、改修、解体廃棄に至る一生の間の二酸化炭素排出量を、建築物の寿命年数で除した年間二酸化炭素排出量のこと</a:t>
          </a:r>
        </a:p>
        <a:p>
          <a:pPr algn="l" rtl="0">
            <a:defRPr sz="1000"/>
          </a:pPr>
          <a:r>
            <a:rPr lang="ja-JP" altLang="en-US" sz="900" b="0" i="0" u="none" strike="noStrike" baseline="0">
              <a:solidFill>
                <a:srgbClr val="000000"/>
              </a:solidFill>
              <a:latin typeface="ＭＳ Ｐゴシック"/>
              <a:ea typeface="ＭＳ Ｐゴシック"/>
            </a:rPr>
            <a:t>■評価対象のライフサイクルCO</a:t>
          </a:r>
          <a:r>
            <a:rPr lang="ja-JP" altLang="en-US" sz="600" b="0" i="0" u="none" strike="noStrike" baseline="0">
              <a:solidFill>
                <a:srgbClr val="000000"/>
              </a:solidFill>
              <a:latin typeface="ＭＳ Ｐゴシック"/>
              <a:ea typeface="ＭＳ Ｐゴシック"/>
            </a:rPr>
            <a:t>2</a:t>
          </a:r>
          <a:r>
            <a:rPr lang="ja-JP" altLang="en-US" sz="900" b="0" i="0" u="none" strike="noStrike" baseline="0">
              <a:solidFill>
                <a:srgbClr val="000000"/>
              </a:solidFill>
              <a:latin typeface="ＭＳ Ｐゴシック"/>
              <a:ea typeface="ＭＳ Ｐゴシック"/>
            </a:rPr>
            <a:t>排出量は、Q2、LR1、LR2中の建築物の寿命、省エネルギー、省資源などの項目の評価結果から自動的に算出される</a:t>
          </a:r>
        </a:p>
        <a:p>
          <a:pPr algn="l" rtl="0">
            <a:defRPr sz="1000"/>
          </a:pPr>
          <a:r>
            <a:rPr lang="ja-JP" altLang="en-US" sz="900" b="0" i="0" u="none" strike="noStrike" baseline="0">
              <a:solidFill>
                <a:srgbClr val="000000"/>
              </a:solidFill>
              <a:latin typeface="ＭＳ Ｐゴシック"/>
              <a:ea typeface="ＭＳ Ｐゴシック"/>
            </a:rPr>
            <a:t>■LCCO</a:t>
          </a:r>
          <a:r>
            <a:rPr lang="ja-JP" altLang="en-US" sz="600" b="0" i="0" u="none" strike="noStrike" baseline="0">
              <a:solidFill>
                <a:srgbClr val="000000"/>
              </a:solidFill>
              <a:latin typeface="ＭＳ Ｐゴシック"/>
              <a:ea typeface="ＭＳ Ｐゴシック"/>
            </a:rPr>
            <a:t>2</a:t>
          </a:r>
          <a:r>
            <a:rPr lang="ja-JP" altLang="en-US" sz="900" b="0" i="0" u="none" strike="noStrike" baseline="0">
              <a:solidFill>
                <a:srgbClr val="000000"/>
              </a:solidFill>
              <a:latin typeface="ＭＳ Ｐゴシック"/>
              <a:ea typeface="ＭＳ Ｐゴシック"/>
            </a:rPr>
            <a:t>の算定条件等については、「LCCO</a:t>
          </a:r>
          <a:r>
            <a:rPr lang="ja-JP" altLang="en-US" sz="600" b="0" i="0" u="none" strike="noStrike" baseline="0">
              <a:solidFill>
                <a:srgbClr val="000000"/>
              </a:solidFill>
              <a:latin typeface="ＭＳ Ｐゴシック"/>
              <a:ea typeface="ＭＳ Ｐゴシック"/>
            </a:rPr>
            <a:t>2</a:t>
          </a:r>
          <a:r>
            <a:rPr lang="ja-JP" altLang="en-US" sz="900" b="0" i="0" u="none" strike="noStrike" baseline="0">
              <a:solidFill>
                <a:srgbClr val="000000"/>
              </a:solidFill>
              <a:latin typeface="ＭＳ Ｐゴシック"/>
              <a:ea typeface="ＭＳ Ｐゴシック"/>
            </a:rPr>
            <a:t>算定条件シート」を参照されたい</a:t>
          </a:r>
        </a:p>
      </xdr:txBody>
    </xdr:sp>
    <xdr:clientData/>
  </xdr:twoCellAnchor>
  <xdr:twoCellAnchor editAs="oneCell">
    <xdr:from>
      <xdr:col>1</xdr:col>
      <xdr:colOff>19050</xdr:colOff>
      <xdr:row>1</xdr:row>
      <xdr:rowOff>95250</xdr:rowOff>
    </xdr:from>
    <xdr:to>
      <xdr:col>11</xdr:col>
      <xdr:colOff>630658</xdr:colOff>
      <xdr:row>3</xdr:row>
      <xdr:rowOff>219075</xdr:rowOff>
    </xdr:to>
    <xdr:pic>
      <xdr:nvPicPr>
        <xdr:cNvPr id="50" name="図 49">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6200" y="171450"/>
          <a:ext cx="7269583" cy="600075"/>
        </a:xfrm>
        <a:prstGeom prst="rect">
          <a:avLst/>
        </a:prstGeom>
      </xdr:spPr>
    </xdr:pic>
    <xdr:clientData/>
  </xdr:twoCellAnchor>
  <xdr:twoCellAnchor>
    <xdr:from>
      <xdr:col>2</xdr:col>
      <xdr:colOff>628650</xdr:colOff>
      <xdr:row>26</xdr:row>
      <xdr:rowOff>9525</xdr:rowOff>
    </xdr:from>
    <xdr:to>
      <xdr:col>7</xdr:col>
      <xdr:colOff>723900</xdr:colOff>
      <xdr:row>27</xdr:row>
      <xdr:rowOff>38100</xdr:rowOff>
    </xdr:to>
    <xdr:sp textlink="">
      <xdr:nvSpPr>
        <xdr:cNvPr id="53" name="Text Box 129">
          <a:extLst>
            <a:ext uri="{FF2B5EF4-FFF2-40B4-BE49-F238E27FC236}">
              <a16:creationId xmlns:a16="http://schemas.microsoft.com/office/drawing/2014/main" id="{00000000-0008-0000-0000-000035000000}"/>
            </a:ext>
          </a:extLst>
        </xdr:cNvPr>
        <xdr:cNvSpPr txBox="1">
          <a:spLocks noChangeArrowheads="1"/>
        </xdr:cNvSpPr>
      </xdr:nvSpPr>
      <xdr:spPr bwMode="auto">
        <a:xfrm>
          <a:off x="847725" y="4772025"/>
          <a:ext cx="3238500" cy="219075"/>
        </a:xfrm>
        <a:prstGeom prst="rect">
          <a:avLst/>
        </a:prstGeom>
        <a:noFill/>
        <a:ln w="9525">
          <a:noFill/>
          <a:miter lim="800000"/>
          <a:headEnd/>
          <a:tailEnd/>
        </a:ln>
      </xdr:spPr>
      <xdr:txBody>
        <a:bodyPr vertOverflow="clip" wrap="square" lIns="27432" tIns="18288" rIns="0" bIns="0" anchor="t" upright="1"/>
        <a:lstStyle/>
        <a:p>
          <a:pPr algn="l" rtl="1">
            <a:defRPr sz="1000"/>
          </a:pPr>
          <a:r>
            <a:rPr lang="en-US" altLang="ja-JP" sz="950" b="0" i="0" strike="noStrike">
              <a:solidFill>
                <a:srgbClr val="000000"/>
              </a:solidFill>
              <a:latin typeface="ＭＳ Ｐゴシック"/>
              <a:ea typeface="ＭＳ Ｐゴシック"/>
            </a:rPr>
            <a:t>S: </a:t>
          </a:r>
          <a:r>
            <a:rPr lang="en-US" altLang="ja-JP" sz="950" b="0" i="0" strike="noStrike">
              <a:solidFill>
                <a:srgbClr val="333333"/>
              </a:solidFill>
              <a:latin typeface="ＭＳ Ｐゴシック"/>
              <a:ea typeface="ＭＳ Ｐゴシック"/>
            </a:rPr>
            <a:t>★★★★★  </a:t>
          </a:r>
          <a:r>
            <a:rPr lang="en-US" altLang="ja-JP" sz="950" b="0" i="0" strike="noStrike">
              <a:solidFill>
                <a:srgbClr val="000000"/>
              </a:solidFill>
              <a:latin typeface="ＭＳ Ｐゴシック"/>
              <a:ea typeface="ＭＳ Ｐゴシック"/>
            </a:rPr>
            <a:t>A: </a:t>
          </a:r>
          <a:r>
            <a:rPr lang="en-US" altLang="ja-JP" sz="950" b="0" i="0" strike="noStrike">
              <a:solidFill>
                <a:srgbClr val="333333"/>
              </a:solidFill>
              <a:latin typeface="ＭＳ Ｐゴシック"/>
              <a:ea typeface="ＭＳ Ｐゴシック"/>
            </a:rPr>
            <a:t>★★★★  </a:t>
          </a:r>
          <a:r>
            <a:rPr lang="en-US" altLang="ja-JP" sz="950" b="0" i="0" strike="noStrike">
              <a:solidFill>
                <a:srgbClr val="000000"/>
              </a:solidFill>
              <a:latin typeface="ＭＳ Ｐゴシック"/>
              <a:ea typeface="ＭＳ Ｐゴシック"/>
            </a:rPr>
            <a:t>B</a:t>
          </a:r>
          <a:r>
            <a:rPr lang="en-US" altLang="ja-JP" sz="950" b="0" i="0" strike="noStrike" baseline="30000">
              <a:solidFill>
                <a:srgbClr val="000000"/>
              </a:solidFill>
              <a:latin typeface="ＭＳ Ｐゴシック"/>
              <a:ea typeface="ＭＳ Ｐゴシック"/>
            </a:rPr>
            <a:t>+</a:t>
          </a:r>
          <a:r>
            <a:rPr lang="en-US" altLang="ja-JP" sz="950" b="0" i="0" strike="noStrike">
              <a:solidFill>
                <a:srgbClr val="000000"/>
              </a:solidFill>
              <a:latin typeface="ＭＳ Ｐゴシック"/>
              <a:ea typeface="ＭＳ Ｐゴシック"/>
            </a:rPr>
            <a:t>: </a:t>
          </a:r>
          <a:r>
            <a:rPr lang="en-US" altLang="ja-JP" sz="950" b="0" i="0" strike="noStrike">
              <a:solidFill>
                <a:srgbClr val="333333"/>
              </a:solidFill>
              <a:latin typeface="ＭＳ Ｐゴシック"/>
              <a:ea typeface="ＭＳ Ｐゴシック"/>
            </a:rPr>
            <a:t>★★★  </a:t>
          </a:r>
          <a:r>
            <a:rPr lang="en-US" altLang="ja-JP" sz="950" b="0" i="0" strike="noStrike">
              <a:solidFill>
                <a:srgbClr val="000000"/>
              </a:solidFill>
              <a:latin typeface="ＭＳ Ｐゴシック"/>
              <a:ea typeface="ＭＳ Ｐゴシック"/>
            </a:rPr>
            <a:t>B</a:t>
          </a:r>
          <a:r>
            <a:rPr lang="en-US" altLang="ja-JP" sz="950" b="0" i="0" strike="noStrike" baseline="30000">
              <a:solidFill>
                <a:srgbClr val="000000"/>
              </a:solidFill>
              <a:latin typeface="ＭＳ Ｐゴシック"/>
              <a:ea typeface="ＭＳ Ｐゴシック"/>
            </a:rPr>
            <a:t>-</a:t>
          </a:r>
          <a:r>
            <a:rPr lang="en-US" altLang="ja-JP" sz="950" b="0" i="0" strike="noStrike">
              <a:solidFill>
                <a:srgbClr val="000000"/>
              </a:solidFill>
              <a:latin typeface="ＭＳ Ｐゴシック"/>
              <a:ea typeface="ＭＳ Ｐゴシック"/>
            </a:rPr>
            <a:t>: </a:t>
          </a:r>
          <a:r>
            <a:rPr lang="en-US" altLang="ja-JP" sz="950" b="0" i="0" strike="noStrike">
              <a:solidFill>
                <a:srgbClr val="333333"/>
              </a:solidFill>
              <a:latin typeface="ＭＳ Ｐゴシック"/>
              <a:ea typeface="ＭＳ Ｐゴシック"/>
            </a:rPr>
            <a:t>★★  </a:t>
          </a:r>
          <a:r>
            <a:rPr lang="en-US" altLang="ja-JP" sz="950" b="0" i="0" strike="noStrike">
              <a:solidFill>
                <a:srgbClr val="000000"/>
              </a:solidFill>
              <a:latin typeface="ＭＳ Ｐゴシック"/>
              <a:ea typeface="ＭＳ Ｐゴシック"/>
            </a:rPr>
            <a:t>C: </a:t>
          </a:r>
          <a:r>
            <a:rPr lang="en-US" altLang="ja-JP" sz="950" b="0" i="0" strike="noStrike">
              <a:solidFill>
                <a:srgbClr val="333333"/>
              </a:solidFill>
              <a:latin typeface="ＭＳ Ｐゴシック"/>
              <a:ea typeface="ＭＳ Ｐゴシック"/>
            </a:rPr>
            <a:t>★</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638175</xdr:colOff>
      <xdr:row>1</xdr:row>
      <xdr:rowOff>38100</xdr:rowOff>
    </xdr:from>
    <xdr:to>
      <xdr:col>14</xdr:col>
      <xdr:colOff>762000</xdr:colOff>
      <xdr:row>3</xdr:row>
      <xdr:rowOff>133350</xdr:rowOff>
    </xdr:to>
    <xdr:pic>
      <xdr:nvPicPr>
        <xdr:cNvPr id="42" name="Picture 38">
          <a:extLst>
            <a:ext uri="{FF2B5EF4-FFF2-40B4-BE49-F238E27FC236}">
              <a16:creationId xmlns:a16="http://schemas.microsoft.com/office/drawing/2014/main" id="{00000000-0008-0000-03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69884" t="27533" b="27725"/>
        <a:stretch>
          <a:fillRect/>
        </a:stretch>
      </xdr:blipFill>
      <xdr:spPr bwMode="auto">
        <a:xfrm>
          <a:off x="7353300" y="114300"/>
          <a:ext cx="25812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619125</xdr:colOff>
      <xdr:row>23</xdr:row>
      <xdr:rowOff>0</xdr:rowOff>
    </xdr:from>
    <xdr:to>
      <xdr:col>6</xdr:col>
      <xdr:colOff>485775</xdr:colOff>
      <xdr:row>27</xdr:row>
      <xdr:rowOff>9525</xdr:rowOff>
    </xdr:to>
    <xdr:graphicFrame>
      <xdr:nvGraphicFramePr>
        <xdr:cNvPr id="44" name="Chart 123">
          <a:extLst>
            <a:ext uri="{FF2B5EF4-FFF2-40B4-BE49-F238E27FC236}">
              <a16:creationId xmlns:a16="http://schemas.microsoft.com/office/drawing/2014/main" id="{00000000-0008-0000-03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0</xdr:col>
      <xdr:colOff>47625</xdr:colOff>
      <xdr:row>23</xdr:row>
      <xdr:rowOff>180975</xdr:rowOff>
    </xdr:from>
    <xdr:ext cx="560410" cy="219419"/>
    <xdr:sp textlink="">
      <xdr:nvSpPr>
        <xdr:cNvPr id="45" name="Text Box 39">
          <a:extLst>
            <a:ext uri="{FF2B5EF4-FFF2-40B4-BE49-F238E27FC236}">
              <a16:creationId xmlns:a16="http://schemas.microsoft.com/office/drawing/2014/main" id="{00000000-0008-0000-0300-00002D000000}"/>
            </a:ext>
          </a:extLst>
        </xdr:cNvPr>
        <xdr:cNvSpPr txBox="1">
          <a:spLocks noChangeArrowheads="1"/>
        </xdr:cNvSpPr>
      </xdr:nvSpPr>
      <xdr:spPr bwMode="auto">
        <a:xfrm>
          <a:off x="47625" y="3914775"/>
          <a:ext cx="560410" cy="219419"/>
        </a:xfrm>
        <a:prstGeom prst="rect">
          <a:avLst/>
        </a:prstGeom>
        <a:noFill/>
        <a:ln w="9525">
          <a:noFill/>
          <a:miter lim="800000"/>
          <a:headEnd/>
          <a:tailEnd/>
        </a:ln>
      </xdr:spPr>
      <xdr:txBody>
        <a:bodyPr wrap="none" lIns="27432" tIns="27432" rIns="0" bIns="0" anchor="t" upright="1">
          <a:spAutoFit/>
        </a:bodyPr>
        <a:lstStyle/>
        <a:p>
          <a:pPr algn="l" rtl="1">
            <a:defRPr sz="1000"/>
          </a:pPr>
          <a:r>
            <a:rPr lang="en-US" altLang="ja-JP" sz="1300" b="1" i="0" strike="noStrike">
              <a:solidFill>
                <a:srgbClr val="000000"/>
              </a:solidFill>
              <a:latin typeface="Arial"/>
              <a:cs typeface="Arial"/>
            </a:rPr>
            <a:t>BEE = </a:t>
          </a:r>
        </a:p>
      </xdr:txBody>
    </xdr:sp>
    <xdr:clientData/>
  </xdr:oneCellAnchor>
  <xdr:twoCellAnchor>
    <xdr:from>
      <xdr:col>1</xdr:col>
      <xdr:colOff>76200</xdr:colOff>
      <xdr:row>25</xdr:row>
      <xdr:rowOff>180975</xdr:rowOff>
    </xdr:from>
    <xdr:to>
      <xdr:col>7</xdr:col>
      <xdr:colOff>9525</xdr:colOff>
      <xdr:row>27</xdr:row>
      <xdr:rowOff>19050</xdr:rowOff>
    </xdr:to>
    <xdr:sp textlink="">
      <xdr:nvSpPr>
        <xdr:cNvPr id="46" name="Text Box 129">
          <a:extLst>
            <a:ext uri="{FF2B5EF4-FFF2-40B4-BE49-F238E27FC236}">
              <a16:creationId xmlns:a16="http://schemas.microsoft.com/office/drawing/2014/main" id="{00000000-0008-0000-0300-00002E000000}"/>
            </a:ext>
          </a:extLst>
        </xdr:cNvPr>
        <xdr:cNvSpPr txBox="1">
          <a:spLocks noChangeArrowheads="1"/>
        </xdr:cNvSpPr>
      </xdr:nvSpPr>
      <xdr:spPr bwMode="auto">
        <a:xfrm>
          <a:off x="133350" y="4295775"/>
          <a:ext cx="3238500" cy="219075"/>
        </a:xfrm>
        <a:prstGeom prst="rect">
          <a:avLst/>
        </a:prstGeom>
        <a:noFill/>
        <a:ln w="9525">
          <a:noFill/>
          <a:miter lim="800000"/>
          <a:headEnd/>
          <a:tailEnd/>
        </a:ln>
      </xdr:spPr>
      <xdr:txBody>
        <a:bodyPr vertOverflow="clip" wrap="square" lIns="27432" tIns="18288" rIns="0" bIns="0" anchor="t" upright="1"/>
        <a:lstStyle/>
        <a:p>
          <a:pPr algn="l" rtl="1">
            <a:defRPr sz="1000"/>
          </a:pPr>
          <a:r>
            <a:rPr lang="en-US" altLang="ja-JP" sz="950" b="0" i="0" strike="noStrike">
              <a:solidFill>
                <a:srgbClr val="000000"/>
              </a:solidFill>
              <a:latin typeface="ＭＳ Ｐゴシック"/>
              <a:ea typeface="ＭＳ Ｐゴシック"/>
            </a:rPr>
            <a:t>S: </a:t>
          </a:r>
          <a:r>
            <a:rPr lang="en-US" altLang="ja-JP" sz="950" b="0" i="0" strike="noStrike">
              <a:solidFill>
                <a:srgbClr val="333333"/>
              </a:solidFill>
              <a:latin typeface="ＭＳ Ｐゴシック"/>
              <a:ea typeface="ＭＳ Ｐゴシック"/>
            </a:rPr>
            <a:t>★★★★★  </a:t>
          </a:r>
          <a:r>
            <a:rPr lang="en-US" altLang="ja-JP" sz="950" b="0" i="0" strike="noStrike">
              <a:solidFill>
                <a:srgbClr val="000000"/>
              </a:solidFill>
              <a:latin typeface="ＭＳ Ｐゴシック"/>
              <a:ea typeface="ＭＳ Ｐゴシック"/>
            </a:rPr>
            <a:t>A: </a:t>
          </a:r>
          <a:r>
            <a:rPr lang="en-US" altLang="ja-JP" sz="950" b="0" i="0" strike="noStrike">
              <a:solidFill>
                <a:srgbClr val="333333"/>
              </a:solidFill>
              <a:latin typeface="ＭＳ Ｐゴシック"/>
              <a:ea typeface="ＭＳ Ｐゴシック"/>
            </a:rPr>
            <a:t>★★★★  </a:t>
          </a:r>
          <a:r>
            <a:rPr lang="en-US" altLang="ja-JP" sz="950" b="0" i="0" strike="noStrike">
              <a:solidFill>
                <a:srgbClr val="000000"/>
              </a:solidFill>
              <a:latin typeface="ＭＳ Ｐゴシック"/>
              <a:ea typeface="ＭＳ Ｐゴシック"/>
            </a:rPr>
            <a:t>B</a:t>
          </a:r>
          <a:r>
            <a:rPr lang="en-US" altLang="ja-JP" sz="950" b="0" i="0" strike="noStrike" baseline="30000">
              <a:solidFill>
                <a:srgbClr val="000000"/>
              </a:solidFill>
              <a:latin typeface="ＭＳ Ｐゴシック"/>
              <a:ea typeface="ＭＳ Ｐゴシック"/>
            </a:rPr>
            <a:t>+</a:t>
          </a:r>
          <a:r>
            <a:rPr lang="en-US" altLang="ja-JP" sz="950" b="0" i="0" strike="noStrike">
              <a:solidFill>
                <a:srgbClr val="000000"/>
              </a:solidFill>
              <a:latin typeface="ＭＳ Ｐゴシック"/>
              <a:ea typeface="ＭＳ Ｐゴシック"/>
            </a:rPr>
            <a:t>: </a:t>
          </a:r>
          <a:r>
            <a:rPr lang="en-US" altLang="ja-JP" sz="950" b="0" i="0" strike="noStrike">
              <a:solidFill>
                <a:srgbClr val="333333"/>
              </a:solidFill>
              <a:latin typeface="ＭＳ Ｐゴシック"/>
              <a:ea typeface="ＭＳ Ｐゴシック"/>
            </a:rPr>
            <a:t>★★★  </a:t>
          </a:r>
          <a:r>
            <a:rPr lang="en-US" altLang="ja-JP" sz="950" b="0" i="0" strike="noStrike">
              <a:solidFill>
                <a:srgbClr val="000000"/>
              </a:solidFill>
              <a:latin typeface="ＭＳ Ｐゴシック"/>
              <a:ea typeface="ＭＳ Ｐゴシック"/>
            </a:rPr>
            <a:t>B</a:t>
          </a:r>
          <a:r>
            <a:rPr lang="en-US" altLang="ja-JP" sz="950" b="0" i="0" strike="noStrike" baseline="30000">
              <a:solidFill>
                <a:srgbClr val="000000"/>
              </a:solidFill>
              <a:latin typeface="ＭＳ Ｐゴシック"/>
              <a:ea typeface="ＭＳ Ｐゴシック"/>
            </a:rPr>
            <a:t>-</a:t>
          </a:r>
          <a:r>
            <a:rPr lang="en-US" altLang="ja-JP" sz="950" b="0" i="0" strike="noStrike">
              <a:solidFill>
                <a:srgbClr val="000000"/>
              </a:solidFill>
              <a:latin typeface="ＭＳ Ｐゴシック"/>
              <a:ea typeface="ＭＳ Ｐゴシック"/>
            </a:rPr>
            <a:t>: </a:t>
          </a:r>
          <a:r>
            <a:rPr lang="en-US" altLang="ja-JP" sz="950" b="0" i="0" strike="noStrike">
              <a:solidFill>
                <a:srgbClr val="333333"/>
              </a:solidFill>
              <a:latin typeface="ＭＳ Ｐゴシック"/>
              <a:ea typeface="ＭＳ Ｐゴシック"/>
            </a:rPr>
            <a:t>★★  </a:t>
          </a:r>
          <a:r>
            <a:rPr lang="en-US" altLang="ja-JP" sz="950" b="0" i="0" strike="noStrike">
              <a:solidFill>
                <a:srgbClr val="000000"/>
              </a:solidFill>
              <a:latin typeface="ＭＳ Ｐゴシック"/>
              <a:ea typeface="ＭＳ Ｐゴシック"/>
            </a:rPr>
            <a:t>C: </a:t>
          </a:r>
          <a:r>
            <a:rPr lang="en-US" altLang="ja-JP" sz="950" b="0" i="0" strike="noStrike">
              <a:solidFill>
                <a:srgbClr val="333333"/>
              </a:solidFill>
              <a:latin typeface="ＭＳ Ｐゴシック"/>
              <a:ea typeface="ＭＳ Ｐゴシック"/>
            </a:rPr>
            <a:t>★</a:t>
          </a:r>
        </a:p>
      </xdr:txBody>
    </xdr:sp>
    <xdr:clientData/>
  </xdr:twoCellAnchor>
  <xdr:twoCellAnchor>
    <xdr:from>
      <xdr:col>7</xdr:col>
      <xdr:colOff>152400</xdr:colOff>
      <xdr:row>26</xdr:row>
      <xdr:rowOff>0</xdr:rowOff>
    </xdr:from>
    <xdr:to>
      <xdr:col>11</xdr:col>
      <xdr:colOff>228600</xdr:colOff>
      <xdr:row>27</xdr:row>
      <xdr:rowOff>28575</xdr:rowOff>
    </xdr:to>
    <xdr:sp textlink="">
      <xdr:nvSpPr>
        <xdr:cNvPr id="47" name="Text Box 129">
          <a:extLst>
            <a:ext uri="{FF2B5EF4-FFF2-40B4-BE49-F238E27FC236}">
              <a16:creationId xmlns:a16="http://schemas.microsoft.com/office/drawing/2014/main" id="{00000000-0008-0000-0300-00002F000000}"/>
            </a:ext>
          </a:extLst>
        </xdr:cNvPr>
        <xdr:cNvSpPr txBox="1">
          <a:spLocks noChangeArrowheads="1"/>
        </xdr:cNvSpPr>
      </xdr:nvSpPr>
      <xdr:spPr bwMode="auto">
        <a:xfrm>
          <a:off x="3514725" y="4305300"/>
          <a:ext cx="3429000" cy="219075"/>
        </a:xfrm>
        <a:prstGeom prst="rect">
          <a:avLst/>
        </a:prstGeom>
        <a:noFill/>
        <a:ln w="9525">
          <a:noFill/>
          <a:miter lim="800000"/>
          <a:headEnd/>
          <a:tailEnd/>
        </a:ln>
      </xdr:spPr>
      <xdr:txBody>
        <a:bodyPr vertOverflow="clip" wrap="square" lIns="27432" tIns="18288" rIns="0" bIns="0" anchor="t" upright="1"/>
        <a:lstStyle/>
        <a:p>
          <a:pPr algn="l" rtl="1">
            <a:defRPr sz="1000"/>
          </a:pPr>
          <a:r>
            <a:rPr lang="en-US" altLang="ja-JP" sz="800" b="0" i="0" strike="noStrike">
              <a:solidFill>
                <a:srgbClr val="000000"/>
              </a:solidFill>
              <a:latin typeface="ＭＳ Ｐゴシック"/>
              <a:ea typeface="ＭＳ Ｐゴシック"/>
            </a:rPr>
            <a:t>30%: </a:t>
          </a:r>
          <a:r>
            <a:rPr lang="en-US" altLang="ja-JP" sz="800" b="0" i="0" strike="noStrike">
              <a:solidFill>
                <a:srgbClr val="333333"/>
              </a:solidFill>
              <a:latin typeface="ＭＳ Ｐゴシック"/>
              <a:ea typeface="ＭＳ Ｐゴシック"/>
            </a:rPr>
            <a:t>☆☆☆☆☆  60%</a:t>
          </a:r>
          <a:r>
            <a:rPr lang="en-US" altLang="ja-JP" sz="800" b="0" i="0" strike="noStrike">
              <a:solidFill>
                <a:srgbClr val="000000"/>
              </a:solidFill>
              <a:latin typeface="ＭＳ Ｐゴシック"/>
              <a:ea typeface="ＭＳ Ｐゴシック"/>
            </a:rPr>
            <a:t>: </a:t>
          </a:r>
          <a:r>
            <a:rPr lang="en-US" altLang="ja-JP" sz="800" b="0" i="0" strike="noStrike">
              <a:solidFill>
                <a:srgbClr val="333333"/>
              </a:solidFill>
              <a:latin typeface="ＭＳ Ｐゴシック"/>
              <a:ea typeface="ＭＳ Ｐゴシック"/>
            </a:rPr>
            <a:t>☆☆☆☆  80%</a:t>
          </a:r>
          <a:r>
            <a:rPr lang="en-US" altLang="ja-JP" sz="800" b="0" i="0" strike="noStrike">
              <a:solidFill>
                <a:srgbClr val="000000"/>
              </a:solidFill>
              <a:latin typeface="ＭＳ Ｐゴシック"/>
              <a:ea typeface="ＭＳ Ｐゴシック"/>
            </a:rPr>
            <a:t>: ☆☆☆</a:t>
          </a:r>
          <a:r>
            <a:rPr lang="en-US" altLang="ja-JP" sz="800" b="0" i="0" strike="noStrike">
              <a:solidFill>
                <a:srgbClr val="333333"/>
              </a:solidFill>
              <a:latin typeface="ＭＳ Ｐゴシック"/>
              <a:ea typeface="ＭＳ Ｐゴシック"/>
            </a:rPr>
            <a:t> 100%</a:t>
          </a:r>
          <a:r>
            <a:rPr lang="en-US" altLang="ja-JP" sz="800" b="0" i="0" strike="noStrike">
              <a:solidFill>
                <a:srgbClr val="000000"/>
              </a:solidFill>
              <a:latin typeface="ＭＳ Ｐゴシック"/>
              <a:ea typeface="ＭＳ Ｐゴシック"/>
            </a:rPr>
            <a:t>: ☆☆</a:t>
          </a:r>
          <a:r>
            <a:rPr lang="en-US" altLang="ja-JP" sz="800" b="0" i="0" strike="noStrike">
              <a:solidFill>
                <a:srgbClr val="333333"/>
              </a:solidFill>
              <a:latin typeface="ＭＳ Ｐゴシック"/>
              <a:ea typeface="ＭＳ Ｐゴシック"/>
            </a:rPr>
            <a:t>  100%</a:t>
          </a:r>
          <a:r>
            <a:rPr lang="ja-JP" altLang="en-US" sz="800" b="0" i="0" strike="noStrike">
              <a:solidFill>
                <a:srgbClr val="333333"/>
              </a:solidFill>
              <a:latin typeface="ＭＳ Ｐゴシック"/>
              <a:ea typeface="ＭＳ Ｐゴシック"/>
            </a:rPr>
            <a:t>超</a:t>
          </a:r>
          <a:r>
            <a:rPr lang="en-US" altLang="ja-JP" sz="800" b="0" i="0" strike="noStrike">
              <a:solidFill>
                <a:srgbClr val="000000"/>
              </a:solidFill>
              <a:latin typeface="ＭＳ Ｐゴシック"/>
              <a:ea typeface="ＭＳ Ｐゴシック"/>
            </a:rPr>
            <a:t>: ☆</a:t>
          </a:r>
        </a:p>
      </xdr:txBody>
    </xdr:sp>
    <xdr:clientData/>
  </xdr:twoCellAnchor>
  <xdr:twoCellAnchor>
    <xdr:from>
      <xdr:col>7</xdr:col>
      <xdr:colOff>419100</xdr:colOff>
      <xdr:row>22</xdr:row>
      <xdr:rowOff>219075</xdr:rowOff>
    </xdr:from>
    <xdr:to>
      <xdr:col>10</xdr:col>
      <xdr:colOff>485775</xdr:colOff>
      <xdr:row>26</xdr:row>
      <xdr:rowOff>171450</xdr:rowOff>
    </xdr:to>
    <xdr:graphicFrame>
      <xdr:nvGraphicFramePr>
        <xdr:cNvPr id="48" name="Chart 123">
          <a:extLst>
            <a:ext uri="{FF2B5EF4-FFF2-40B4-BE49-F238E27FC236}">
              <a16:creationId xmlns:a16="http://schemas.microsoft.com/office/drawing/2014/main" id="{00000000-0008-0000-03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2</xdr:col>
      <xdr:colOff>57150</xdr:colOff>
      <xdr:row>26</xdr:row>
      <xdr:rowOff>123825</xdr:rowOff>
    </xdr:from>
    <xdr:to>
      <xdr:col>6</xdr:col>
      <xdr:colOff>200025</xdr:colOff>
      <xdr:row>39</xdr:row>
      <xdr:rowOff>66675</xdr:rowOff>
    </xdr:to>
    <xdr:graphicFrame>
      <xdr:nvGraphicFramePr>
        <xdr:cNvPr id="49" name="Chart 17">
          <a:extLst>
            <a:ext uri="{FF2B5EF4-FFF2-40B4-BE49-F238E27FC236}">
              <a16:creationId xmlns:a16="http://schemas.microsoft.com/office/drawing/2014/main" id="{00000000-0008-0000-03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790575</xdr:colOff>
      <xdr:row>27</xdr:row>
      <xdr:rowOff>47625</xdr:rowOff>
    </xdr:from>
    <xdr:to>
      <xdr:col>10</xdr:col>
      <xdr:colOff>857250</xdr:colOff>
      <xdr:row>36</xdr:row>
      <xdr:rowOff>47625</xdr:rowOff>
    </xdr:to>
    <xdr:graphicFrame>
      <xdr:nvGraphicFramePr>
        <xdr:cNvPr id="50" name="Chart 130">
          <a:extLst>
            <a:ext uri="{FF2B5EF4-FFF2-40B4-BE49-F238E27FC236}">
              <a16:creationId xmlns:a16="http://schemas.microsoft.com/office/drawing/2014/main" id="{00000000-0008-0000-03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0</xdr:colOff>
      <xdr:row>28</xdr:row>
      <xdr:rowOff>38100</xdr:rowOff>
    </xdr:from>
    <xdr:to>
      <xdr:col>8</xdr:col>
      <xdr:colOff>209550</xdr:colOff>
      <xdr:row>29</xdr:row>
      <xdr:rowOff>76200</xdr:rowOff>
    </xdr:to>
    <xdr:sp textlink="">
      <xdr:nvSpPr>
        <xdr:cNvPr id="51" name="Text Box 131">
          <a:extLst>
            <a:ext uri="{FF2B5EF4-FFF2-40B4-BE49-F238E27FC236}">
              <a16:creationId xmlns:a16="http://schemas.microsoft.com/office/drawing/2014/main" id="{00000000-0008-0000-0300-000033000000}"/>
            </a:ext>
          </a:extLst>
        </xdr:cNvPr>
        <xdr:cNvSpPr txBox="1">
          <a:spLocks noChangeArrowheads="1"/>
        </xdr:cNvSpPr>
      </xdr:nvSpPr>
      <xdr:spPr bwMode="auto">
        <a:xfrm>
          <a:off x="3362325" y="4724400"/>
          <a:ext cx="1209675" cy="228600"/>
        </a:xfrm>
        <a:prstGeom prst="rect">
          <a:avLst/>
        </a:prstGeom>
        <a:noFill/>
        <a:ln w="9525">
          <a:noFill/>
          <a:miter lim="800000"/>
          <a:headEnd/>
          <a:tailEnd/>
        </a:ln>
      </xdr:spPr>
      <xdr:txBody>
        <a:bodyPr vertOverflow="clip" wrap="square" lIns="27432" tIns="18288" rIns="0" bIns="0" anchor="ctr" upright="1"/>
        <a:lstStyle/>
        <a:p>
          <a:pPr algn="l" rtl="1">
            <a:defRPr sz="1000"/>
          </a:pPr>
          <a:r>
            <a:rPr lang="ja-JP" altLang="en-US" sz="800" b="0" i="0" strike="noStrike">
              <a:solidFill>
                <a:srgbClr val="000000"/>
              </a:solidFill>
              <a:latin typeface="ＭＳ ゴシック"/>
              <a:ea typeface="ＭＳ ゴシック"/>
            </a:rPr>
            <a:t>①参照値</a:t>
          </a:r>
        </a:p>
      </xdr:txBody>
    </xdr:sp>
    <xdr:clientData/>
  </xdr:twoCellAnchor>
  <xdr:twoCellAnchor>
    <xdr:from>
      <xdr:col>6</xdr:col>
      <xdr:colOff>485775</xdr:colOff>
      <xdr:row>29</xdr:row>
      <xdr:rowOff>161925</xdr:rowOff>
    </xdr:from>
    <xdr:to>
      <xdr:col>8</xdr:col>
      <xdr:colOff>276225</xdr:colOff>
      <xdr:row>31</xdr:row>
      <xdr:rowOff>9525</xdr:rowOff>
    </xdr:to>
    <xdr:sp textlink="">
      <xdr:nvSpPr>
        <xdr:cNvPr id="52" name="Text Box 46">
          <a:extLst>
            <a:ext uri="{FF2B5EF4-FFF2-40B4-BE49-F238E27FC236}">
              <a16:creationId xmlns:a16="http://schemas.microsoft.com/office/drawing/2014/main" id="{00000000-0008-0000-0300-000034000000}"/>
            </a:ext>
          </a:extLst>
        </xdr:cNvPr>
        <xdr:cNvSpPr txBox="1">
          <a:spLocks noChangeArrowheads="1"/>
        </xdr:cNvSpPr>
      </xdr:nvSpPr>
      <xdr:spPr bwMode="auto">
        <a:xfrm>
          <a:off x="3352800" y="5038725"/>
          <a:ext cx="1285875" cy="228600"/>
        </a:xfrm>
        <a:prstGeom prst="rect">
          <a:avLst/>
        </a:prstGeom>
        <a:noFill/>
        <a:ln w="9525">
          <a:noFill/>
          <a:miter lim="800000"/>
          <a:headEnd/>
          <a:tailEnd/>
        </a:ln>
      </xdr:spPr>
      <xdr:txBody>
        <a:bodyPr vertOverflow="clip" wrap="square" lIns="27432" tIns="18288" rIns="0" bIns="0" anchor="ctr" upright="1"/>
        <a:lstStyle/>
        <a:p>
          <a:pPr algn="l" rtl="1">
            <a:defRPr sz="1000"/>
          </a:pPr>
          <a:r>
            <a:rPr lang="ja-JP" altLang="en-US" sz="800" b="0" i="0" strike="noStrike">
              <a:solidFill>
                <a:srgbClr val="000000"/>
              </a:solidFill>
              <a:latin typeface="ＭＳ ゴシック"/>
              <a:ea typeface="ＭＳ ゴシック"/>
            </a:rPr>
            <a:t>②建築物の取組み</a:t>
          </a:r>
        </a:p>
      </xdr:txBody>
    </xdr:sp>
    <xdr:clientData/>
  </xdr:twoCellAnchor>
  <xdr:twoCellAnchor>
    <xdr:from>
      <xdr:col>6</xdr:col>
      <xdr:colOff>485775</xdr:colOff>
      <xdr:row>31</xdr:row>
      <xdr:rowOff>47625</xdr:rowOff>
    </xdr:from>
    <xdr:to>
      <xdr:col>8</xdr:col>
      <xdr:colOff>276225</xdr:colOff>
      <xdr:row>32</xdr:row>
      <xdr:rowOff>152400</xdr:rowOff>
    </xdr:to>
    <xdr:sp textlink="">
      <xdr:nvSpPr>
        <xdr:cNvPr id="53" name="Text Box 47">
          <a:extLst>
            <a:ext uri="{FF2B5EF4-FFF2-40B4-BE49-F238E27FC236}">
              <a16:creationId xmlns:a16="http://schemas.microsoft.com/office/drawing/2014/main" id="{00000000-0008-0000-0300-000035000000}"/>
            </a:ext>
          </a:extLst>
        </xdr:cNvPr>
        <xdr:cNvSpPr txBox="1">
          <a:spLocks noChangeArrowheads="1"/>
        </xdr:cNvSpPr>
      </xdr:nvSpPr>
      <xdr:spPr bwMode="auto">
        <a:xfrm>
          <a:off x="3352800" y="5305425"/>
          <a:ext cx="1285875" cy="295275"/>
        </a:xfrm>
        <a:prstGeom prst="rect">
          <a:avLst/>
        </a:prstGeom>
        <a:noFill/>
        <a:ln w="9525">
          <a:noFill/>
          <a:miter lim="800000"/>
          <a:headEnd/>
          <a:tailEnd/>
        </a:ln>
      </xdr:spPr>
      <xdr:txBody>
        <a:bodyPr vertOverflow="clip" wrap="square" lIns="27432" tIns="18288" rIns="0" bIns="0" anchor="ctr" upright="1"/>
        <a:lstStyle/>
        <a:p>
          <a:pPr algn="l" rtl="1">
            <a:defRPr sz="1000"/>
          </a:pPr>
          <a:r>
            <a:rPr lang="ja-JP" altLang="en-US" sz="800" b="0" i="0" strike="noStrike">
              <a:solidFill>
                <a:srgbClr val="000000"/>
              </a:solidFill>
              <a:latin typeface="ＭＳ ゴシック"/>
              <a:ea typeface="ＭＳ ゴシック"/>
            </a:rPr>
            <a:t>③上記</a:t>
          </a:r>
          <a:r>
            <a:rPr lang="en-US" altLang="ja-JP" sz="800" b="0" i="0" strike="noStrike">
              <a:solidFill>
                <a:srgbClr val="000000"/>
              </a:solidFill>
              <a:latin typeface="ＭＳ ゴシック"/>
              <a:ea typeface="ＭＳ ゴシック"/>
            </a:rPr>
            <a:t>+②</a:t>
          </a:r>
          <a:r>
            <a:rPr lang="ja-JP" altLang="en-US" sz="800" b="0" i="0" strike="noStrike">
              <a:solidFill>
                <a:srgbClr val="000000"/>
              </a:solidFill>
              <a:latin typeface="ＭＳ ゴシック"/>
              <a:ea typeface="ＭＳ ゴシック"/>
            </a:rPr>
            <a:t>以外の</a:t>
          </a:r>
        </a:p>
        <a:p>
          <a:pPr algn="l" rtl="1">
            <a:defRPr sz="1000"/>
          </a:pPr>
          <a:r>
            <a:rPr lang="ja-JP" altLang="en-US" sz="800" b="0" i="0" strike="noStrike">
              <a:solidFill>
                <a:srgbClr val="000000"/>
              </a:solidFill>
              <a:latin typeface="ＭＳ ゴシック"/>
              <a:ea typeface="ＭＳ ゴシック"/>
            </a:rPr>
            <a:t>　オンサイト手法</a:t>
          </a:r>
        </a:p>
        <a:p>
          <a:pPr algn="l" rtl="1">
            <a:defRPr sz="1000"/>
          </a:pPr>
          <a:endParaRPr lang="ja-JP" altLang="en-US" sz="800" b="0" i="0" strike="noStrike">
            <a:solidFill>
              <a:srgbClr val="000000"/>
            </a:solidFill>
            <a:latin typeface="ＭＳ ゴシック"/>
            <a:ea typeface="ＭＳ ゴシック"/>
          </a:endParaRPr>
        </a:p>
        <a:p>
          <a:pPr algn="l" rtl="1">
            <a:defRPr sz="1000"/>
          </a:pPr>
          <a:endParaRPr lang="ja-JP" altLang="en-US" sz="800" b="0" i="0" strike="noStrike">
            <a:solidFill>
              <a:srgbClr val="000000"/>
            </a:solidFill>
            <a:latin typeface="ＭＳ ゴシック"/>
            <a:ea typeface="ＭＳ ゴシック"/>
          </a:endParaRPr>
        </a:p>
      </xdr:txBody>
    </xdr:sp>
    <xdr:clientData/>
  </xdr:twoCellAnchor>
  <xdr:twoCellAnchor>
    <xdr:from>
      <xdr:col>6</xdr:col>
      <xdr:colOff>485775</xdr:colOff>
      <xdr:row>32</xdr:row>
      <xdr:rowOff>180975</xdr:rowOff>
    </xdr:from>
    <xdr:to>
      <xdr:col>8</xdr:col>
      <xdr:colOff>276225</xdr:colOff>
      <xdr:row>34</xdr:row>
      <xdr:rowOff>95250</xdr:rowOff>
    </xdr:to>
    <xdr:sp textlink="">
      <xdr:nvSpPr>
        <xdr:cNvPr id="54" name="Text Box 49">
          <a:extLst>
            <a:ext uri="{FF2B5EF4-FFF2-40B4-BE49-F238E27FC236}">
              <a16:creationId xmlns:a16="http://schemas.microsoft.com/office/drawing/2014/main" id="{00000000-0008-0000-0300-000036000000}"/>
            </a:ext>
          </a:extLst>
        </xdr:cNvPr>
        <xdr:cNvSpPr txBox="1">
          <a:spLocks noChangeArrowheads="1"/>
        </xdr:cNvSpPr>
      </xdr:nvSpPr>
      <xdr:spPr bwMode="auto">
        <a:xfrm>
          <a:off x="3352800" y="5629275"/>
          <a:ext cx="1285875" cy="295275"/>
        </a:xfrm>
        <a:prstGeom prst="rect">
          <a:avLst/>
        </a:prstGeom>
        <a:noFill/>
        <a:ln w="9525">
          <a:noFill/>
          <a:miter lim="800000"/>
          <a:headEnd/>
          <a:tailEnd/>
        </a:ln>
      </xdr:spPr>
      <xdr:txBody>
        <a:bodyPr vertOverflow="clip" wrap="square" lIns="27432" tIns="18288" rIns="0" bIns="0" anchor="ctr" upright="1"/>
        <a:lstStyle/>
        <a:p>
          <a:pPr algn="l" rtl="1">
            <a:defRPr sz="1000"/>
          </a:pPr>
          <a:r>
            <a:rPr lang="ja-JP" altLang="en-US" sz="800" b="0" i="0" strike="noStrike">
              <a:solidFill>
                <a:srgbClr val="000000"/>
              </a:solidFill>
              <a:latin typeface="ＭＳ ゴシック"/>
              <a:ea typeface="ＭＳ ゴシック"/>
            </a:rPr>
            <a:t>④上記</a:t>
          </a:r>
          <a:r>
            <a:rPr lang="en-US" altLang="ja-JP" sz="800" b="0" i="0" strike="noStrike">
              <a:solidFill>
                <a:srgbClr val="000000"/>
              </a:solidFill>
              <a:latin typeface="ＭＳ ゴシック"/>
              <a:ea typeface="ＭＳ ゴシック"/>
            </a:rPr>
            <a:t>+</a:t>
          </a:r>
        </a:p>
        <a:p>
          <a:pPr algn="l" rtl="1">
            <a:defRPr sz="1000"/>
          </a:pPr>
          <a:r>
            <a:rPr lang="ja-JP" altLang="en-US" sz="800" b="0" i="0" strike="noStrike">
              <a:solidFill>
                <a:srgbClr val="000000"/>
              </a:solidFill>
              <a:latin typeface="ＭＳ ゴシック"/>
              <a:ea typeface="ＭＳ ゴシック"/>
            </a:rPr>
            <a:t>　オフサイト手法</a:t>
          </a:r>
        </a:p>
      </xdr:txBody>
    </xdr:sp>
    <xdr:clientData/>
  </xdr:twoCellAnchor>
  <xdr:twoCellAnchor>
    <xdr:from>
      <xdr:col>9</xdr:col>
      <xdr:colOff>914400</xdr:colOff>
      <xdr:row>35</xdr:row>
      <xdr:rowOff>114300</xdr:rowOff>
    </xdr:from>
    <xdr:to>
      <xdr:col>11</xdr:col>
      <xdr:colOff>47625</xdr:colOff>
      <xdr:row>36</xdr:row>
      <xdr:rowOff>133350</xdr:rowOff>
    </xdr:to>
    <xdr:sp textlink="">
      <xdr:nvSpPr>
        <xdr:cNvPr id="55" name="Text Box 45">
          <a:extLst>
            <a:ext uri="{FF2B5EF4-FFF2-40B4-BE49-F238E27FC236}">
              <a16:creationId xmlns:a16="http://schemas.microsoft.com/office/drawing/2014/main" id="{00000000-0008-0000-0300-000037000000}"/>
            </a:ext>
          </a:extLst>
        </xdr:cNvPr>
        <xdr:cNvSpPr txBox="1">
          <a:spLocks noChangeArrowheads="1"/>
        </xdr:cNvSpPr>
      </xdr:nvSpPr>
      <xdr:spPr bwMode="auto">
        <a:xfrm>
          <a:off x="5800725" y="6134100"/>
          <a:ext cx="962025" cy="209550"/>
        </a:xfrm>
        <a:prstGeom prst="rect">
          <a:avLst/>
        </a:prstGeom>
        <a:noFill/>
        <a:ln w="9525">
          <a:noFill/>
          <a:miter lim="800000"/>
          <a:headEnd/>
          <a:tailEnd/>
        </a:ln>
      </xdr:spPr>
      <xdr:txBody>
        <a:bodyPr vertOverflow="clip" wrap="square" lIns="27432" tIns="18288" rIns="0" bIns="0" anchor="t" upright="1"/>
        <a:lstStyle/>
        <a:p>
          <a:pPr algn="l" rtl="1">
            <a:defRPr sz="1000"/>
          </a:pPr>
          <a:r>
            <a:rPr lang="ja-JP" altLang="en-US" sz="800" b="0" i="0" strike="noStrike">
              <a:solidFill>
                <a:srgbClr val="000000"/>
              </a:solidFill>
              <a:latin typeface="ＭＳ Ｐゴシック"/>
              <a:ea typeface="ＭＳ Ｐゴシック"/>
            </a:rPr>
            <a:t>（ </a:t>
          </a:r>
          <a:r>
            <a:rPr lang="en-US" altLang="ja-JP" sz="800" b="0" i="0" strike="noStrike">
              <a:solidFill>
                <a:srgbClr val="000000"/>
              </a:solidFill>
              <a:latin typeface="ＭＳ Ｐゴシック"/>
              <a:ea typeface="ＭＳ Ｐゴシック"/>
            </a:rPr>
            <a:t>kg-CO</a:t>
          </a:r>
          <a:r>
            <a:rPr lang="en-US" altLang="ja-JP" sz="800" b="0" i="0" strike="noStrike" baseline="-25000">
              <a:solidFill>
                <a:srgbClr val="000000"/>
              </a:solidFill>
              <a:latin typeface="ＭＳ Ｐゴシック"/>
              <a:ea typeface="ＭＳ Ｐゴシック"/>
            </a:rPr>
            <a:t>2</a:t>
          </a:r>
          <a:r>
            <a:rPr lang="en-US" altLang="ja-JP" sz="800" b="0" i="0" strike="noStrike">
              <a:solidFill>
                <a:srgbClr val="000000"/>
              </a:solidFill>
              <a:latin typeface="ＭＳ Ｐゴシック"/>
              <a:ea typeface="ＭＳ Ｐゴシック"/>
            </a:rPr>
            <a:t>/</a:t>
          </a:r>
          <a:r>
            <a:rPr lang="ja-JP" altLang="en-US" sz="800" b="0" i="0" strike="noStrike">
              <a:solidFill>
                <a:srgbClr val="000000"/>
              </a:solidFill>
              <a:latin typeface="ＭＳ Ｐゴシック"/>
              <a:ea typeface="ＭＳ Ｐゴシック"/>
            </a:rPr>
            <a:t>年・</a:t>
          </a:r>
          <a:r>
            <a:rPr lang="en-US" altLang="ja-JP" sz="800" b="0" i="0" strike="noStrike">
              <a:solidFill>
                <a:srgbClr val="000000"/>
              </a:solidFill>
              <a:latin typeface="ＭＳ Ｐゴシック"/>
              <a:ea typeface="ＭＳ Ｐゴシック"/>
            </a:rPr>
            <a:t>m</a:t>
          </a:r>
          <a:r>
            <a:rPr lang="en-US" altLang="ja-JP" sz="800" b="0" i="0" strike="noStrike" baseline="30000">
              <a:solidFill>
                <a:srgbClr val="000000"/>
              </a:solidFill>
              <a:latin typeface="ＭＳ Ｐゴシック"/>
              <a:ea typeface="ＭＳ Ｐゴシック"/>
            </a:rPr>
            <a:t>2 </a:t>
          </a:r>
          <a:r>
            <a:rPr lang="ja-JP" altLang="en-US" sz="800" b="0" i="0" strike="noStrike">
              <a:solidFill>
                <a:srgbClr val="000000"/>
              </a:solidFill>
              <a:latin typeface="ＭＳ Ｐゴシック"/>
              <a:ea typeface="ＭＳ Ｐゴシック"/>
            </a:rPr>
            <a:t>）</a:t>
          </a:r>
        </a:p>
      </xdr:txBody>
    </xdr:sp>
    <xdr:clientData/>
  </xdr:twoCellAnchor>
  <xdr:twoCellAnchor editAs="absolute">
    <xdr:from>
      <xdr:col>10</xdr:col>
      <xdr:colOff>695325</xdr:colOff>
      <xdr:row>22</xdr:row>
      <xdr:rowOff>200025</xdr:rowOff>
    </xdr:from>
    <xdr:to>
      <xdr:col>15</xdr:col>
      <xdr:colOff>0</xdr:colOff>
      <xdr:row>38</xdr:row>
      <xdr:rowOff>104775</xdr:rowOff>
    </xdr:to>
    <xdr:graphicFrame>
      <xdr:nvGraphicFramePr>
        <xdr:cNvPr id="56" name="Chart 8">
          <a:extLst>
            <a:ext uri="{FF2B5EF4-FFF2-40B4-BE49-F238E27FC236}">
              <a16:creationId xmlns:a16="http://schemas.microsoft.com/office/drawing/2014/main" id="{00000000-0008-0000-03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9525</xdr:colOff>
      <xdr:row>42</xdr:row>
      <xdr:rowOff>114300</xdr:rowOff>
    </xdr:from>
    <xdr:to>
      <xdr:col>7</xdr:col>
      <xdr:colOff>0</xdr:colOff>
      <xdr:row>50</xdr:row>
      <xdr:rowOff>171450</xdr:rowOff>
    </xdr:to>
    <xdr:graphicFrame>
      <xdr:nvGraphicFramePr>
        <xdr:cNvPr id="57" name="Chart 4">
          <a:extLst>
            <a:ext uri="{FF2B5EF4-FFF2-40B4-BE49-F238E27FC236}">
              <a16:creationId xmlns:a16="http://schemas.microsoft.com/office/drawing/2014/main" id="{00000000-0008-0000-03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238125</xdr:colOff>
      <xdr:row>42</xdr:row>
      <xdr:rowOff>104775</xdr:rowOff>
    </xdr:from>
    <xdr:to>
      <xdr:col>10</xdr:col>
      <xdr:colOff>752475</xdr:colOff>
      <xdr:row>50</xdr:row>
      <xdr:rowOff>161925</xdr:rowOff>
    </xdr:to>
    <xdr:graphicFrame>
      <xdr:nvGraphicFramePr>
        <xdr:cNvPr id="59" name="Chart 15">
          <a:extLst>
            <a:ext uri="{FF2B5EF4-FFF2-40B4-BE49-F238E27FC236}">
              <a16:creationId xmlns:a16="http://schemas.microsoft.com/office/drawing/2014/main" id="{00000000-0008-0000-03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209550</xdr:colOff>
      <xdr:row>42</xdr:row>
      <xdr:rowOff>104775</xdr:rowOff>
    </xdr:from>
    <xdr:to>
      <xdr:col>14</xdr:col>
      <xdr:colOff>714375</xdr:colOff>
      <xdr:row>50</xdr:row>
      <xdr:rowOff>161925</xdr:rowOff>
    </xdr:to>
    <xdr:graphicFrame>
      <xdr:nvGraphicFramePr>
        <xdr:cNvPr id="60" name="Chart 15">
          <a:extLst>
            <a:ext uri="{FF2B5EF4-FFF2-40B4-BE49-F238E27FC236}">
              <a16:creationId xmlns:a16="http://schemas.microsoft.com/office/drawing/2014/main" id="{00000000-0008-0000-0300-00003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47625</xdr:colOff>
      <xdr:row>53</xdr:row>
      <xdr:rowOff>152400</xdr:rowOff>
    </xdr:from>
    <xdr:to>
      <xdr:col>6</xdr:col>
      <xdr:colOff>476250</xdr:colOff>
      <xdr:row>61</xdr:row>
      <xdr:rowOff>161925</xdr:rowOff>
    </xdr:to>
    <xdr:graphicFrame>
      <xdr:nvGraphicFramePr>
        <xdr:cNvPr id="61" name="Chart 4">
          <a:extLst>
            <a:ext uri="{FF2B5EF4-FFF2-40B4-BE49-F238E27FC236}">
              <a16:creationId xmlns:a16="http://schemas.microsoft.com/office/drawing/2014/main" id="{00000000-0008-0000-0300-00003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228600</xdr:colOff>
      <xdr:row>53</xdr:row>
      <xdr:rowOff>133350</xdr:rowOff>
    </xdr:from>
    <xdr:to>
      <xdr:col>10</xdr:col>
      <xdr:colOff>742950</xdr:colOff>
      <xdr:row>61</xdr:row>
      <xdr:rowOff>142875</xdr:rowOff>
    </xdr:to>
    <xdr:graphicFrame>
      <xdr:nvGraphicFramePr>
        <xdr:cNvPr id="63" name="Chart 15">
          <a:extLst>
            <a:ext uri="{FF2B5EF4-FFF2-40B4-BE49-F238E27FC236}">
              <a16:creationId xmlns:a16="http://schemas.microsoft.com/office/drawing/2014/main" id="{00000000-0008-0000-0300-00003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11</xdr:col>
      <xdr:colOff>219075</xdr:colOff>
      <xdr:row>54</xdr:row>
      <xdr:rowOff>0</xdr:rowOff>
    </xdr:from>
    <xdr:to>
      <xdr:col>14</xdr:col>
      <xdr:colOff>723900</xdr:colOff>
      <xdr:row>62</xdr:row>
      <xdr:rowOff>0</xdr:rowOff>
    </xdr:to>
    <xdr:graphicFrame>
      <xdr:nvGraphicFramePr>
        <xdr:cNvPr id="64" name="Chart 15">
          <a:extLst>
            <a:ext uri="{FF2B5EF4-FFF2-40B4-BE49-F238E27FC236}">
              <a16:creationId xmlns:a16="http://schemas.microsoft.com/office/drawing/2014/main" id="{00000000-0008-0000-0300-00004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2</xdr:col>
      <xdr:colOff>219075</xdr:colOff>
      <xdr:row>49</xdr:row>
      <xdr:rowOff>161925</xdr:rowOff>
    </xdr:from>
    <xdr:to>
      <xdr:col>2</xdr:col>
      <xdr:colOff>704850</xdr:colOff>
      <xdr:row>50</xdr:row>
      <xdr:rowOff>104775</xdr:rowOff>
    </xdr:to>
    <xdr:sp textlink="">
      <xdr:nvSpPr>
        <xdr:cNvPr id="65" name="Text Box 20">
          <a:extLst>
            <a:ext uri="{FF2B5EF4-FFF2-40B4-BE49-F238E27FC236}">
              <a16:creationId xmlns:a16="http://schemas.microsoft.com/office/drawing/2014/main" id="{00000000-0008-0000-0300-000041000000}"/>
            </a:ext>
          </a:extLst>
        </xdr:cNvPr>
        <xdr:cNvSpPr txBox="1">
          <a:spLocks noChangeArrowheads="1"/>
        </xdr:cNvSpPr>
      </xdr:nvSpPr>
      <xdr:spPr bwMode="auto">
        <a:xfrm>
          <a:off x="438150" y="8934450"/>
          <a:ext cx="485775" cy="13335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音環境　　　　　　　　　　</a:t>
          </a:r>
        </a:p>
      </xdr:txBody>
    </xdr:sp>
    <xdr:clientData/>
  </xdr:twoCellAnchor>
  <xdr:twoCellAnchor editAs="oneCell">
    <xdr:from>
      <xdr:col>7</xdr:col>
      <xdr:colOff>781050</xdr:colOff>
      <xdr:row>49</xdr:row>
      <xdr:rowOff>161925</xdr:rowOff>
    </xdr:from>
    <xdr:to>
      <xdr:col>8</xdr:col>
      <xdr:colOff>285750</xdr:colOff>
      <xdr:row>50</xdr:row>
      <xdr:rowOff>104775</xdr:rowOff>
    </xdr:to>
    <xdr:sp textlink="">
      <xdr:nvSpPr>
        <xdr:cNvPr id="66" name="Text Box 21">
          <a:extLst>
            <a:ext uri="{FF2B5EF4-FFF2-40B4-BE49-F238E27FC236}">
              <a16:creationId xmlns:a16="http://schemas.microsoft.com/office/drawing/2014/main" id="{00000000-0008-0000-0300-000042000000}"/>
            </a:ext>
          </a:extLst>
        </xdr:cNvPr>
        <xdr:cNvSpPr txBox="1">
          <a:spLocks noChangeArrowheads="1"/>
        </xdr:cNvSpPr>
      </xdr:nvSpPr>
      <xdr:spPr bwMode="auto">
        <a:xfrm>
          <a:off x="4143375" y="8934450"/>
          <a:ext cx="504825" cy="13335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機能性  </a:t>
          </a:r>
        </a:p>
      </xdr:txBody>
    </xdr:sp>
    <xdr:clientData/>
  </xdr:twoCellAnchor>
  <xdr:oneCellAnchor>
    <xdr:from>
      <xdr:col>11</xdr:col>
      <xdr:colOff>561975</xdr:colOff>
      <xdr:row>49</xdr:row>
      <xdr:rowOff>171450</xdr:rowOff>
    </xdr:from>
    <xdr:ext cx="419100" cy="133350"/>
    <xdr:sp textlink="">
      <xdr:nvSpPr>
        <xdr:cNvPr id="67" name="Text Box 22">
          <a:extLst>
            <a:ext uri="{FF2B5EF4-FFF2-40B4-BE49-F238E27FC236}">
              <a16:creationId xmlns:a16="http://schemas.microsoft.com/office/drawing/2014/main" id="{00000000-0008-0000-0300-000043000000}"/>
            </a:ext>
          </a:extLst>
        </xdr:cNvPr>
        <xdr:cNvSpPr txBox="1">
          <a:spLocks noChangeArrowheads="1"/>
        </xdr:cNvSpPr>
      </xdr:nvSpPr>
      <xdr:spPr bwMode="auto">
        <a:xfrm>
          <a:off x="7277100" y="8943975"/>
          <a:ext cx="419100" cy="133350"/>
        </a:xfrm>
        <a:prstGeom prst="rect">
          <a:avLst/>
        </a:prstGeom>
        <a:noFill/>
        <a:ln w="9525">
          <a:noFill/>
          <a:miter lim="800000"/>
          <a:headEnd/>
          <a:tailEnd/>
        </a:ln>
      </xdr:spPr>
      <xdr:txBody>
        <a:bodyPr wrap="none" lIns="0" tIns="0" rIns="0" bIns="0" anchor="ctr" upright="1">
          <a:spAutoFit/>
        </a:bodyPr>
        <a:lstStyle/>
        <a:p>
          <a:pPr algn="ctr" rtl="0">
            <a:defRPr sz="1000"/>
          </a:pPr>
          <a:r>
            <a:rPr lang="ja-JP" altLang="en-US" sz="800" b="0" i="0" strike="noStrike">
              <a:solidFill>
                <a:srgbClr val="000000"/>
              </a:solidFill>
              <a:latin typeface="ＭＳ Ｐゴシック"/>
              <a:ea typeface="ＭＳ Ｐゴシック"/>
            </a:rPr>
            <a:t>生物環境</a:t>
          </a:r>
        </a:p>
      </xdr:txBody>
    </xdr:sp>
    <xdr:clientData/>
  </xdr:oneCellAnchor>
  <xdr:twoCellAnchor editAs="oneCell">
    <xdr:from>
      <xdr:col>9</xdr:col>
      <xdr:colOff>85725</xdr:colOff>
      <xdr:row>49</xdr:row>
      <xdr:rowOff>114300</xdr:rowOff>
    </xdr:from>
    <xdr:to>
      <xdr:col>9</xdr:col>
      <xdr:colOff>581025</xdr:colOff>
      <xdr:row>51</xdr:row>
      <xdr:rowOff>0</xdr:rowOff>
    </xdr:to>
    <xdr:sp textlink="">
      <xdr:nvSpPr>
        <xdr:cNvPr id="68" name="Text Box 107">
          <a:extLst>
            <a:ext uri="{FF2B5EF4-FFF2-40B4-BE49-F238E27FC236}">
              <a16:creationId xmlns:a16="http://schemas.microsoft.com/office/drawing/2014/main" id="{00000000-0008-0000-0300-000044000000}"/>
            </a:ext>
          </a:extLst>
        </xdr:cNvPr>
        <xdr:cNvSpPr txBox="1">
          <a:spLocks noChangeArrowheads="1"/>
        </xdr:cNvSpPr>
      </xdr:nvSpPr>
      <xdr:spPr bwMode="auto">
        <a:xfrm>
          <a:off x="4972050" y="8886825"/>
          <a:ext cx="495300" cy="2667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 耐用性</a:t>
          </a:r>
        </a:p>
        <a:p>
          <a:pPr algn="ctr" rtl="0">
            <a:defRPr sz="1000"/>
          </a:pPr>
          <a:r>
            <a:rPr lang="ja-JP" altLang="en-US" sz="800" b="0" i="0" strike="noStrike">
              <a:solidFill>
                <a:srgbClr val="000000"/>
              </a:solidFill>
              <a:latin typeface="ＭＳ Ｐゴシック"/>
              <a:ea typeface="ＭＳ Ｐゴシック"/>
            </a:rPr>
            <a:t> ・信頼性</a:t>
          </a:r>
        </a:p>
      </xdr:txBody>
    </xdr:sp>
    <xdr:clientData/>
  </xdr:twoCellAnchor>
  <xdr:twoCellAnchor editAs="oneCell">
    <xdr:from>
      <xdr:col>10</xdr:col>
      <xdr:colOff>66675</xdr:colOff>
      <xdr:row>49</xdr:row>
      <xdr:rowOff>114300</xdr:rowOff>
    </xdr:from>
    <xdr:to>
      <xdr:col>10</xdr:col>
      <xdr:colOff>571500</xdr:colOff>
      <xdr:row>51</xdr:row>
      <xdr:rowOff>0</xdr:rowOff>
    </xdr:to>
    <xdr:sp textlink="">
      <xdr:nvSpPr>
        <xdr:cNvPr id="69" name="Text Box 108">
          <a:extLst>
            <a:ext uri="{FF2B5EF4-FFF2-40B4-BE49-F238E27FC236}">
              <a16:creationId xmlns:a16="http://schemas.microsoft.com/office/drawing/2014/main" id="{00000000-0008-0000-0300-000045000000}"/>
            </a:ext>
          </a:extLst>
        </xdr:cNvPr>
        <xdr:cNvSpPr txBox="1">
          <a:spLocks noChangeArrowheads="1"/>
        </xdr:cNvSpPr>
      </xdr:nvSpPr>
      <xdr:spPr bwMode="auto">
        <a:xfrm>
          <a:off x="5876925" y="8886825"/>
          <a:ext cx="504825" cy="2667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対応性</a:t>
          </a:r>
        </a:p>
        <a:p>
          <a:pPr algn="ctr" rtl="0">
            <a:defRPr sz="1000"/>
          </a:pPr>
          <a:r>
            <a:rPr lang="ja-JP" altLang="en-US" sz="800" b="0" i="0" strike="noStrike">
              <a:solidFill>
                <a:srgbClr val="000000"/>
              </a:solidFill>
              <a:latin typeface="ＭＳ Ｐゴシック"/>
              <a:ea typeface="ＭＳ Ｐゴシック"/>
            </a:rPr>
            <a:t> ・更新性　</a:t>
          </a:r>
        </a:p>
      </xdr:txBody>
    </xdr:sp>
    <xdr:clientData/>
  </xdr:twoCellAnchor>
  <xdr:twoCellAnchor editAs="oneCell">
    <xdr:from>
      <xdr:col>12</xdr:col>
      <xdr:colOff>495300</xdr:colOff>
      <xdr:row>49</xdr:row>
      <xdr:rowOff>114300</xdr:rowOff>
    </xdr:from>
    <xdr:to>
      <xdr:col>13</xdr:col>
      <xdr:colOff>142875</xdr:colOff>
      <xdr:row>51</xdr:row>
      <xdr:rowOff>0</xdr:rowOff>
    </xdr:to>
    <xdr:sp textlink="">
      <xdr:nvSpPr>
        <xdr:cNvPr id="70" name="Text Box 109">
          <a:extLst>
            <a:ext uri="{FF2B5EF4-FFF2-40B4-BE49-F238E27FC236}">
              <a16:creationId xmlns:a16="http://schemas.microsoft.com/office/drawing/2014/main" id="{00000000-0008-0000-0300-000046000000}"/>
            </a:ext>
          </a:extLst>
        </xdr:cNvPr>
        <xdr:cNvSpPr txBox="1">
          <a:spLocks noChangeArrowheads="1"/>
        </xdr:cNvSpPr>
      </xdr:nvSpPr>
      <xdr:spPr bwMode="auto">
        <a:xfrm>
          <a:off x="8115300" y="8886825"/>
          <a:ext cx="542925" cy="2667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まちなみ</a:t>
          </a:r>
        </a:p>
        <a:p>
          <a:pPr algn="ctr" rtl="0">
            <a:defRPr sz="1000"/>
          </a:pPr>
          <a:r>
            <a:rPr lang="ja-JP" altLang="en-US" sz="800" b="0" i="0" strike="noStrike">
              <a:solidFill>
                <a:srgbClr val="000000"/>
              </a:solidFill>
              <a:latin typeface="ＭＳ Ｐゴシック"/>
              <a:ea typeface="ＭＳ Ｐゴシック"/>
            </a:rPr>
            <a:t>・景観　</a:t>
          </a:r>
        </a:p>
      </xdr:txBody>
    </xdr:sp>
    <xdr:clientData/>
  </xdr:twoCellAnchor>
  <xdr:twoCellAnchor editAs="oneCell">
    <xdr:from>
      <xdr:col>13</xdr:col>
      <xdr:colOff>523875</xdr:colOff>
      <xdr:row>49</xdr:row>
      <xdr:rowOff>114300</xdr:rowOff>
    </xdr:from>
    <xdr:to>
      <xdr:col>14</xdr:col>
      <xdr:colOff>342900</xdr:colOff>
      <xdr:row>51</xdr:row>
      <xdr:rowOff>0</xdr:rowOff>
    </xdr:to>
    <xdr:sp textlink="">
      <xdr:nvSpPr>
        <xdr:cNvPr id="71" name="Text Box 110">
          <a:extLst>
            <a:ext uri="{FF2B5EF4-FFF2-40B4-BE49-F238E27FC236}">
              <a16:creationId xmlns:a16="http://schemas.microsoft.com/office/drawing/2014/main" id="{00000000-0008-0000-0300-000047000000}"/>
            </a:ext>
          </a:extLst>
        </xdr:cNvPr>
        <xdr:cNvSpPr txBox="1">
          <a:spLocks noChangeArrowheads="1"/>
        </xdr:cNvSpPr>
      </xdr:nvSpPr>
      <xdr:spPr bwMode="auto">
        <a:xfrm>
          <a:off x="9039225" y="8886825"/>
          <a:ext cx="476250" cy="2667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地域性・　</a:t>
          </a:r>
        </a:p>
        <a:p>
          <a:pPr algn="ctr" rtl="0">
            <a:defRPr sz="1000"/>
          </a:pPr>
          <a:r>
            <a:rPr lang="ja-JP" altLang="en-US" sz="800" b="0" i="0" strike="noStrike">
              <a:solidFill>
                <a:srgbClr val="000000"/>
              </a:solidFill>
              <a:latin typeface="ＭＳ Ｐゴシック"/>
              <a:ea typeface="ＭＳ Ｐゴシック"/>
            </a:rPr>
            <a:t>アメニティ　　　　　　　　　</a:t>
          </a:r>
        </a:p>
      </xdr:txBody>
    </xdr:sp>
    <xdr:clientData/>
  </xdr:twoCellAnchor>
  <xdr:oneCellAnchor>
    <xdr:from>
      <xdr:col>13</xdr:col>
      <xdr:colOff>85725</xdr:colOff>
      <xdr:row>42</xdr:row>
      <xdr:rowOff>9525</xdr:rowOff>
    </xdr:from>
    <xdr:ext cx="779957" cy="201850"/>
    <xdr:sp textlink="">
      <xdr:nvSpPr>
        <xdr:cNvPr id="72" name="Text Box 135">
          <a:extLst>
            <a:ext uri="{FF2B5EF4-FFF2-40B4-BE49-F238E27FC236}">
              <a16:creationId xmlns:a16="http://schemas.microsoft.com/office/drawing/2014/main" id="{00000000-0008-0000-0300-000048000000}"/>
            </a:ext>
          </a:extLst>
        </xdr:cNvPr>
        <xdr:cNvSpPr txBox="1">
          <a:spLocks noChangeArrowheads="1"/>
        </xdr:cNvSpPr>
      </xdr:nvSpPr>
      <xdr:spPr bwMode="auto">
        <a:xfrm>
          <a:off x="8601075" y="7448550"/>
          <a:ext cx="779957" cy="201850"/>
        </a:xfrm>
        <a:prstGeom prst="rect">
          <a:avLst/>
        </a:prstGeom>
        <a:noFill/>
        <a:ln w="9525">
          <a:noFill/>
          <a:miter lim="800000"/>
          <a:headEnd/>
          <a:tailEnd/>
        </a:ln>
      </xdr:spPr>
      <xdr:txBody>
        <a:bodyPr wrap="none" lIns="27432" tIns="18288" rIns="0" bIns="0" anchor="t" upright="1">
          <a:spAutoFit/>
        </a:bodyPr>
        <a:lstStyle/>
        <a:p>
          <a:pPr algn="l" rtl="0">
            <a:defRPr sz="1000"/>
          </a:pPr>
          <a:r>
            <a:rPr lang="en-US" altLang="ja-JP" sz="1100" b="1" i="0" strike="noStrike">
              <a:solidFill>
                <a:srgbClr val="000000"/>
              </a:solidFill>
              <a:latin typeface="ＭＳ Ｐゴシック"/>
              <a:ea typeface="ＭＳ Ｐゴシック"/>
            </a:rPr>
            <a:t>Q3</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9</xdr:col>
      <xdr:colOff>57150</xdr:colOff>
      <xdr:row>41</xdr:row>
      <xdr:rowOff>171450</xdr:rowOff>
    </xdr:from>
    <xdr:ext cx="779957" cy="201850"/>
    <xdr:sp textlink="">
      <xdr:nvSpPr>
        <xdr:cNvPr id="73" name="Text Box 138">
          <a:extLst>
            <a:ext uri="{FF2B5EF4-FFF2-40B4-BE49-F238E27FC236}">
              <a16:creationId xmlns:a16="http://schemas.microsoft.com/office/drawing/2014/main" id="{00000000-0008-0000-0300-000049000000}"/>
            </a:ext>
          </a:extLst>
        </xdr:cNvPr>
        <xdr:cNvSpPr txBox="1">
          <a:spLocks noChangeArrowheads="1"/>
        </xdr:cNvSpPr>
      </xdr:nvSpPr>
      <xdr:spPr bwMode="auto">
        <a:xfrm>
          <a:off x="4943475" y="7419975"/>
          <a:ext cx="779957" cy="201850"/>
        </a:xfrm>
        <a:prstGeom prst="rect">
          <a:avLst/>
        </a:prstGeom>
        <a:noFill/>
        <a:ln w="9525">
          <a:noFill/>
          <a:miter lim="800000"/>
          <a:headEnd/>
          <a:tailEnd/>
        </a:ln>
      </xdr:spPr>
      <xdr:txBody>
        <a:bodyPr wrap="none" lIns="27432" tIns="18288" rIns="0" bIns="0" anchor="t" upright="1">
          <a:spAutoFit/>
        </a:bodyPr>
        <a:lstStyle/>
        <a:p>
          <a:pPr algn="l" rtl="0">
            <a:defRPr sz="1000"/>
          </a:pPr>
          <a:r>
            <a:rPr lang="en-US" altLang="ja-JP" sz="1100" b="1" i="0" strike="noStrike">
              <a:solidFill>
                <a:srgbClr val="000000"/>
              </a:solidFill>
              <a:latin typeface="ＭＳ Ｐゴシック"/>
              <a:ea typeface="ＭＳ Ｐゴシック"/>
            </a:rPr>
            <a:t>Q2</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4</xdr:col>
      <xdr:colOff>333375</xdr:colOff>
      <xdr:row>42</xdr:row>
      <xdr:rowOff>0</xdr:rowOff>
    </xdr:from>
    <xdr:ext cx="779957" cy="201850"/>
    <xdr:sp textlink="">
      <xdr:nvSpPr>
        <xdr:cNvPr id="74" name="Text Box 139">
          <a:extLst>
            <a:ext uri="{FF2B5EF4-FFF2-40B4-BE49-F238E27FC236}">
              <a16:creationId xmlns:a16="http://schemas.microsoft.com/office/drawing/2014/main" id="{00000000-0008-0000-0300-00004A000000}"/>
            </a:ext>
          </a:extLst>
        </xdr:cNvPr>
        <xdr:cNvSpPr txBox="1">
          <a:spLocks noChangeArrowheads="1"/>
        </xdr:cNvSpPr>
      </xdr:nvSpPr>
      <xdr:spPr bwMode="auto">
        <a:xfrm>
          <a:off x="1981200" y="7439025"/>
          <a:ext cx="779957" cy="201850"/>
        </a:xfrm>
        <a:prstGeom prst="rect">
          <a:avLst/>
        </a:prstGeom>
        <a:noFill/>
        <a:ln w="9525">
          <a:noFill/>
          <a:miter lim="800000"/>
          <a:headEnd/>
          <a:tailEnd/>
        </a:ln>
      </xdr:spPr>
      <xdr:txBody>
        <a:bodyPr wrap="none" lIns="27432" tIns="18288" rIns="0" bIns="0" anchor="t" upright="1">
          <a:spAutoFit/>
        </a:bodyPr>
        <a:lstStyle/>
        <a:p>
          <a:pPr algn="l" rtl="0">
            <a:defRPr sz="1000"/>
          </a:pPr>
          <a:r>
            <a:rPr lang="en-US" altLang="ja-JP" sz="1100" b="1" i="0" strike="noStrike">
              <a:solidFill>
                <a:srgbClr val="000000"/>
              </a:solidFill>
              <a:latin typeface="ＭＳ Ｐゴシック"/>
              <a:ea typeface="ＭＳ Ｐゴシック"/>
            </a:rPr>
            <a:t>Q1</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twoCellAnchor editAs="oneCell">
    <xdr:from>
      <xdr:col>2</xdr:col>
      <xdr:colOff>933450</xdr:colOff>
      <xdr:row>49</xdr:row>
      <xdr:rowOff>171450</xdr:rowOff>
    </xdr:from>
    <xdr:to>
      <xdr:col>4</xdr:col>
      <xdr:colOff>76200</xdr:colOff>
      <xdr:row>50</xdr:row>
      <xdr:rowOff>95250</xdr:rowOff>
    </xdr:to>
    <xdr:sp textlink="">
      <xdr:nvSpPr>
        <xdr:cNvPr id="75" name="Text Box 142">
          <a:extLst>
            <a:ext uri="{FF2B5EF4-FFF2-40B4-BE49-F238E27FC236}">
              <a16:creationId xmlns:a16="http://schemas.microsoft.com/office/drawing/2014/main" id="{00000000-0008-0000-0300-00004B000000}"/>
            </a:ext>
          </a:extLst>
        </xdr:cNvPr>
        <xdr:cNvSpPr txBox="1">
          <a:spLocks noChangeArrowheads="1"/>
        </xdr:cNvSpPr>
      </xdr:nvSpPr>
      <xdr:spPr bwMode="auto">
        <a:xfrm>
          <a:off x="1152525" y="8943975"/>
          <a:ext cx="571500" cy="1143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温熱環境</a:t>
          </a:r>
        </a:p>
      </xdr:txBody>
    </xdr:sp>
    <xdr:clientData/>
  </xdr:twoCellAnchor>
  <xdr:oneCellAnchor>
    <xdr:from>
      <xdr:col>4</xdr:col>
      <xdr:colOff>295275</xdr:colOff>
      <xdr:row>49</xdr:row>
      <xdr:rowOff>171450</xdr:rowOff>
    </xdr:from>
    <xdr:ext cx="660117" cy="133370"/>
    <xdr:sp textlink="">
      <xdr:nvSpPr>
        <xdr:cNvPr id="76" name="Text Box 143">
          <a:extLst>
            <a:ext uri="{FF2B5EF4-FFF2-40B4-BE49-F238E27FC236}">
              <a16:creationId xmlns:a16="http://schemas.microsoft.com/office/drawing/2014/main" id="{00000000-0008-0000-0300-00004C000000}"/>
            </a:ext>
          </a:extLst>
        </xdr:cNvPr>
        <xdr:cNvSpPr txBox="1">
          <a:spLocks noChangeArrowheads="1"/>
        </xdr:cNvSpPr>
      </xdr:nvSpPr>
      <xdr:spPr bwMode="auto">
        <a:xfrm>
          <a:off x="1943100" y="8943975"/>
          <a:ext cx="660117" cy="133370"/>
        </a:xfrm>
        <a:prstGeom prst="rect">
          <a:avLst/>
        </a:prstGeom>
        <a:noFill/>
        <a:ln w="9525">
          <a:noFill/>
          <a:miter lim="800000"/>
          <a:headEnd/>
          <a:tailEnd/>
        </a:ln>
      </xdr:spPr>
      <xdr:txBody>
        <a:bodyPr wrap="none" lIns="0" tIns="0" rIns="0" bIns="0" anchor="ctr" upright="1">
          <a:spAutoFit/>
        </a:bodyPr>
        <a:lstStyle/>
        <a:p>
          <a:pPr algn="ctr" rtl="0">
            <a:defRPr sz="1000"/>
          </a:pPr>
          <a:r>
            <a:rPr lang="ja-JP" altLang="en-US" sz="800" b="0" i="0" strike="noStrike">
              <a:solidFill>
                <a:srgbClr val="000000"/>
              </a:solidFill>
              <a:latin typeface="ＭＳ Ｐゴシック"/>
              <a:ea typeface="ＭＳ Ｐゴシック"/>
            </a:rPr>
            <a:t>光･視環境　　　</a:t>
          </a:r>
        </a:p>
      </xdr:txBody>
    </xdr:sp>
    <xdr:clientData/>
  </xdr:oneCellAnchor>
  <xdr:twoCellAnchor editAs="oneCell">
    <xdr:from>
      <xdr:col>5</xdr:col>
      <xdr:colOff>171450</xdr:colOff>
      <xdr:row>49</xdr:row>
      <xdr:rowOff>161925</xdr:rowOff>
    </xdr:from>
    <xdr:to>
      <xdr:col>6</xdr:col>
      <xdr:colOff>400050</xdr:colOff>
      <xdr:row>50</xdr:row>
      <xdr:rowOff>104775</xdr:rowOff>
    </xdr:to>
    <xdr:sp textlink="">
      <xdr:nvSpPr>
        <xdr:cNvPr id="77" name="Text Box 144">
          <a:extLst>
            <a:ext uri="{FF2B5EF4-FFF2-40B4-BE49-F238E27FC236}">
              <a16:creationId xmlns:a16="http://schemas.microsoft.com/office/drawing/2014/main" id="{00000000-0008-0000-0300-00004D000000}"/>
            </a:ext>
          </a:extLst>
        </xdr:cNvPr>
        <xdr:cNvSpPr txBox="1">
          <a:spLocks noChangeArrowheads="1"/>
        </xdr:cNvSpPr>
      </xdr:nvSpPr>
      <xdr:spPr bwMode="auto">
        <a:xfrm>
          <a:off x="2562225" y="8934450"/>
          <a:ext cx="704850" cy="13335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00" b="0" i="0" strike="noStrike">
              <a:solidFill>
                <a:srgbClr val="000000"/>
              </a:solidFill>
              <a:latin typeface="ＭＳ Ｐゴシック"/>
              <a:ea typeface="ＭＳ Ｐゴシック"/>
            </a:rPr>
            <a:t>空気質環境　　　　　　　</a:t>
          </a:r>
        </a:p>
      </xdr:txBody>
    </xdr:sp>
    <xdr:clientData/>
  </xdr:twoCellAnchor>
  <xdr:twoCellAnchor editAs="oneCell">
    <xdr:from>
      <xdr:col>7</xdr:col>
      <xdr:colOff>657225</xdr:colOff>
      <xdr:row>60</xdr:row>
      <xdr:rowOff>114300</xdr:rowOff>
    </xdr:from>
    <xdr:to>
      <xdr:col>8</xdr:col>
      <xdr:colOff>209550</xdr:colOff>
      <xdr:row>61</xdr:row>
      <xdr:rowOff>190500</xdr:rowOff>
    </xdr:to>
    <xdr:sp textlink="">
      <xdr:nvSpPr>
        <xdr:cNvPr id="78" name="Text Box 7">
          <a:extLst>
            <a:ext uri="{FF2B5EF4-FFF2-40B4-BE49-F238E27FC236}">
              <a16:creationId xmlns:a16="http://schemas.microsoft.com/office/drawing/2014/main" id="{00000000-0008-0000-0300-00004E000000}"/>
            </a:ext>
          </a:extLst>
        </xdr:cNvPr>
        <xdr:cNvSpPr txBox="1">
          <a:spLocks noChangeArrowheads="1"/>
        </xdr:cNvSpPr>
      </xdr:nvSpPr>
      <xdr:spPr bwMode="auto">
        <a:xfrm>
          <a:off x="4019550" y="11058525"/>
          <a:ext cx="552450" cy="276225"/>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900" b="0" i="0" strike="noStrike">
              <a:solidFill>
                <a:srgbClr val="000000"/>
              </a:solidFill>
              <a:latin typeface="ＭＳ Ｐゴシック"/>
              <a:ea typeface="ＭＳ Ｐゴシック"/>
            </a:rPr>
            <a:t>   </a:t>
          </a:r>
          <a:r>
            <a:rPr lang="ja-JP" altLang="en-US" sz="800" b="0" i="0" strike="noStrike">
              <a:solidFill>
                <a:srgbClr val="000000"/>
              </a:solidFill>
              <a:latin typeface="ＭＳ Ｐゴシック"/>
              <a:ea typeface="ＭＳ Ｐゴシック"/>
            </a:rPr>
            <a:t>水資源　　</a:t>
          </a:r>
        </a:p>
        <a:p>
          <a:pPr algn="ctr" rtl="0">
            <a:defRPr sz="1000"/>
          </a:pPr>
          <a:r>
            <a:rPr lang="ja-JP" altLang="en-US" sz="800" b="0" i="0" strike="noStrike">
              <a:solidFill>
                <a:srgbClr val="000000"/>
              </a:solidFill>
              <a:latin typeface="ＭＳ Ｐゴシック"/>
              <a:ea typeface="ＭＳ Ｐゴシック"/>
            </a:rPr>
            <a:t>　  保護</a:t>
          </a:r>
        </a:p>
      </xdr:txBody>
    </xdr:sp>
    <xdr:clientData/>
  </xdr:twoCellAnchor>
  <xdr:twoCellAnchor editAs="oneCell">
    <xdr:from>
      <xdr:col>9</xdr:col>
      <xdr:colOff>0</xdr:colOff>
      <xdr:row>60</xdr:row>
      <xdr:rowOff>114300</xdr:rowOff>
    </xdr:from>
    <xdr:to>
      <xdr:col>9</xdr:col>
      <xdr:colOff>704850</xdr:colOff>
      <xdr:row>61</xdr:row>
      <xdr:rowOff>190500</xdr:rowOff>
    </xdr:to>
    <xdr:sp textlink="">
      <xdr:nvSpPr>
        <xdr:cNvPr id="79" name="Text Box 104">
          <a:extLst>
            <a:ext uri="{FF2B5EF4-FFF2-40B4-BE49-F238E27FC236}">
              <a16:creationId xmlns:a16="http://schemas.microsoft.com/office/drawing/2014/main" id="{00000000-0008-0000-0300-00004F000000}"/>
            </a:ext>
          </a:extLst>
        </xdr:cNvPr>
        <xdr:cNvSpPr txBox="1">
          <a:spLocks noChangeArrowheads="1"/>
        </xdr:cNvSpPr>
      </xdr:nvSpPr>
      <xdr:spPr bwMode="auto">
        <a:xfrm>
          <a:off x="4886325" y="11058525"/>
          <a:ext cx="704850" cy="276225"/>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800" b="0" i="0" strike="noStrike">
              <a:solidFill>
                <a:srgbClr val="000000"/>
              </a:solidFill>
              <a:latin typeface="ＭＳ Ｐゴシック"/>
              <a:ea typeface="ＭＳ Ｐゴシック"/>
            </a:rPr>
            <a:t>非再生材料の</a:t>
          </a:r>
        </a:p>
        <a:p>
          <a:pPr algn="ctr" rtl="0">
            <a:lnSpc>
              <a:spcPts val="1000"/>
            </a:lnSpc>
            <a:defRPr sz="1000"/>
          </a:pPr>
          <a:r>
            <a:rPr lang="ja-JP" altLang="en-US" sz="800" b="0" i="0" strike="noStrike">
              <a:solidFill>
                <a:srgbClr val="000000"/>
              </a:solidFill>
              <a:latin typeface="ＭＳ Ｐゴシック"/>
              <a:ea typeface="ＭＳ Ｐゴシック"/>
            </a:rPr>
            <a:t>使用削減</a:t>
          </a:r>
          <a:r>
            <a:rPr lang="ja-JP" altLang="en-US" sz="900" b="0" i="0" strike="noStrike">
              <a:solidFill>
                <a:srgbClr val="000000"/>
              </a:solidFill>
              <a:latin typeface="ＭＳ Ｐゴシック"/>
              <a:ea typeface="ＭＳ Ｐゴシック"/>
            </a:rPr>
            <a:t>　　　</a:t>
          </a:r>
        </a:p>
      </xdr:txBody>
    </xdr:sp>
    <xdr:clientData/>
  </xdr:twoCellAnchor>
  <xdr:oneCellAnchor>
    <xdr:from>
      <xdr:col>13</xdr:col>
      <xdr:colOff>66675</xdr:colOff>
      <xdr:row>52</xdr:row>
      <xdr:rowOff>180975</xdr:rowOff>
    </xdr:from>
    <xdr:ext cx="845040" cy="201850"/>
    <xdr:sp textlink="">
      <xdr:nvSpPr>
        <xdr:cNvPr id="80" name="Text Box 136">
          <a:extLst>
            <a:ext uri="{FF2B5EF4-FFF2-40B4-BE49-F238E27FC236}">
              <a16:creationId xmlns:a16="http://schemas.microsoft.com/office/drawing/2014/main" id="{00000000-0008-0000-0300-000050000000}"/>
            </a:ext>
          </a:extLst>
        </xdr:cNvPr>
        <xdr:cNvSpPr txBox="1">
          <a:spLocks noChangeArrowheads="1"/>
        </xdr:cNvSpPr>
      </xdr:nvSpPr>
      <xdr:spPr bwMode="auto">
        <a:xfrm>
          <a:off x="8582025" y="9563100"/>
          <a:ext cx="845040" cy="201850"/>
        </a:xfrm>
        <a:prstGeom prst="rect">
          <a:avLst/>
        </a:prstGeom>
        <a:noFill/>
        <a:ln w="9525">
          <a:noFill/>
          <a:miter lim="800000"/>
          <a:headEnd/>
          <a:tailEnd/>
        </a:ln>
      </xdr:spPr>
      <xdr:txBody>
        <a:bodyPr wrap="none" lIns="27432" tIns="18288" rIns="0" bIns="0" anchor="t" upright="1">
          <a:spAutoFit/>
        </a:bodyPr>
        <a:lstStyle/>
        <a:p>
          <a:pPr algn="l" rtl="0">
            <a:defRPr sz="1000"/>
          </a:pPr>
          <a:r>
            <a:rPr lang="en-US" altLang="ja-JP" sz="1100" b="1" i="0" strike="noStrike">
              <a:solidFill>
                <a:srgbClr val="000000"/>
              </a:solidFill>
              <a:latin typeface="ＭＳ Ｐゴシック"/>
              <a:ea typeface="ＭＳ Ｐゴシック"/>
            </a:rPr>
            <a:t>LR3</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8</xdr:col>
      <xdr:colOff>495300</xdr:colOff>
      <xdr:row>52</xdr:row>
      <xdr:rowOff>180975</xdr:rowOff>
    </xdr:from>
    <xdr:ext cx="845040" cy="201850"/>
    <xdr:sp textlink="">
      <xdr:nvSpPr>
        <xdr:cNvPr id="81" name="Text Box 137">
          <a:extLst>
            <a:ext uri="{FF2B5EF4-FFF2-40B4-BE49-F238E27FC236}">
              <a16:creationId xmlns:a16="http://schemas.microsoft.com/office/drawing/2014/main" id="{00000000-0008-0000-0300-000051000000}"/>
            </a:ext>
          </a:extLst>
        </xdr:cNvPr>
        <xdr:cNvSpPr txBox="1">
          <a:spLocks noChangeArrowheads="1"/>
        </xdr:cNvSpPr>
      </xdr:nvSpPr>
      <xdr:spPr bwMode="auto">
        <a:xfrm>
          <a:off x="4857750" y="9563100"/>
          <a:ext cx="845040" cy="201850"/>
        </a:xfrm>
        <a:prstGeom prst="rect">
          <a:avLst/>
        </a:prstGeom>
        <a:noFill/>
        <a:ln w="9525">
          <a:noFill/>
          <a:miter lim="800000"/>
          <a:headEnd/>
          <a:tailEnd/>
        </a:ln>
      </xdr:spPr>
      <xdr:txBody>
        <a:bodyPr wrap="none" lIns="27432" tIns="18288" rIns="0" bIns="0" anchor="t" upright="1">
          <a:spAutoFit/>
        </a:bodyPr>
        <a:lstStyle/>
        <a:p>
          <a:pPr algn="l" rtl="0">
            <a:defRPr sz="1000"/>
          </a:pPr>
          <a:r>
            <a:rPr lang="en-US" altLang="ja-JP" sz="1100" b="1" i="0" strike="noStrike">
              <a:solidFill>
                <a:srgbClr val="000000"/>
              </a:solidFill>
              <a:latin typeface="ＭＳ Ｐゴシック"/>
              <a:ea typeface="ＭＳ Ｐゴシック"/>
            </a:rPr>
            <a:t>LR2</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oneCellAnchor>
    <xdr:from>
      <xdr:col>4</xdr:col>
      <xdr:colOff>266700</xdr:colOff>
      <xdr:row>52</xdr:row>
      <xdr:rowOff>180975</xdr:rowOff>
    </xdr:from>
    <xdr:ext cx="845040" cy="201850"/>
    <xdr:sp textlink="">
      <xdr:nvSpPr>
        <xdr:cNvPr id="82" name="Text Box 140">
          <a:extLst>
            <a:ext uri="{FF2B5EF4-FFF2-40B4-BE49-F238E27FC236}">
              <a16:creationId xmlns:a16="http://schemas.microsoft.com/office/drawing/2014/main" id="{00000000-0008-0000-0300-000052000000}"/>
            </a:ext>
          </a:extLst>
        </xdr:cNvPr>
        <xdr:cNvSpPr txBox="1">
          <a:spLocks noChangeArrowheads="1"/>
        </xdr:cNvSpPr>
      </xdr:nvSpPr>
      <xdr:spPr bwMode="auto">
        <a:xfrm>
          <a:off x="1914525" y="9563100"/>
          <a:ext cx="845040" cy="201850"/>
        </a:xfrm>
        <a:prstGeom prst="rect">
          <a:avLst/>
        </a:prstGeom>
        <a:noFill/>
        <a:ln w="9525">
          <a:noFill/>
          <a:miter lim="800000"/>
          <a:headEnd/>
          <a:tailEnd/>
        </a:ln>
      </xdr:spPr>
      <xdr:txBody>
        <a:bodyPr wrap="none" lIns="27432" tIns="18288" rIns="0" bIns="0" anchor="t" upright="1">
          <a:spAutoFit/>
        </a:bodyPr>
        <a:lstStyle/>
        <a:p>
          <a:pPr algn="l" rtl="0">
            <a:defRPr sz="1000"/>
          </a:pPr>
          <a:r>
            <a:rPr lang="en-US" altLang="ja-JP" sz="1100" b="1" i="0" strike="noStrike">
              <a:solidFill>
                <a:srgbClr val="000000"/>
              </a:solidFill>
              <a:latin typeface="ＭＳ Ｐゴシック"/>
              <a:ea typeface="ＭＳ Ｐゴシック"/>
            </a:rPr>
            <a:t>LR1</a:t>
          </a:r>
          <a:r>
            <a:rPr lang="ja-JP" altLang="en-US" sz="1100" b="1" i="0" strike="noStrike">
              <a:solidFill>
                <a:srgbClr val="000000"/>
              </a:solidFill>
              <a:latin typeface="ＭＳ Ｐゴシック"/>
              <a:ea typeface="ＭＳ Ｐゴシック"/>
            </a:rPr>
            <a:t>のスコア</a:t>
          </a:r>
          <a:r>
            <a:rPr lang="en-US" altLang="ja-JP" sz="1100" b="1" i="0" strike="noStrike">
              <a:solidFill>
                <a:srgbClr val="000000"/>
              </a:solidFill>
              <a:latin typeface="ＭＳ Ｐゴシック"/>
              <a:ea typeface="ＭＳ Ｐゴシック"/>
            </a:rPr>
            <a:t>=</a:t>
          </a:r>
        </a:p>
      </xdr:txBody>
    </xdr:sp>
    <xdr:clientData/>
  </xdr:oneCellAnchor>
  <xdr:twoCellAnchor editAs="oneCell">
    <xdr:from>
      <xdr:col>9</xdr:col>
      <xdr:colOff>876300</xdr:colOff>
      <xdr:row>60</xdr:row>
      <xdr:rowOff>114300</xdr:rowOff>
    </xdr:from>
    <xdr:to>
      <xdr:col>10</xdr:col>
      <xdr:colOff>657225</xdr:colOff>
      <xdr:row>61</xdr:row>
      <xdr:rowOff>190500</xdr:rowOff>
    </xdr:to>
    <xdr:sp textlink="">
      <xdr:nvSpPr>
        <xdr:cNvPr id="83" name="Text Box 145">
          <a:extLst>
            <a:ext uri="{FF2B5EF4-FFF2-40B4-BE49-F238E27FC236}">
              <a16:creationId xmlns:a16="http://schemas.microsoft.com/office/drawing/2014/main" id="{00000000-0008-0000-0300-000053000000}"/>
            </a:ext>
          </a:extLst>
        </xdr:cNvPr>
        <xdr:cNvSpPr txBox="1">
          <a:spLocks noChangeArrowheads="1"/>
        </xdr:cNvSpPr>
      </xdr:nvSpPr>
      <xdr:spPr bwMode="auto">
        <a:xfrm>
          <a:off x="5762625" y="11058525"/>
          <a:ext cx="704850" cy="276225"/>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800" b="0" i="0" strike="noStrike">
              <a:solidFill>
                <a:srgbClr val="000000"/>
              </a:solidFill>
              <a:latin typeface="ＭＳ Ｐゴシック"/>
              <a:ea typeface="ＭＳ Ｐゴシック"/>
            </a:rPr>
            <a:t>汚染物質</a:t>
          </a:r>
        </a:p>
        <a:p>
          <a:pPr algn="ctr" rtl="0">
            <a:lnSpc>
              <a:spcPts val="1000"/>
            </a:lnSpc>
            <a:defRPr sz="1000"/>
          </a:pPr>
          <a:r>
            <a:rPr lang="ja-JP" altLang="en-US" sz="800" b="0" i="0" strike="noStrike">
              <a:solidFill>
                <a:srgbClr val="000000"/>
              </a:solidFill>
              <a:latin typeface="ＭＳ Ｐゴシック"/>
              <a:ea typeface="ＭＳ Ｐゴシック"/>
            </a:rPr>
            <a:t>回避</a:t>
          </a:r>
          <a:r>
            <a:rPr lang="ja-JP" altLang="en-US" sz="900" b="0" i="0" strike="noStrike">
              <a:solidFill>
                <a:srgbClr val="000000"/>
              </a:solidFill>
              <a:latin typeface="ＭＳ Ｐゴシック"/>
              <a:ea typeface="ＭＳ Ｐゴシック"/>
            </a:rPr>
            <a:t>　　　</a:t>
          </a:r>
        </a:p>
      </xdr:txBody>
    </xdr:sp>
    <xdr:clientData/>
  </xdr:twoCellAnchor>
  <xdr:twoCellAnchor editAs="oneCell">
    <xdr:from>
      <xdr:col>2</xdr:col>
      <xdr:colOff>76200</xdr:colOff>
      <xdr:row>60</xdr:row>
      <xdr:rowOff>114300</xdr:rowOff>
    </xdr:from>
    <xdr:to>
      <xdr:col>2</xdr:col>
      <xdr:colOff>771525</xdr:colOff>
      <xdr:row>61</xdr:row>
      <xdr:rowOff>190500</xdr:rowOff>
    </xdr:to>
    <xdr:sp textlink="">
      <xdr:nvSpPr>
        <xdr:cNvPr id="84" name="Text Box 23">
          <a:extLst>
            <a:ext uri="{FF2B5EF4-FFF2-40B4-BE49-F238E27FC236}">
              <a16:creationId xmlns:a16="http://schemas.microsoft.com/office/drawing/2014/main" id="{00000000-0008-0000-0300-000054000000}"/>
            </a:ext>
          </a:extLst>
        </xdr:cNvPr>
        <xdr:cNvSpPr txBox="1">
          <a:spLocks noChangeArrowheads="1"/>
        </xdr:cNvSpPr>
      </xdr:nvSpPr>
      <xdr:spPr bwMode="auto">
        <a:xfrm>
          <a:off x="295275" y="11058525"/>
          <a:ext cx="69532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a:lstStyle/>
        <a:p>
          <a:pPr algn="ctr" rtl="0">
            <a:defRPr sz="1000"/>
          </a:pPr>
          <a:r>
            <a:rPr lang="ja-JP" altLang="en-US" sz="825" b="0" i="0" u="none" strike="noStrike" baseline="0">
              <a:solidFill>
                <a:srgbClr val="000000"/>
              </a:solidFill>
              <a:latin typeface="ＭＳ Ｐゴシック"/>
              <a:ea typeface="ＭＳ Ｐゴシック"/>
            </a:rPr>
            <a:t>   建物外皮の        </a:t>
          </a:r>
        </a:p>
        <a:p>
          <a:pPr algn="ctr" rtl="0">
            <a:lnSpc>
              <a:spcPts val="1000"/>
            </a:lnSpc>
            <a:defRPr sz="1000"/>
          </a:pPr>
          <a:r>
            <a:rPr lang="ja-JP" altLang="en-US" sz="825" b="0" i="0" u="none" strike="noStrike" baseline="0">
              <a:solidFill>
                <a:srgbClr val="000000"/>
              </a:solidFill>
              <a:latin typeface="ＭＳ Ｐゴシック"/>
              <a:ea typeface="ＭＳ Ｐゴシック"/>
            </a:rPr>
            <a:t>   熱負荷</a:t>
          </a:r>
        </a:p>
      </xdr:txBody>
    </xdr:sp>
    <xdr:clientData/>
  </xdr:twoCellAnchor>
  <xdr:twoCellAnchor editAs="oneCell">
    <xdr:from>
      <xdr:col>2</xdr:col>
      <xdr:colOff>952500</xdr:colOff>
      <xdr:row>60</xdr:row>
      <xdr:rowOff>114300</xdr:rowOff>
    </xdr:from>
    <xdr:to>
      <xdr:col>4</xdr:col>
      <xdr:colOff>85725</xdr:colOff>
      <xdr:row>61</xdr:row>
      <xdr:rowOff>190500</xdr:rowOff>
    </xdr:to>
    <xdr:sp textlink="">
      <xdr:nvSpPr>
        <xdr:cNvPr id="85" name="Text Box 101">
          <a:extLst>
            <a:ext uri="{FF2B5EF4-FFF2-40B4-BE49-F238E27FC236}">
              <a16:creationId xmlns:a16="http://schemas.microsoft.com/office/drawing/2014/main" id="{00000000-0008-0000-0300-000055000000}"/>
            </a:ext>
          </a:extLst>
        </xdr:cNvPr>
        <xdr:cNvSpPr txBox="1">
          <a:spLocks noChangeArrowheads="1"/>
        </xdr:cNvSpPr>
      </xdr:nvSpPr>
      <xdr:spPr bwMode="auto">
        <a:xfrm>
          <a:off x="1171575" y="11058525"/>
          <a:ext cx="561975" cy="276225"/>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25" b="0" i="0" strike="noStrike">
              <a:solidFill>
                <a:srgbClr val="000000"/>
              </a:solidFill>
              <a:latin typeface="ＭＳ Ｐゴシック"/>
              <a:ea typeface="ＭＳ Ｐゴシック"/>
            </a:rPr>
            <a:t> 自然エネ     </a:t>
          </a:r>
        </a:p>
        <a:p>
          <a:pPr algn="ctr" rtl="0">
            <a:lnSpc>
              <a:spcPts val="1000"/>
            </a:lnSpc>
            <a:defRPr sz="1000"/>
          </a:pPr>
          <a:r>
            <a:rPr lang="ja-JP" altLang="en-US" sz="825" b="0" i="0" strike="noStrike">
              <a:solidFill>
                <a:srgbClr val="000000"/>
              </a:solidFill>
              <a:latin typeface="ＭＳ Ｐゴシック"/>
              <a:ea typeface="ＭＳ Ｐゴシック"/>
            </a:rPr>
            <a:t>  ルギー</a:t>
          </a:r>
        </a:p>
      </xdr:txBody>
    </xdr:sp>
    <xdr:clientData/>
  </xdr:twoCellAnchor>
  <xdr:twoCellAnchor editAs="oneCell">
    <xdr:from>
      <xdr:col>4</xdr:col>
      <xdr:colOff>219075</xdr:colOff>
      <xdr:row>60</xdr:row>
      <xdr:rowOff>114300</xdr:rowOff>
    </xdr:from>
    <xdr:to>
      <xdr:col>5</xdr:col>
      <xdr:colOff>142875</xdr:colOff>
      <xdr:row>61</xdr:row>
      <xdr:rowOff>180975</xdr:rowOff>
    </xdr:to>
    <xdr:sp textlink="">
      <xdr:nvSpPr>
        <xdr:cNvPr id="86" name="Text Box 102">
          <a:extLst>
            <a:ext uri="{FF2B5EF4-FFF2-40B4-BE49-F238E27FC236}">
              <a16:creationId xmlns:a16="http://schemas.microsoft.com/office/drawing/2014/main" id="{00000000-0008-0000-0300-000056000000}"/>
            </a:ext>
          </a:extLst>
        </xdr:cNvPr>
        <xdr:cNvSpPr txBox="1">
          <a:spLocks noChangeArrowheads="1"/>
        </xdr:cNvSpPr>
      </xdr:nvSpPr>
      <xdr:spPr bwMode="auto">
        <a:xfrm>
          <a:off x="1866900" y="11058525"/>
          <a:ext cx="666750" cy="2667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25" b="0" i="0" strike="noStrike">
              <a:solidFill>
                <a:srgbClr val="000000"/>
              </a:solidFill>
              <a:latin typeface="ＭＳ Ｐゴシック"/>
              <a:ea typeface="ＭＳ Ｐゴシック"/>
            </a:rPr>
            <a:t> 設備システ     </a:t>
          </a:r>
        </a:p>
        <a:p>
          <a:pPr algn="ctr" rtl="0">
            <a:lnSpc>
              <a:spcPts val="1000"/>
            </a:lnSpc>
            <a:defRPr sz="1000"/>
          </a:pPr>
          <a:r>
            <a:rPr lang="ja-JP" altLang="en-US" sz="825" b="0" i="0" strike="noStrike">
              <a:solidFill>
                <a:srgbClr val="000000"/>
              </a:solidFill>
              <a:latin typeface="ＭＳ Ｐゴシック"/>
              <a:ea typeface="ＭＳ Ｐゴシック"/>
            </a:rPr>
            <a:t> ム効率化</a:t>
          </a:r>
        </a:p>
      </xdr:txBody>
    </xdr:sp>
    <xdr:clientData/>
  </xdr:twoCellAnchor>
  <xdr:twoCellAnchor editAs="oneCell">
    <xdr:from>
      <xdr:col>5</xdr:col>
      <xdr:colOff>361950</xdr:colOff>
      <xdr:row>60</xdr:row>
      <xdr:rowOff>114300</xdr:rowOff>
    </xdr:from>
    <xdr:to>
      <xdr:col>6</xdr:col>
      <xdr:colOff>285750</xdr:colOff>
      <xdr:row>61</xdr:row>
      <xdr:rowOff>180975</xdr:rowOff>
    </xdr:to>
    <xdr:sp textlink="">
      <xdr:nvSpPr>
        <xdr:cNvPr id="87" name="Text Box 103">
          <a:extLst>
            <a:ext uri="{FF2B5EF4-FFF2-40B4-BE49-F238E27FC236}">
              <a16:creationId xmlns:a16="http://schemas.microsoft.com/office/drawing/2014/main" id="{00000000-0008-0000-0300-000057000000}"/>
            </a:ext>
          </a:extLst>
        </xdr:cNvPr>
        <xdr:cNvSpPr txBox="1">
          <a:spLocks noChangeArrowheads="1"/>
        </xdr:cNvSpPr>
      </xdr:nvSpPr>
      <xdr:spPr bwMode="auto">
        <a:xfrm>
          <a:off x="2752725" y="11058525"/>
          <a:ext cx="400050" cy="266700"/>
        </a:xfrm>
        <a:prstGeom prst="rect">
          <a:avLst/>
        </a:prstGeom>
        <a:noFill/>
        <a:ln w="9525">
          <a:noFill/>
          <a:miter lim="800000"/>
          <a:headEnd/>
          <a:tailEnd/>
        </a:ln>
      </xdr:spPr>
      <xdr:txBody>
        <a:bodyPr vertOverflow="clip" wrap="square" lIns="0" tIns="0" rIns="0" bIns="0" anchor="ctr" upright="1"/>
        <a:lstStyle/>
        <a:p>
          <a:pPr algn="ctr" rtl="0">
            <a:defRPr sz="1000"/>
          </a:pPr>
          <a:r>
            <a:rPr lang="ja-JP" altLang="en-US" sz="825" b="0" i="0" strike="noStrike">
              <a:solidFill>
                <a:srgbClr val="000000"/>
              </a:solidFill>
              <a:latin typeface="ＭＳ Ｐゴシック"/>
              <a:ea typeface="ＭＳ Ｐゴシック"/>
            </a:rPr>
            <a:t>効率的              </a:t>
          </a:r>
        </a:p>
        <a:p>
          <a:pPr algn="ctr" rtl="0">
            <a:lnSpc>
              <a:spcPts val="1000"/>
            </a:lnSpc>
            <a:defRPr sz="1000"/>
          </a:pPr>
          <a:r>
            <a:rPr lang="ja-JP" altLang="en-US" sz="825" b="0" i="0" strike="noStrike">
              <a:solidFill>
                <a:srgbClr val="000000"/>
              </a:solidFill>
              <a:latin typeface="ＭＳ Ｐゴシック"/>
              <a:ea typeface="ＭＳ Ｐゴシック"/>
            </a:rPr>
            <a:t>運用</a:t>
          </a:r>
        </a:p>
      </xdr:txBody>
    </xdr:sp>
    <xdr:clientData/>
  </xdr:twoCellAnchor>
  <xdr:twoCellAnchor editAs="oneCell">
    <xdr:from>
      <xdr:col>11</xdr:col>
      <xdr:colOff>457200</xdr:colOff>
      <xdr:row>60</xdr:row>
      <xdr:rowOff>104775</xdr:rowOff>
    </xdr:from>
    <xdr:to>
      <xdr:col>12</xdr:col>
      <xdr:colOff>257175</xdr:colOff>
      <xdr:row>61</xdr:row>
      <xdr:rowOff>180975</xdr:rowOff>
    </xdr:to>
    <xdr:sp textlink="">
      <xdr:nvSpPr>
        <xdr:cNvPr id="88" name="Text Box 148">
          <a:extLst>
            <a:ext uri="{FF2B5EF4-FFF2-40B4-BE49-F238E27FC236}">
              <a16:creationId xmlns:a16="http://schemas.microsoft.com/office/drawing/2014/main" id="{00000000-0008-0000-0300-000058000000}"/>
            </a:ext>
          </a:extLst>
        </xdr:cNvPr>
        <xdr:cNvSpPr txBox="1">
          <a:spLocks noChangeArrowheads="1"/>
        </xdr:cNvSpPr>
      </xdr:nvSpPr>
      <xdr:spPr bwMode="auto">
        <a:xfrm>
          <a:off x="7172325" y="11049000"/>
          <a:ext cx="704850" cy="276225"/>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800" b="0" i="0" strike="noStrike">
              <a:solidFill>
                <a:srgbClr val="000000"/>
              </a:solidFill>
              <a:latin typeface="ＭＳ Ｐゴシック"/>
              <a:ea typeface="ＭＳ Ｐゴシック"/>
            </a:rPr>
            <a:t>地球温暖化</a:t>
          </a:r>
        </a:p>
        <a:p>
          <a:pPr algn="ctr" rtl="0">
            <a:lnSpc>
              <a:spcPts val="1000"/>
            </a:lnSpc>
            <a:defRPr sz="1000"/>
          </a:pPr>
          <a:r>
            <a:rPr lang="ja-JP" altLang="en-US" sz="800" b="0" i="0" strike="noStrike">
              <a:solidFill>
                <a:srgbClr val="000000"/>
              </a:solidFill>
              <a:latin typeface="ＭＳ Ｐゴシック"/>
              <a:ea typeface="ＭＳ Ｐゴシック"/>
            </a:rPr>
            <a:t>への配慮</a:t>
          </a:r>
          <a:r>
            <a:rPr lang="ja-JP" altLang="en-US" sz="900" b="0" i="0" strike="noStrike">
              <a:solidFill>
                <a:srgbClr val="000000"/>
              </a:solidFill>
              <a:latin typeface="ＭＳ Ｐゴシック"/>
              <a:ea typeface="ＭＳ Ｐゴシック"/>
            </a:rPr>
            <a:t>　　　</a:t>
          </a:r>
        </a:p>
      </xdr:txBody>
    </xdr:sp>
    <xdr:clientData/>
  </xdr:twoCellAnchor>
  <xdr:twoCellAnchor editAs="oneCell">
    <xdr:from>
      <xdr:col>12</xdr:col>
      <xdr:colOff>447675</xdr:colOff>
      <xdr:row>60</xdr:row>
      <xdr:rowOff>104775</xdr:rowOff>
    </xdr:from>
    <xdr:to>
      <xdr:col>13</xdr:col>
      <xdr:colOff>257175</xdr:colOff>
      <xdr:row>61</xdr:row>
      <xdr:rowOff>180975</xdr:rowOff>
    </xdr:to>
    <xdr:sp textlink="">
      <xdr:nvSpPr>
        <xdr:cNvPr id="89" name="Text Box 149">
          <a:extLst>
            <a:ext uri="{FF2B5EF4-FFF2-40B4-BE49-F238E27FC236}">
              <a16:creationId xmlns:a16="http://schemas.microsoft.com/office/drawing/2014/main" id="{00000000-0008-0000-0300-000059000000}"/>
            </a:ext>
          </a:extLst>
        </xdr:cNvPr>
        <xdr:cNvSpPr txBox="1">
          <a:spLocks noChangeArrowheads="1"/>
        </xdr:cNvSpPr>
      </xdr:nvSpPr>
      <xdr:spPr bwMode="auto">
        <a:xfrm>
          <a:off x="8067675" y="11049000"/>
          <a:ext cx="704850" cy="276225"/>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800" b="0" i="0" strike="noStrike">
              <a:solidFill>
                <a:srgbClr val="000000"/>
              </a:solidFill>
              <a:latin typeface="ＭＳ Ｐゴシック"/>
              <a:ea typeface="ＭＳ Ｐゴシック"/>
            </a:rPr>
            <a:t>地域環境</a:t>
          </a:r>
        </a:p>
        <a:p>
          <a:pPr algn="ctr" rtl="0">
            <a:lnSpc>
              <a:spcPts val="1000"/>
            </a:lnSpc>
            <a:defRPr sz="1000"/>
          </a:pPr>
          <a:r>
            <a:rPr lang="ja-JP" altLang="en-US" sz="800" b="0" i="0" strike="noStrike">
              <a:solidFill>
                <a:srgbClr val="000000"/>
              </a:solidFill>
              <a:latin typeface="ＭＳ Ｐゴシック"/>
              <a:ea typeface="ＭＳ Ｐゴシック"/>
            </a:rPr>
            <a:t>への配慮</a:t>
          </a:r>
          <a:r>
            <a:rPr lang="ja-JP" altLang="en-US" sz="900" b="0" i="0" strike="noStrike">
              <a:solidFill>
                <a:srgbClr val="000000"/>
              </a:solidFill>
              <a:latin typeface="ＭＳ Ｐゴシック"/>
              <a:ea typeface="ＭＳ Ｐゴシック"/>
            </a:rPr>
            <a:t>　　　</a:t>
          </a:r>
        </a:p>
      </xdr:txBody>
    </xdr:sp>
    <xdr:clientData/>
  </xdr:twoCellAnchor>
  <xdr:twoCellAnchor editAs="oneCell">
    <xdr:from>
      <xdr:col>13</xdr:col>
      <xdr:colOff>466725</xdr:colOff>
      <xdr:row>60</xdr:row>
      <xdr:rowOff>104775</xdr:rowOff>
    </xdr:from>
    <xdr:to>
      <xdr:col>14</xdr:col>
      <xdr:colOff>514350</xdr:colOff>
      <xdr:row>61</xdr:row>
      <xdr:rowOff>180975</xdr:rowOff>
    </xdr:to>
    <xdr:sp textlink="">
      <xdr:nvSpPr>
        <xdr:cNvPr id="90" name="Text Box 150">
          <a:extLst>
            <a:ext uri="{FF2B5EF4-FFF2-40B4-BE49-F238E27FC236}">
              <a16:creationId xmlns:a16="http://schemas.microsoft.com/office/drawing/2014/main" id="{00000000-0008-0000-0300-00005A000000}"/>
            </a:ext>
          </a:extLst>
        </xdr:cNvPr>
        <xdr:cNvSpPr txBox="1">
          <a:spLocks noChangeArrowheads="1"/>
        </xdr:cNvSpPr>
      </xdr:nvSpPr>
      <xdr:spPr bwMode="auto">
        <a:xfrm>
          <a:off x="8982075" y="11049000"/>
          <a:ext cx="704850" cy="276225"/>
        </a:xfrm>
        <a:prstGeom prst="rect">
          <a:avLst/>
        </a:prstGeom>
        <a:noFill/>
        <a:ln w="9525">
          <a:noFill/>
          <a:miter lim="800000"/>
          <a:headEnd/>
          <a:tailEnd/>
        </a:ln>
      </xdr:spPr>
      <xdr:txBody>
        <a:bodyPr vertOverflow="clip" wrap="square" lIns="0" tIns="0" rIns="0" bIns="0" anchor="t" upright="1"/>
        <a:lstStyle/>
        <a:p>
          <a:pPr algn="ctr" rtl="0">
            <a:defRPr sz="1000"/>
          </a:pPr>
          <a:r>
            <a:rPr lang="ja-JP" altLang="en-US" sz="800" b="0" i="0" strike="noStrike">
              <a:solidFill>
                <a:srgbClr val="000000"/>
              </a:solidFill>
              <a:latin typeface="ＭＳ Ｐゴシック"/>
              <a:ea typeface="ＭＳ Ｐゴシック"/>
            </a:rPr>
            <a:t>周辺環境</a:t>
          </a:r>
        </a:p>
        <a:p>
          <a:pPr algn="ctr" rtl="0">
            <a:lnSpc>
              <a:spcPts val="1000"/>
            </a:lnSpc>
            <a:defRPr sz="1000"/>
          </a:pPr>
          <a:r>
            <a:rPr lang="ja-JP" altLang="en-US" sz="800" b="0" i="0" strike="noStrike">
              <a:solidFill>
                <a:srgbClr val="000000"/>
              </a:solidFill>
              <a:latin typeface="ＭＳ Ｐゴシック"/>
              <a:ea typeface="ＭＳ Ｐゴシック"/>
            </a:rPr>
            <a:t>への配慮</a:t>
          </a:r>
          <a:r>
            <a:rPr lang="ja-JP" altLang="en-US" sz="900" b="0" i="0" strike="noStrike">
              <a:solidFill>
                <a:srgbClr val="000000"/>
              </a:solidFill>
              <a:latin typeface="ＭＳ Ｐゴシック"/>
              <a:ea typeface="ＭＳ Ｐゴシック"/>
            </a:rPr>
            <a:t>　　　</a:t>
          </a:r>
        </a:p>
      </xdr:txBody>
    </xdr:sp>
    <xdr:clientData/>
  </xdr:twoCellAnchor>
  <xdr:twoCellAnchor>
    <xdr:from>
      <xdr:col>1</xdr:col>
      <xdr:colOff>0</xdr:colOff>
      <xdr:row>71</xdr:row>
      <xdr:rowOff>0</xdr:rowOff>
    </xdr:from>
    <xdr:to>
      <xdr:col>15</xdr:col>
      <xdr:colOff>9525</xdr:colOff>
      <xdr:row>97</xdr:row>
      <xdr:rowOff>76200</xdr:rowOff>
    </xdr:to>
    <xdr:sp textlink="">
      <xdr:nvSpPr>
        <xdr:cNvPr id="58" name="Text Box 141">
          <a:extLst>
            <a:ext uri="{FF2B5EF4-FFF2-40B4-BE49-F238E27FC236}">
              <a16:creationId xmlns:a16="http://schemas.microsoft.com/office/drawing/2014/main" id="{00000000-0008-0000-0300-00003A000000}"/>
            </a:ext>
          </a:extLst>
        </xdr:cNvPr>
        <xdr:cNvSpPr txBox="1">
          <a:spLocks noChangeArrowheads="1"/>
        </xdr:cNvSpPr>
      </xdr:nvSpPr>
      <xdr:spPr bwMode="auto">
        <a:xfrm>
          <a:off x="57150" y="14411325"/>
          <a:ext cx="10001250" cy="8001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ＭＳ Ｐゴシック"/>
              <a:ea typeface="ＭＳ Ｐゴシック"/>
            </a:rPr>
            <a:t>■CASBEE: Comprehensive Assessment System for Built Environment Efficiency</a:t>
          </a:r>
          <a:r>
            <a:rPr lang="ja-JP" altLang="en-US" sz="900" b="0" i="0" u="none" strike="noStrike" baseline="0">
              <a:solidFill>
                <a:srgbClr val="000000"/>
              </a:solidFill>
              <a:latin typeface="ＭＳ Ｐゴシック"/>
              <a:ea typeface="ＭＳ Ｐゴシック"/>
            </a:rPr>
            <a:t> （建築環境総合性能評価システム）</a:t>
          </a:r>
        </a:p>
        <a:p>
          <a:pPr algn="l" rtl="0">
            <a:defRPr sz="1000"/>
          </a:pPr>
          <a:r>
            <a:rPr lang="ja-JP" altLang="en-US" sz="900" b="0" i="0" u="none" strike="noStrike" baseline="0">
              <a:solidFill>
                <a:srgbClr val="000000"/>
              </a:solidFill>
              <a:latin typeface="ＭＳ Ｐゴシック"/>
              <a:ea typeface="ＭＳ Ｐゴシック"/>
            </a:rPr>
            <a:t>■</a:t>
          </a:r>
          <a:r>
            <a:rPr lang="ja-JP" altLang="en-US" sz="900" b="1" i="0" u="none" strike="noStrike" baseline="0">
              <a:solidFill>
                <a:srgbClr val="000000"/>
              </a:solidFill>
              <a:latin typeface="ＭＳ Ｐゴシック"/>
              <a:ea typeface="ＭＳ Ｐゴシック"/>
            </a:rPr>
            <a:t>Q: Quality</a:t>
          </a:r>
          <a:r>
            <a:rPr lang="ja-JP" altLang="en-US" sz="900" b="0" i="0" u="none" strike="noStrike" baseline="0">
              <a:solidFill>
                <a:srgbClr val="000000"/>
              </a:solidFill>
              <a:latin typeface="ＭＳ Ｐゴシック"/>
              <a:ea typeface="ＭＳ Ｐゴシック"/>
            </a:rPr>
            <a:t> （建築物の環境品質）、</a:t>
          </a:r>
          <a:r>
            <a:rPr lang="ja-JP" altLang="en-US" sz="900" b="1" i="0" u="none" strike="noStrike" baseline="0">
              <a:solidFill>
                <a:srgbClr val="000000"/>
              </a:solidFill>
              <a:latin typeface="ＭＳ Ｐゴシック"/>
              <a:ea typeface="ＭＳ Ｐゴシック"/>
            </a:rPr>
            <a:t>L: Load </a:t>
          </a:r>
          <a:r>
            <a:rPr lang="ja-JP" altLang="en-US" sz="900" b="0" i="0" u="none" strike="noStrike" baseline="0">
              <a:solidFill>
                <a:srgbClr val="000000"/>
              </a:solidFill>
              <a:latin typeface="ＭＳ Ｐゴシック"/>
              <a:ea typeface="ＭＳ Ｐゴシック"/>
            </a:rPr>
            <a:t>（建築物の環境負荷）、</a:t>
          </a:r>
          <a:r>
            <a:rPr lang="ja-JP" altLang="en-US" sz="900" b="1" i="0" u="none" strike="noStrike" baseline="0">
              <a:solidFill>
                <a:srgbClr val="000000"/>
              </a:solidFill>
              <a:latin typeface="ＭＳ Ｐゴシック"/>
              <a:ea typeface="ＭＳ Ｐゴシック"/>
            </a:rPr>
            <a:t>LR: Load Reduction </a:t>
          </a:r>
          <a:r>
            <a:rPr lang="ja-JP" altLang="en-US" sz="900" b="0" i="0" u="none" strike="noStrike" baseline="0">
              <a:solidFill>
                <a:srgbClr val="000000"/>
              </a:solidFill>
              <a:latin typeface="ＭＳ Ｐゴシック"/>
              <a:ea typeface="ＭＳ Ｐゴシック"/>
            </a:rPr>
            <a:t>（建築物の環境負荷低減性）、</a:t>
          </a:r>
          <a:r>
            <a:rPr lang="ja-JP" altLang="en-US" sz="900" b="1" i="0" u="none" strike="noStrike" baseline="0">
              <a:solidFill>
                <a:srgbClr val="000000"/>
              </a:solidFill>
              <a:latin typeface="ＭＳ Ｐゴシック"/>
              <a:ea typeface="ＭＳ Ｐゴシック"/>
            </a:rPr>
            <a:t>BEE: Built Environment Efficiency </a:t>
          </a:r>
          <a:r>
            <a:rPr lang="ja-JP" altLang="en-US" sz="900" b="0" i="0" u="none" strike="noStrike" baseline="0">
              <a:solidFill>
                <a:srgbClr val="000000"/>
              </a:solidFill>
              <a:latin typeface="ＭＳ Ｐゴシック"/>
              <a:ea typeface="ＭＳ Ｐゴシック"/>
            </a:rPr>
            <a:t>（建築物の環境効率）</a:t>
          </a:r>
        </a:p>
        <a:p>
          <a:pPr algn="l" rtl="0">
            <a:lnSpc>
              <a:spcPts val="1100"/>
            </a:lnSpc>
            <a:defRPr sz="1000"/>
          </a:pPr>
          <a:r>
            <a:rPr lang="ja-JP" altLang="en-US" sz="900" b="0" i="0" u="none" strike="noStrike" baseline="0">
              <a:solidFill>
                <a:srgbClr val="000000"/>
              </a:solidFill>
              <a:latin typeface="ＭＳ Ｐゴシック"/>
              <a:ea typeface="ＭＳ Ｐゴシック"/>
            </a:rPr>
            <a:t>■「ライフサイクルCO</a:t>
          </a:r>
          <a:r>
            <a:rPr lang="ja-JP" altLang="en-US" sz="900" b="0" i="0" u="none" strike="noStrike" baseline="-25000">
              <a:solidFill>
                <a:srgbClr val="000000"/>
              </a:solidFill>
              <a:latin typeface="ＭＳ Ｐゴシック"/>
              <a:ea typeface="ＭＳ Ｐゴシック"/>
            </a:rPr>
            <a:t>2</a:t>
          </a:r>
          <a:r>
            <a:rPr lang="ja-JP" altLang="en-US" sz="900" b="0" i="0" u="none" strike="noStrike" baseline="0">
              <a:solidFill>
                <a:srgbClr val="000000"/>
              </a:solidFill>
              <a:latin typeface="ＭＳ Ｐゴシック"/>
              <a:ea typeface="ＭＳ Ｐゴシック"/>
            </a:rPr>
            <a:t>」とは、建築物の部材生産・建設から運用、改修、解体廃棄に至る一生の間の二酸化炭素排出量を、建築物の寿命年数で除した年間二酸化炭素排出量のこと</a:t>
          </a:r>
        </a:p>
        <a:p>
          <a:pPr algn="l" rtl="0">
            <a:defRPr sz="1000"/>
          </a:pPr>
          <a:r>
            <a:rPr lang="ja-JP" altLang="en-US" sz="900" b="0" i="0" u="none" strike="noStrike" baseline="0">
              <a:solidFill>
                <a:srgbClr val="000000"/>
              </a:solidFill>
              <a:latin typeface="ＭＳ Ｐゴシック"/>
              <a:ea typeface="ＭＳ Ｐゴシック"/>
            </a:rPr>
            <a:t>■評価対象のライフサイクルCO</a:t>
          </a:r>
          <a:r>
            <a:rPr lang="ja-JP" altLang="en-US" sz="600" b="0" i="0" u="none" strike="noStrike" baseline="0">
              <a:solidFill>
                <a:srgbClr val="000000"/>
              </a:solidFill>
              <a:latin typeface="ＭＳ Ｐゴシック"/>
              <a:ea typeface="ＭＳ Ｐゴシック"/>
            </a:rPr>
            <a:t>2</a:t>
          </a:r>
          <a:r>
            <a:rPr lang="ja-JP" altLang="en-US" sz="900" b="0" i="0" u="none" strike="noStrike" baseline="0">
              <a:solidFill>
                <a:srgbClr val="000000"/>
              </a:solidFill>
              <a:latin typeface="ＭＳ Ｐゴシック"/>
              <a:ea typeface="ＭＳ Ｐゴシック"/>
            </a:rPr>
            <a:t>排出量は、Q2、LR1、LR2中の建築物の寿命、省エネルギー、省資源などの項目の評価結果から自動的に算出される</a:t>
          </a:r>
        </a:p>
        <a:p>
          <a:pPr algn="l" rtl="0">
            <a:defRPr sz="1000"/>
          </a:pPr>
          <a:r>
            <a:rPr lang="ja-JP" altLang="en-US" sz="900" b="0" i="0" u="none" strike="noStrike" baseline="0">
              <a:solidFill>
                <a:srgbClr val="000000"/>
              </a:solidFill>
              <a:latin typeface="ＭＳ Ｐゴシック"/>
              <a:ea typeface="ＭＳ Ｐゴシック"/>
            </a:rPr>
            <a:t>■LCCO</a:t>
          </a:r>
          <a:r>
            <a:rPr lang="ja-JP" altLang="en-US" sz="600" b="0" i="0" u="none" strike="noStrike" baseline="0">
              <a:solidFill>
                <a:srgbClr val="000000"/>
              </a:solidFill>
              <a:latin typeface="ＭＳ Ｐゴシック"/>
              <a:ea typeface="ＭＳ Ｐゴシック"/>
            </a:rPr>
            <a:t>2</a:t>
          </a:r>
          <a:r>
            <a:rPr lang="ja-JP" altLang="en-US" sz="900" b="0" i="0" u="none" strike="noStrike" baseline="0">
              <a:solidFill>
                <a:srgbClr val="000000"/>
              </a:solidFill>
              <a:latin typeface="ＭＳ Ｐゴシック"/>
              <a:ea typeface="ＭＳ Ｐゴシック"/>
            </a:rPr>
            <a:t>の算定条件等については、「LCCO</a:t>
          </a:r>
          <a:r>
            <a:rPr lang="ja-JP" altLang="en-US" sz="600" b="0" i="0" u="none" strike="noStrike" baseline="0">
              <a:solidFill>
                <a:srgbClr val="000000"/>
              </a:solidFill>
              <a:latin typeface="ＭＳ Ｐゴシック"/>
              <a:ea typeface="ＭＳ Ｐゴシック"/>
            </a:rPr>
            <a:t>2</a:t>
          </a:r>
          <a:r>
            <a:rPr lang="ja-JP" altLang="en-US" sz="900" b="0" i="0" u="none" strike="noStrike" baseline="0">
              <a:solidFill>
                <a:srgbClr val="000000"/>
              </a:solidFill>
              <a:latin typeface="ＭＳ Ｐゴシック"/>
              <a:ea typeface="ＭＳ Ｐゴシック"/>
            </a:rPr>
            <a:t>算定条件シート」を参照されたい</a:t>
          </a:r>
        </a:p>
      </xdr:txBody>
    </xdr:sp>
    <xdr:clientData/>
  </xdr:twoCellAnchor>
  <xdr:twoCellAnchor editAs="oneCell">
    <xdr:from>
      <xdr:col>1</xdr:col>
      <xdr:colOff>85725</xdr:colOff>
      <xdr:row>1</xdr:row>
      <xdr:rowOff>76200</xdr:rowOff>
    </xdr:from>
    <xdr:to>
      <xdr:col>11</xdr:col>
      <xdr:colOff>178057</xdr:colOff>
      <xdr:row>4</xdr:row>
      <xdr:rowOff>47625</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42875" y="152400"/>
          <a:ext cx="6750307" cy="685800"/>
        </a:xfrm>
        <a:prstGeom prst="rect">
          <a:avLst/>
        </a:prstGeom>
      </xdr:spPr>
    </xdr:pic>
    <xdr:clientData/>
  </xdr:twoCellAnchor>
</xdr:wsDr>
</file>

<file path=xl/drawings/drawing11.xml><?xml version="1.0" encoding="utf-8"?>
<c:userShapes xmlns:c="http://schemas.openxmlformats.org/drawingml/2006/chart">
  <cdr:relSizeAnchor xmlns:cdr="http://schemas.openxmlformats.org/drawingml/2006/chartDrawing">
    <cdr:from>
      <cdr:x>0.01701</cdr:x>
      <cdr:y>0.03378</cdr:y>
    </cdr:from>
    <cdr:to>
      <cdr:x>0.12592</cdr:x>
      <cdr:y>0.97967</cdr:y>
    </cdr:to>
    <cdr:sp macro="" textlink="">
      <cdr:nvSpPr>
        <cdr:cNvPr id="13313" name="Text Box 1"/>
        <cdr:cNvSpPr txBox="1">
          <a:spLocks xmlns:a="http://schemas.openxmlformats.org/drawingml/2006/main" noChangeArrowheads="1"/>
        </cdr:cNvSpPr>
      </cdr:nvSpPr>
      <cdr:spPr bwMode="auto">
        <a:xfrm xmlns:a="http://schemas.openxmlformats.org/drawingml/2006/main">
          <a:off x="50800" y="85221"/>
          <a:ext cx="305000" cy="2297454"/>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vert="vert270" wrap="square" lIns="36576" tIns="18288" rIns="36576" bIns="18288" anchor="ctr" upright="1"/>
        <a:lstStyle xmlns:a="http://schemas.openxmlformats.org/drawingml/2006/main"/>
        <a:p xmlns:a="http://schemas.openxmlformats.org/drawingml/2006/main">
          <a:pPr algn="ctr" rtl="0">
            <a:defRPr sz="1000"/>
          </a:pPr>
          <a:r>
            <a:rPr lang="ja-JP" altLang="en-US" sz="1100" b="1" i="0" strike="noStrike">
              <a:solidFill>
                <a:srgbClr val="000000"/>
              </a:solidFill>
              <a:latin typeface="ＭＳ Ｐゴシック"/>
              <a:ea typeface="ＭＳ Ｐゴシック"/>
            </a:rPr>
            <a:t>環境品質　Ｑ</a:t>
          </a:r>
        </a:p>
      </cdr:txBody>
    </cdr:sp>
  </cdr:relSizeAnchor>
  <cdr:relSizeAnchor xmlns:cdr="http://schemas.openxmlformats.org/drawingml/2006/chartDrawing">
    <cdr:from>
      <cdr:x>0.21528</cdr:x>
      <cdr:y>0.88263</cdr:y>
    </cdr:from>
    <cdr:to>
      <cdr:x>0.86707</cdr:x>
      <cdr:y>0.98039</cdr:y>
    </cdr:to>
    <cdr:sp macro="" textlink="">
      <cdr:nvSpPr>
        <cdr:cNvPr id="13314" name="Text Box 2"/>
        <cdr:cNvSpPr txBox="1">
          <a:spLocks xmlns:a="http://schemas.openxmlformats.org/drawingml/2006/main" noChangeArrowheads="1"/>
        </cdr:cNvSpPr>
      </cdr:nvSpPr>
      <cdr:spPr bwMode="auto">
        <a:xfrm xmlns:a="http://schemas.openxmlformats.org/drawingml/2006/main">
          <a:off x="606022" y="2146979"/>
          <a:ext cx="1825266" cy="237446"/>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36576" tIns="18288" rIns="36576" bIns="18288" anchor="ctr" upright="1"/>
        <a:lstStyle xmlns:a="http://schemas.openxmlformats.org/drawingml/2006/main"/>
        <a:p xmlns:a="http://schemas.openxmlformats.org/drawingml/2006/main">
          <a:pPr algn="ctr" rtl="0">
            <a:defRPr sz="1000"/>
          </a:pPr>
          <a:r>
            <a:rPr lang="ja-JP" altLang="en-US" sz="1100" b="1" i="0" strike="noStrike">
              <a:solidFill>
                <a:srgbClr val="000000"/>
              </a:solidFill>
              <a:latin typeface="ＭＳ Ｐゴシック"/>
              <a:ea typeface="ＭＳ Ｐゴシック"/>
            </a:rPr>
            <a:t>環境負荷 </a:t>
          </a:r>
          <a:r>
            <a:rPr lang="en-US" altLang="ja-JP" sz="1100" b="1" i="0" strike="noStrike">
              <a:solidFill>
                <a:srgbClr val="000000"/>
              </a:solidFill>
              <a:latin typeface="ＭＳ Ｐゴシック"/>
              <a:ea typeface="ＭＳ Ｐゴシック"/>
            </a:rPr>
            <a:t>L</a:t>
          </a:r>
        </a:p>
      </cdr:txBody>
    </cdr:sp>
  </cdr:relSizeAnchor>
  <cdr:relSizeAnchor xmlns:cdr="http://schemas.openxmlformats.org/drawingml/2006/chartDrawing">
    <cdr:from>
      <cdr:x>0.20127</cdr:x>
      <cdr:y>0.11136</cdr:y>
    </cdr:from>
    <cdr:to>
      <cdr:x>0.38843</cdr:x>
      <cdr:y>0.22498</cdr:y>
    </cdr:to>
    <cdr:sp macro="" textlink="">
      <cdr:nvSpPr>
        <cdr:cNvPr id="13315" name="Text Box 3"/>
        <cdr:cNvSpPr txBox="1">
          <a:spLocks xmlns:a="http://schemas.openxmlformats.org/drawingml/2006/main" noChangeArrowheads="1"/>
        </cdr:cNvSpPr>
      </cdr:nvSpPr>
      <cdr:spPr bwMode="auto">
        <a:xfrm xmlns:a="http://schemas.openxmlformats.org/drawingml/2006/main">
          <a:off x="566798" y="273661"/>
          <a:ext cx="524113" cy="275951"/>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27432" tIns="27432" rIns="27432" bIns="27432" anchor="ctr" upright="1"/>
        <a:lstStyle xmlns:a="http://schemas.openxmlformats.org/drawingml/2006/main"/>
        <a:p xmlns:a="http://schemas.openxmlformats.org/drawingml/2006/main">
          <a:pPr algn="ctr" rtl="0">
            <a:defRPr sz="1000"/>
          </a:pPr>
          <a:r>
            <a:rPr lang="en-US" altLang="ja-JP" sz="1150" b="1" i="0" strike="noStrike">
              <a:solidFill>
                <a:srgbClr val="000000"/>
              </a:solidFill>
              <a:latin typeface="Arial"/>
              <a:cs typeface="Arial"/>
            </a:rPr>
            <a:t>S</a:t>
          </a:r>
        </a:p>
      </cdr:txBody>
    </cdr:sp>
  </cdr:relSizeAnchor>
  <cdr:relSizeAnchor xmlns:cdr="http://schemas.openxmlformats.org/drawingml/2006/chartDrawing">
    <cdr:from>
      <cdr:x>0.45363</cdr:x>
      <cdr:y>0.10224</cdr:y>
    </cdr:from>
    <cdr:to>
      <cdr:x>0.59998</cdr:x>
      <cdr:y>0.22762</cdr:y>
    </cdr:to>
    <cdr:sp macro="" textlink="">
      <cdr:nvSpPr>
        <cdr:cNvPr id="13316" name="Text Box 4"/>
        <cdr:cNvSpPr txBox="1">
          <a:spLocks xmlns:a="http://schemas.openxmlformats.org/drawingml/2006/main" noChangeArrowheads="1"/>
        </cdr:cNvSpPr>
      </cdr:nvSpPr>
      <cdr:spPr bwMode="auto">
        <a:xfrm xmlns:a="http://schemas.openxmlformats.org/drawingml/2006/main">
          <a:off x="1273505" y="251492"/>
          <a:ext cx="409823" cy="304538"/>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27432" tIns="27432" rIns="27432" bIns="27432" anchor="ctr" upright="1"/>
        <a:lstStyle xmlns:a="http://schemas.openxmlformats.org/drawingml/2006/main"/>
        <a:p xmlns:a="http://schemas.openxmlformats.org/drawingml/2006/main">
          <a:pPr algn="ctr" rtl="0">
            <a:defRPr sz="1000"/>
          </a:pPr>
          <a:r>
            <a:rPr lang="en-US" altLang="ja-JP" sz="1150" b="1" i="0" strike="noStrike">
              <a:solidFill>
                <a:srgbClr val="000000"/>
              </a:solidFill>
              <a:latin typeface="Arial"/>
              <a:cs typeface="Arial"/>
            </a:rPr>
            <a:t>A</a:t>
          </a:r>
        </a:p>
      </cdr:txBody>
    </cdr:sp>
  </cdr:relSizeAnchor>
  <cdr:relSizeAnchor xmlns:cdr="http://schemas.openxmlformats.org/drawingml/2006/chartDrawing">
    <cdr:from>
      <cdr:x>0.64128</cdr:x>
      <cdr:y>0.10224</cdr:y>
    </cdr:from>
    <cdr:to>
      <cdr:x>0.79438</cdr:x>
      <cdr:y>0.21585</cdr:y>
    </cdr:to>
    <cdr:sp macro="" textlink="">
      <cdr:nvSpPr>
        <cdr:cNvPr id="13317" name="Text Box 5"/>
        <cdr:cNvSpPr txBox="1">
          <a:spLocks xmlns:a="http://schemas.openxmlformats.org/drawingml/2006/main" noChangeArrowheads="1"/>
        </cdr:cNvSpPr>
      </cdr:nvSpPr>
      <cdr:spPr bwMode="auto">
        <a:xfrm xmlns:a="http://schemas.openxmlformats.org/drawingml/2006/main">
          <a:off x="1798971" y="251492"/>
          <a:ext cx="428758" cy="275951"/>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27432" tIns="27432" rIns="27432" bIns="27432" anchor="ctr" upright="1"/>
        <a:lstStyle xmlns:a="http://schemas.openxmlformats.org/drawingml/2006/main"/>
        <a:p xmlns:a="http://schemas.openxmlformats.org/drawingml/2006/main">
          <a:pPr algn="ctr" rtl="0">
            <a:defRPr sz="1000"/>
          </a:pPr>
          <a:r>
            <a:rPr lang="en-US" altLang="ja-JP" sz="1150" b="1" i="0" strike="noStrike">
              <a:solidFill>
                <a:srgbClr val="000000"/>
              </a:solidFill>
              <a:latin typeface="Arial"/>
              <a:cs typeface="Arial"/>
            </a:rPr>
            <a:t>B</a:t>
          </a:r>
          <a:r>
            <a:rPr lang="en-US" altLang="ja-JP" sz="1150" b="1" i="0" strike="noStrike" baseline="30000">
              <a:solidFill>
                <a:srgbClr val="000000"/>
              </a:solidFill>
              <a:latin typeface="Arial"/>
              <a:cs typeface="Arial"/>
            </a:rPr>
            <a:t>+</a:t>
          </a:r>
        </a:p>
      </cdr:txBody>
    </cdr:sp>
  </cdr:relSizeAnchor>
  <cdr:relSizeAnchor xmlns:cdr="http://schemas.openxmlformats.org/drawingml/2006/chartDrawing">
    <cdr:from>
      <cdr:x>0.7654</cdr:x>
      <cdr:y>0.30064</cdr:y>
    </cdr:from>
    <cdr:to>
      <cdr:x>0.90379</cdr:x>
      <cdr:y>0.41425</cdr:y>
    </cdr:to>
    <cdr:sp macro="" textlink="">
      <cdr:nvSpPr>
        <cdr:cNvPr id="13318" name="Text Box 6"/>
        <cdr:cNvSpPr txBox="1">
          <a:spLocks xmlns:a="http://schemas.openxmlformats.org/drawingml/2006/main" noChangeArrowheads="1"/>
        </cdr:cNvSpPr>
      </cdr:nvSpPr>
      <cdr:spPr bwMode="auto">
        <a:xfrm xmlns:a="http://schemas.openxmlformats.org/drawingml/2006/main">
          <a:off x="2146576" y="733385"/>
          <a:ext cx="390211" cy="275951"/>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27432" tIns="27432" rIns="27432" bIns="27432" anchor="ctr" upright="1"/>
        <a:lstStyle xmlns:a="http://schemas.openxmlformats.org/drawingml/2006/main"/>
        <a:p xmlns:a="http://schemas.openxmlformats.org/drawingml/2006/main">
          <a:pPr algn="ctr" rtl="0">
            <a:defRPr sz="1000"/>
          </a:pPr>
          <a:r>
            <a:rPr lang="en-US" altLang="ja-JP" sz="1150" b="1" i="0" strike="noStrike">
              <a:solidFill>
                <a:srgbClr val="000000"/>
              </a:solidFill>
              <a:latin typeface="Arial"/>
              <a:cs typeface="Arial"/>
            </a:rPr>
            <a:t>B</a:t>
          </a:r>
          <a:r>
            <a:rPr lang="en-US" altLang="ja-JP" sz="1150" b="1" i="0" strike="noStrike" baseline="30000">
              <a:solidFill>
                <a:srgbClr val="000000"/>
              </a:solidFill>
              <a:latin typeface="Arial"/>
              <a:cs typeface="Arial"/>
            </a:rPr>
            <a:t>-</a:t>
          </a:r>
        </a:p>
      </cdr:txBody>
    </cdr:sp>
  </cdr:relSizeAnchor>
  <cdr:relSizeAnchor xmlns:cdr="http://schemas.openxmlformats.org/drawingml/2006/chartDrawing">
    <cdr:from>
      <cdr:x>0.76613</cdr:x>
      <cdr:y>0.65228</cdr:y>
    </cdr:from>
    <cdr:to>
      <cdr:x>0.86152</cdr:x>
      <cdr:y>0.79208</cdr:y>
    </cdr:to>
    <cdr:sp macro="" textlink="">
      <cdr:nvSpPr>
        <cdr:cNvPr id="11271" name="Text Box 7"/>
        <cdr:cNvSpPr txBox="1">
          <a:spLocks xmlns:a="http://schemas.openxmlformats.org/drawingml/2006/main" noChangeArrowheads="1"/>
        </cdr:cNvSpPr>
      </cdr:nvSpPr>
      <cdr:spPr bwMode="auto">
        <a:xfrm xmlns:a="http://schemas.openxmlformats.org/drawingml/2006/main">
          <a:off x="2148605" y="1587492"/>
          <a:ext cx="267129" cy="339543"/>
        </a:xfrm>
        <a:prstGeom xmlns:a="http://schemas.openxmlformats.org/drawingml/2006/main" prst="rect">
          <a:avLst/>
        </a:prstGeom>
        <a:noFill xmlns:a="http://schemas.openxmlformats.org/drawingml/2006/main"/>
        <a:ln xmlns:a="http://schemas.openxmlformats.org/drawingml/2006/main" w="0">
          <a:noFill/>
          <a:miter lim="800000"/>
          <a:headEnd/>
          <a:tailEnd/>
        </a:ln>
      </cdr:spPr>
      <cdr:txBody>
        <a:bodyPr xmlns:a="http://schemas.openxmlformats.org/drawingml/2006/main" vertOverflow="clip" wrap="square" lIns="27432" tIns="27432" rIns="27432" bIns="27432" anchor="ctr" upright="1"/>
        <a:lstStyle xmlns:a="http://schemas.openxmlformats.org/drawingml/2006/main"/>
        <a:p xmlns:a="http://schemas.openxmlformats.org/drawingml/2006/main">
          <a:pPr algn="ctr" rtl="1">
            <a:defRPr sz="1000"/>
          </a:pPr>
          <a:r>
            <a:rPr lang="en-US" altLang="ja-JP" sz="1150" b="1" i="0" strike="noStrike">
              <a:solidFill>
                <a:srgbClr val="000000"/>
              </a:solidFill>
              <a:latin typeface="Arial"/>
              <a:cs typeface="Arial"/>
            </a:rPr>
            <a:t>C</a:t>
          </a:r>
        </a:p>
      </cdr:txBody>
    </cdr:sp>
  </cdr:relSizeAnchor>
  <cdr:relSizeAnchor xmlns:cdr="http://schemas.openxmlformats.org/drawingml/2006/chartDrawing">
    <cdr:from>
      <cdr:x>0.38304</cdr:x>
      <cdr:y>0.01719</cdr:y>
    </cdr:from>
    <cdr:to>
      <cdr:x>0.45709</cdr:x>
      <cdr:y>0.10826</cdr:y>
    </cdr:to>
    <cdr:sp macro="" textlink="">
      <cdr:nvSpPr>
        <cdr:cNvPr id="13321" name="Text Box 9"/>
        <cdr:cNvSpPr txBox="1">
          <a:spLocks xmlns:a="http://schemas.openxmlformats.org/drawingml/2006/main" noChangeArrowheads="1"/>
        </cdr:cNvSpPr>
      </cdr:nvSpPr>
      <cdr:spPr bwMode="auto">
        <a:xfrm xmlns:a="http://schemas.openxmlformats.org/drawingml/2006/main">
          <a:off x="1068998" y="41595"/>
          <a:ext cx="206660" cy="22031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18288" tIns="18288" rIns="18288" bIns="18288" anchor="ctr" upright="1">
          <a:spAutoFit/>
        </a:bodyPr>
        <a:lstStyle xmlns:a="http://schemas.openxmlformats.org/drawingml/2006/main"/>
        <a:p xmlns:a="http://schemas.openxmlformats.org/drawingml/2006/main">
          <a:pPr algn="ctr" rtl="0">
            <a:defRPr sz="1000"/>
          </a:pPr>
          <a:r>
            <a:rPr lang="en-US" altLang="ja-JP" sz="1100" b="0" i="0" strike="noStrike">
              <a:solidFill>
                <a:srgbClr val="000000"/>
              </a:solidFill>
              <a:latin typeface="ＭＳ Ｐゴシック"/>
              <a:ea typeface="ＭＳ Ｐゴシック"/>
            </a:rPr>
            <a:t>3.0</a:t>
          </a:r>
        </a:p>
      </cdr:txBody>
    </cdr:sp>
  </cdr:relSizeAnchor>
  <cdr:relSizeAnchor xmlns:cdr="http://schemas.openxmlformats.org/drawingml/2006/chartDrawing">
    <cdr:from>
      <cdr:x>0.88809</cdr:x>
      <cdr:y>0.43539</cdr:y>
    </cdr:from>
    <cdr:to>
      <cdr:x>0.98323</cdr:x>
      <cdr:y>0.52162</cdr:y>
    </cdr:to>
    <cdr:sp macro="" textlink="">
      <cdr:nvSpPr>
        <cdr:cNvPr id="11273" name="Text Box 12"/>
        <cdr:cNvSpPr txBox="1">
          <a:spLocks xmlns:a="http://schemas.openxmlformats.org/drawingml/2006/main" noChangeArrowheads="1"/>
        </cdr:cNvSpPr>
      </cdr:nvSpPr>
      <cdr:spPr bwMode="auto">
        <a:xfrm xmlns:a="http://schemas.openxmlformats.org/drawingml/2006/main">
          <a:off x="2490124" y="1060676"/>
          <a:ext cx="266452" cy="209443"/>
        </a:xfrm>
        <a:prstGeom xmlns:a="http://schemas.openxmlformats.org/drawingml/2006/main" prst="rect">
          <a:avLst/>
        </a:prstGeom>
        <a:noFill xmlns:a="http://schemas.openxmlformats.org/drawingml/2006/main"/>
        <a:ln xmlns:a="http://schemas.openxmlformats.org/drawingml/2006/main" w="1">
          <a:noFill/>
          <a:miter lim="800000"/>
          <a:headEnd/>
          <a:tailEnd/>
        </a:ln>
      </cdr:spPr>
      <cdr:txBody>
        <a:bodyPr xmlns:a="http://schemas.openxmlformats.org/drawingml/2006/main" vertOverflow="clip" wrap="square" lIns="18288" tIns="18288" rIns="18288" bIns="18288" anchor="ctr" upright="1"/>
        <a:lstStyle xmlns:a="http://schemas.openxmlformats.org/drawingml/2006/main"/>
        <a:p xmlns:a="http://schemas.openxmlformats.org/drawingml/2006/main">
          <a:pPr algn="ctr" rtl="1">
            <a:defRPr sz="1000"/>
          </a:pPr>
          <a:r>
            <a:rPr lang="en-US" altLang="ja-JP" sz="1100" b="0" i="0" strike="noStrike">
              <a:solidFill>
                <a:srgbClr val="000000"/>
              </a:solidFill>
              <a:latin typeface="ＭＳ Ｐゴシック"/>
              <a:ea typeface="ＭＳ Ｐゴシック"/>
            </a:rPr>
            <a:t>0.5</a:t>
          </a:r>
        </a:p>
      </cdr:txBody>
    </cdr:sp>
  </cdr:relSizeAnchor>
  <cdr:relSizeAnchor xmlns:cdr="http://schemas.openxmlformats.org/drawingml/2006/chartDrawing">
    <cdr:from>
      <cdr:x>0.61802</cdr:x>
      <cdr:y>0.01719</cdr:y>
    </cdr:from>
    <cdr:to>
      <cdr:x>0.69207</cdr:x>
      <cdr:y>0.10826</cdr:y>
    </cdr:to>
    <cdr:sp macro="" textlink="">
      <cdr:nvSpPr>
        <cdr:cNvPr id="13325" name="Text Box 13"/>
        <cdr:cNvSpPr txBox="1">
          <a:spLocks xmlns:a="http://schemas.openxmlformats.org/drawingml/2006/main" noChangeArrowheads="1"/>
        </cdr:cNvSpPr>
      </cdr:nvSpPr>
      <cdr:spPr bwMode="auto">
        <a:xfrm xmlns:a="http://schemas.openxmlformats.org/drawingml/2006/main">
          <a:off x="1724786" y="41595"/>
          <a:ext cx="206660" cy="22031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18288" tIns="18288" rIns="18288" bIns="18288" anchor="ctr" upright="1">
          <a:spAutoFit/>
        </a:bodyPr>
        <a:lstStyle xmlns:a="http://schemas.openxmlformats.org/drawingml/2006/main"/>
        <a:p xmlns:a="http://schemas.openxmlformats.org/drawingml/2006/main">
          <a:pPr algn="ctr" rtl="0">
            <a:defRPr sz="1000"/>
          </a:pPr>
          <a:r>
            <a:rPr lang="en-US" altLang="ja-JP" sz="1100" b="0" i="0" strike="noStrike">
              <a:solidFill>
                <a:srgbClr val="000000"/>
              </a:solidFill>
              <a:latin typeface="ＭＳ Ｐゴシック"/>
              <a:ea typeface="ＭＳ Ｐゴシック"/>
            </a:rPr>
            <a:t>1.5</a:t>
          </a:r>
        </a:p>
      </cdr:txBody>
    </cdr:sp>
  </cdr:relSizeAnchor>
  <cdr:relSizeAnchor xmlns:cdr="http://schemas.openxmlformats.org/drawingml/2006/chartDrawing">
    <cdr:from>
      <cdr:x>0.77402</cdr:x>
      <cdr:y>0.01719</cdr:y>
    </cdr:from>
    <cdr:to>
      <cdr:x>0.96279</cdr:x>
      <cdr:y>0.10826</cdr:y>
    </cdr:to>
    <cdr:sp macro="" textlink="">
      <cdr:nvSpPr>
        <cdr:cNvPr id="13326" name="Text Box 14"/>
        <cdr:cNvSpPr txBox="1">
          <a:spLocks xmlns:a="http://schemas.openxmlformats.org/drawingml/2006/main" noChangeArrowheads="1"/>
        </cdr:cNvSpPr>
      </cdr:nvSpPr>
      <cdr:spPr bwMode="auto">
        <a:xfrm xmlns:a="http://schemas.openxmlformats.org/drawingml/2006/main">
          <a:off x="2160161" y="41595"/>
          <a:ext cx="526811" cy="22031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18288" tIns="18288" rIns="18288" bIns="18288" anchor="ctr" upright="1">
          <a:spAutoFit/>
        </a:bodyPr>
        <a:lstStyle xmlns:a="http://schemas.openxmlformats.org/drawingml/2006/main"/>
        <a:p xmlns:a="http://schemas.openxmlformats.org/drawingml/2006/main">
          <a:pPr algn="ctr" rtl="0">
            <a:defRPr sz="1000"/>
          </a:pPr>
          <a:r>
            <a:rPr lang="en-US" altLang="ja-JP" sz="1100" b="0" i="0" strike="noStrike">
              <a:solidFill>
                <a:srgbClr val="000000"/>
              </a:solidFill>
              <a:latin typeface="ＭＳ Ｐゴシック"/>
              <a:ea typeface="ＭＳ Ｐゴシック"/>
            </a:rPr>
            <a:t>BEE=1.0</a:t>
          </a:r>
        </a:p>
      </cdr:txBody>
    </cdr:sp>
  </cdr:relSizeAnchor>
</c:userShapes>
</file>

<file path=xl/drawings/drawing12.xml><?xml version="1.0" encoding="utf-8"?>
<c:userShapes xmlns:c="http://schemas.openxmlformats.org/drawingml/2006/chart">
  <cdr:relSizeAnchor xmlns:cdr="http://schemas.openxmlformats.org/drawingml/2006/chartDrawing">
    <cdr:from>
      <cdr:x>0.74621</cdr:x>
      <cdr:y>0.15</cdr:y>
    </cdr:from>
    <cdr:to>
      <cdr:x>1</cdr:x>
      <cdr:y>0.26667</cdr:y>
    </cdr:to>
    <cdr:sp macro="" textlink="結果!$X$40">
      <cdr:nvSpPr>
        <cdr:cNvPr id="2" name="テキスト ボックス 1"/>
        <cdr:cNvSpPr txBox="1"/>
      </cdr:nvSpPr>
      <cdr:spPr>
        <a:xfrm xmlns:a="http://schemas.openxmlformats.org/drawingml/2006/main">
          <a:off x="1876425" y="257175"/>
          <a:ext cx="638175" cy="200025"/>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r"/>
          <a:fld id="{E539BAAA-653E-43D9-ABB5-11F99254EE13}" type="TxLink">
            <a:rPr lang="en-US" altLang="en-US" sz="800" b="1" i="0" u="none" strike="noStrike">
              <a:solidFill>
                <a:sysClr val="windowText" lastClr="000000"/>
              </a:solidFill>
              <a:latin typeface="Arial"/>
              <a:cs typeface="Arial"/>
            </a:rPr>
            <a:pPr algn="r"/>
            <a:t>100%</a:t>
          </a:fld>
          <a:endParaRPr lang="ja-JP" altLang="en-US" sz="800" b="1">
            <a:solidFill>
              <a:sysClr val="windowText" lastClr="000000"/>
            </a:solidFill>
          </a:endParaRPr>
        </a:p>
      </cdr:txBody>
    </cdr:sp>
  </cdr:relSizeAnchor>
  <cdr:relSizeAnchor xmlns:cdr="http://schemas.openxmlformats.org/drawingml/2006/chartDrawing">
    <cdr:from>
      <cdr:x>0.74621</cdr:x>
      <cdr:y>0.32963</cdr:y>
    </cdr:from>
    <cdr:to>
      <cdr:x>1</cdr:x>
      <cdr:y>0.4463</cdr:y>
    </cdr:to>
    <cdr:sp macro="" textlink="結果!$X$41">
      <cdr:nvSpPr>
        <cdr:cNvPr id="10" name="テキスト ボックス 1"/>
        <cdr:cNvSpPr txBox="1"/>
      </cdr:nvSpPr>
      <cdr:spPr>
        <a:xfrm xmlns:a="http://schemas.openxmlformats.org/drawingml/2006/main">
          <a:off x="1876425" y="565150"/>
          <a:ext cx="638175" cy="2000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fld id="{94370C62-F482-46FC-B9E7-1AB46E82FC1C}" type="TxLink">
            <a:rPr lang="en-US" altLang="en-US" sz="800" b="1" i="0" u="none" strike="noStrike">
              <a:solidFill>
                <a:sysClr val="windowText" lastClr="000000"/>
              </a:solidFill>
              <a:latin typeface="Arial"/>
              <a:cs typeface="Arial"/>
            </a:rPr>
            <a:pPr algn="r"/>
            <a:t>#VALUE!</a:t>
          </a:fld>
          <a:endParaRPr lang="ja-JP" altLang="en-US" sz="800" b="1">
            <a:solidFill>
              <a:sysClr val="windowText" lastClr="000000"/>
            </a:solidFill>
          </a:endParaRPr>
        </a:p>
      </cdr:txBody>
    </cdr:sp>
  </cdr:relSizeAnchor>
  <cdr:relSizeAnchor xmlns:cdr="http://schemas.openxmlformats.org/drawingml/2006/chartDrawing">
    <cdr:from>
      <cdr:x>0.74621</cdr:x>
      <cdr:y>0.48519</cdr:y>
    </cdr:from>
    <cdr:to>
      <cdr:x>1</cdr:x>
      <cdr:y>0.60185</cdr:y>
    </cdr:to>
    <cdr:sp macro="" textlink="結果!$X$42">
      <cdr:nvSpPr>
        <cdr:cNvPr id="11" name="テキスト ボックス 1"/>
        <cdr:cNvSpPr txBox="1"/>
      </cdr:nvSpPr>
      <cdr:spPr>
        <a:xfrm xmlns:a="http://schemas.openxmlformats.org/drawingml/2006/main">
          <a:off x="1876425" y="831850"/>
          <a:ext cx="638175" cy="2000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fld id="{70EE8BF1-4C35-4F7A-A7B9-A0C10E00FE59}" type="TxLink">
            <a:rPr lang="en-US" altLang="en-US" sz="800" b="1" i="0" u="none" strike="noStrike">
              <a:solidFill>
                <a:sysClr val="windowText" lastClr="000000"/>
              </a:solidFill>
              <a:latin typeface="Arial"/>
              <a:cs typeface="Arial"/>
            </a:rPr>
            <a:pPr algn="r"/>
            <a:t>#VALUE!</a:t>
          </a:fld>
          <a:endParaRPr lang="ja-JP" altLang="en-US" sz="800" b="1">
            <a:solidFill>
              <a:sysClr val="windowText" lastClr="000000"/>
            </a:solidFill>
          </a:endParaRPr>
        </a:p>
      </cdr:txBody>
    </cdr:sp>
  </cdr:relSizeAnchor>
  <cdr:relSizeAnchor xmlns:cdr="http://schemas.openxmlformats.org/drawingml/2006/chartDrawing">
    <cdr:from>
      <cdr:x>0.74621</cdr:x>
      <cdr:y>0.66852</cdr:y>
    </cdr:from>
    <cdr:to>
      <cdr:x>1</cdr:x>
      <cdr:y>0.78519</cdr:y>
    </cdr:to>
    <cdr:sp macro="" textlink="結果!$X$43">
      <cdr:nvSpPr>
        <cdr:cNvPr id="12" name="テキスト ボックス 1"/>
        <cdr:cNvSpPr txBox="1"/>
      </cdr:nvSpPr>
      <cdr:spPr>
        <a:xfrm xmlns:a="http://schemas.openxmlformats.org/drawingml/2006/main">
          <a:off x="1876425" y="1146175"/>
          <a:ext cx="638175" cy="2000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fld id="{EFFA19F3-B293-4387-96F6-D455447B89F3}" type="TxLink">
            <a:rPr lang="en-US" altLang="en-US" sz="800" b="1" i="0" u="none" strike="noStrike">
              <a:solidFill>
                <a:sysClr val="windowText" lastClr="000000"/>
              </a:solidFill>
              <a:latin typeface="Arial"/>
              <a:cs typeface="Arial"/>
            </a:rPr>
            <a:pPr algn="r"/>
            <a:t>#VALUE!</a:t>
          </a:fld>
          <a:endParaRPr lang="ja-JP" altLang="en-US" sz="800" b="1">
            <a:solidFill>
              <a:sysClr val="windowText" lastClr="000000"/>
            </a:solidFill>
          </a:endParaRPr>
        </a:p>
      </cdr:txBody>
    </cdr:sp>
  </cdr:relSizeAnchor>
</c:userShapes>
</file>

<file path=xl/drawings/drawing13.xml><?xml version="1.0" encoding="utf-8"?>
<c:userShapes xmlns:c="http://schemas.openxmlformats.org/drawingml/2006/chart">
  <cdr:relSizeAnchor xmlns:cdr="http://schemas.openxmlformats.org/drawingml/2006/chartDrawing">
    <cdr:from>
      <cdr:x>0.07948</cdr:x>
      <cdr:y>0.44568</cdr:y>
    </cdr:from>
    <cdr:to>
      <cdr:x>0.98098</cdr:x>
      <cdr:y>0.44568</cdr:y>
    </cdr:to>
    <cdr:sp macro="" textlink="">
      <cdr:nvSpPr>
        <cdr:cNvPr id="7173" name="Line 5"/>
        <cdr:cNvSpPr>
          <a:spLocks xmlns:a="http://schemas.openxmlformats.org/drawingml/2006/main" noChangeShapeType="1"/>
        </cdr:cNvSpPr>
      </cdr:nvSpPr>
      <cdr:spPr bwMode="auto">
        <a:xfrm xmlns:a="http://schemas.openxmlformats.org/drawingml/2006/main">
          <a:off x="265865" y="703179"/>
          <a:ext cx="2979613"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0.56647</cdr:x>
      <cdr:y>0.65663</cdr:y>
    </cdr:from>
    <cdr:to>
      <cdr:x>0.72832</cdr:x>
      <cdr:y>0.80723</cdr:y>
    </cdr:to>
    <cdr:sp macro="" textlink="結果!$T$51">
      <cdr:nvSpPr>
        <cdr:cNvPr id="2" name="テキスト ボックス 1"/>
        <cdr:cNvSpPr txBox="1"/>
      </cdr:nvSpPr>
      <cdr:spPr>
        <a:xfrm xmlns:a="http://schemas.openxmlformats.org/drawingml/2006/main">
          <a:off x="1866900" y="1038225"/>
          <a:ext cx="533400" cy="238125"/>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5CEA0FE4-9E4C-47CC-A16B-F8D9F9B432C6}" type="TxLink">
            <a:rPr lang="en-US" altLang="en-US" sz="1000" b="0" i="0" u="none" strike="noStrike">
              <a:solidFill>
                <a:srgbClr val="000000"/>
              </a:solidFill>
              <a:latin typeface="Arial"/>
              <a:cs typeface="Arial"/>
            </a:rPr>
            <a:pPr algn="ctr"/>
            <a:t> </a:t>
          </a:fld>
          <a:endParaRPr lang="ja-JP" altLang="en-US" sz="1000"/>
        </a:p>
      </cdr:txBody>
    </cdr:sp>
  </cdr:relSizeAnchor>
  <cdr:relSizeAnchor xmlns:cdr="http://schemas.openxmlformats.org/drawingml/2006/chartDrawing">
    <cdr:from>
      <cdr:x>0.11657</cdr:x>
      <cdr:y>0.65863</cdr:y>
    </cdr:from>
    <cdr:to>
      <cdr:x>0.27842</cdr:x>
      <cdr:y>0.80924</cdr:y>
    </cdr:to>
    <cdr:sp macro="" textlink="結果!$T$49">
      <cdr:nvSpPr>
        <cdr:cNvPr id="4" name="テキスト ボックス 1"/>
        <cdr:cNvSpPr txBox="1"/>
      </cdr:nvSpPr>
      <cdr:spPr>
        <a:xfrm xmlns:a="http://schemas.openxmlformats.org/drawingml/2006/main">
          <a:off x="384175" y="1041400"/>
          <a:ext cx="533400" cy="2381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94C4E285-A8E4-48AA-B8C1-1F5506CF5C1E}" type="TxLink">
            <a:rPr lang="en-US" altLang="en-US" sz="1000" b="0" i="0" u="none" strike="noStrike">
              <a:solidFill>
                <a:srgbClr val="000000"/>
              </a:solidFill>
              <a:latin typeface="Arial"/>
              <a:cs typeface="Arial"/>
            </a:rPr>
            <a:pPr algn="ctr"/>
            <a:t> </a:t>
          </a:fld>
          <a:endParaRPr lang="ja-JP" altLang="en-US" sz="1000"/>
        </a:p>
      </cdr:txBody>
    </cdr:sp>
  </cdr:relSizeAnchor>
  <cdr:relSizeAnchor xmlns:cdr="http://schemas.openxmlformats.org/drawingml/2006/chartDrawing">
    <cdr:from>
      <cdr:x>0.342</cdr:x>
      <cdr:y>0.65261</cdr:y>
    </cdr:from>
    <cdr:to>
      <cdr:x>0.50385</cdr:x>
      <cdr:y>0.80321</cdr:y>
    </cdr:to>
    <cdr:sp macro="" textlink="結果!$T$50">
      <cdr:nvSpPr>
        <cdr:cNvPr id="5" name="テキスト ボックス 1"/>
        <cdr:cNvSpPr txBox="1"/>
      </cdr:nvSpPr>
      <cdr:spPr>
        <a:xfrm xmlns:a="http://schemas.openxmlformats.org/drawingml/2006/main">
          <a:off x="1127125" y="1031875"/>
          <a:ext cx="533400" cy="2381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2B0D6710-1566-44D7-B091-D4CB2A9E1A7E}" type="TxLink">
            <a:rPr lang="en-US" altLang="en-US" sz="1000" b="0" i="0" u="none" strike="noStrike">
              <a:solidFill>
                <a:srgbClr val="000000"/>
              </a:solidFill>
              <a:latin typeface="Arial"/>
              <a:cs typeface="Arial"/>
            </a:rPr>
            <a:pPr algn="ctr"/>
            <a:t> </a:t>
          </a:fld>
          <a:endParaRPr lang="ja-JP" altLang="en-US" sz="1000"/>
        </a:p>
      </cdr:txBody>
    </cdr:sp>
  </cdr:relSizeAnchor>
  <cdr:relSizeAnchor xmlns:cdr="http://schemas.openxmlformats.org/drawingml/2006/chartDrawing">
    <cdr:from>
      <cdr:x>0.80154</cdr:x>
      <cdr:y>0.65863</cdr:y>
    </cdr:from>
    <cdr:to>
      <cdr:x>0.96339</cdr:x>
      <cdr:y>0.80924</cdr:y>
    </cdr:to>
    <cdr:sp macro="" textlink="結果!$T$52">
      <cdr:nvSpPr>
        <cdr:cNvPr id="6" name="テキスト ボックス 1"/>
        <cdr:cNvSpPr txBox="1"/>
      </cdr:nvSpPr>
      <cdr:spPr>
        <a:xfrm xmlns:a="http://schemas.openxmlformats.org/drawingml/2006/main">
          <a:off x="2641600" y="1041400"/>
          <a:ext cx="533400" cy="2381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3537A117-80E8-4A06-9394-A34AE86B6393}" type="TxLink">
            <a:rPr lang="en-US" altLang="en-US" sz="1000" b="0" i="0" u="none" strike="noStrike">
              <a:solidFill>
                <a:srgbClr val="000000"/>
              </a:solidFill>
              <a:latin typeface="Arial"/>
              <a:cs typeface="Arial"/>
            </a:rPr>
            <a:pPr algn="ctr"/>
            <a:t> </a:t>
          </a:fld>
          <a:endParaRPr lang="ja-JP" altLang="en-US" sz="1000"/>
        </a:p>
      </cdr:txBody>
    </cdr:sp>
  </cdr:relSizeAnchor>
</c:userShapes>
</file>

<file path=xl/drawings/drawing14.xml><?xml version="1.0" encoding="utf-8"?>
<c:userShapes xmlns:c="http://schemas.openxmlformats.org/drawingml/2006/chart">
  <cdr:relSizeAnchor xmlns:cdr="http://schemas.openxmlformats.org/drawingml/2006/chartDrawing">
    <cdr:from>
      <cdr:x>0.07795</cdr:x>
      <cdr:y>0.44759</cdr:y>
    </cdr:from>
    <cdr:to>
      <cdr:x>0.99338</cdr:x>
      <cdr:y>0.44759</cdr:y>
    </cdr:to>
    <cdr:sp macro="" textlink="">
      <cdr:nvSpPr>
        <cdr:cNvPr id="10244" name="Line 4"/>
        <cdr:cNvSpPr>
          <a:spLocks xmlns:a="http://schemas.openxmlformats.org/drawingml/2006/main" noChangeShapeType="1"/>
        </cdr:cNvSpPr>
      </cdr:nvSpPr>
      <cdr:spPr bwMode="auto">
        <a:xfrm xmlns:a="http://schemas.openxmlformats.org/drawingml/2006/main">
          <a:off x="198942" y="715143"/>
          <a:ext cx="2719059"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0.12219</cdr:x>
      <cdr:y>0.66867</cdr:y>
    </cdr:from>
    <cdr:to>
      <cdr:x>0.3119</cdr:x>
      <cdr:y>0.81325</cdr:y>
    </cdr:to>
    <cdr:sp macro="" textlink="結果!$W$49">
      <cdr:nvSpPr>
        <cdr:cNvPr id="2" name="テキスト ボックス 1"/>
        <cdr:cNvSpPr txBox="1"/>
      </cdr:nvSpPr>
      <cdr:spPr>
        <a:xfrm xmlns:a="http://schemas.openxmlformats.org/drawingml/2006/main">
          <a:off x="361950" y="1057275"/>
          <a:ext cx="561975" cy="228600"/>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3BB801B7-3F2D-48D5-BD75-950D6880779B}" type="TxLink">
            <a:rPr lang="en-US" altLang="en-US" sz="1000" b="0" i="0" u="none" strike="noStrike">
              <a:solidFill>
                <a:srgbClr val="000000"/>
              </a:solidFill>
              <a:latin typeface="Arial"/>
              <a:cs typeface="Arial"/>
            </a:rPr>
            <a:pPr algn="ctr"/>
            <a:t> </a:t>
          </a:fld>
          <a:endParaRPr lang="ja-JP" altLang="en-US" sz="1000"/>
        </a:p>
      </cdr:txBody>
    </cdr:sp>
  </cdr:relSizeAnchor>
  <cdr:relSizeAnchor xmlns:cdr="http://schemas.openxmlformats.org/drawingml/2006/chartDrawing">
    <cdr:from>
      <cdr:x>0.43837</cdr:x>
      <cdr:y>0.67068</cdr:y>
    </cdr:from>
    <cdr:to>
      <cdr:x>0.62808</cdr:x>
      <cdr:y>0.81526</cdr:y>
    </cdr:to>
    <cdr:sp macro="" textlink="結果!$W$50">
      <cdr:nvSpPr>
        <cdr:cNvPr id="4" name="テキスト ボックス 1"/>
        <cdr:cNvSpPr txBox="1"/>
      </cdr:nvSpPr>
      <cdr:spPr>
        <a:xfrm xmlns:a="http://schemas.openxmlformats.org/drawingml/2006/main">
          <a:off x="1298575" y="1060450"/>
          <a:ext cx="561975" cy="228600"/>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EA58F746-8187-4480-ABD3-5F491D7B8C07}" type="TxLink">
            <a:rPr lang="en-US" altLang="en-US" sz="1000" b="0" i="0" u="none" strike="noStrike">
              <a:solidFill>
                <a:srgbClr val="000000"/>
              </a:solidFill>
              <a:latin typeface="Arial"/>
              <a:cs typeface="Arial"/>
            </a:rPr>
            <a:pPr algn="ctr"/>
            <a:t> </a:t>
          </a:fld>
          <a:endParaRPr lang="ja-JP" altLang="en-US" sz="1000"/>
        </a:p>
      </cdr:txBody>
    </cdr:sp>
  </cdr:relSizeAnchor>
  <cdr:relSizeAnchor xmlns:cdr="http://schemas.openxmlformats.org/drawingml/2006/chartDrawing">
    <cdr:from>
      <cdr:x>0.73741</cdr:x>
      <cdr:y>0.67068</cdr:y>
    </cdr:from>
    <cdr:to>
      <cdr:x>0.92712</cdr:x>
      <cdr:y>0.81526</cdr:y>
    </cdr:to>
    <cdr:sp macro="" textlink="結果!$W$51">
      <cdr:nvSpPr>
        <cdr:cNvPr id="5" name="テキスト ボックス 1"/>
        <cdr:cNvSpPr txBox="1"/>
      </cdr:nvSpPr>
      <cdr:spPr>
        <a:xfrm xmlns:a="http://schemas.openxmlformats.org/drawingml/2006/main">
          <a:off x="2184400" y="1060450"/>
          <a:ext cx="561975" cy="228600"/>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936A66E5-2F2D-42D8-95DB-A2B582AC9157}" type="TxLink">
            <a:rPr lang="en-US" altLang="en-US" sz="1000" b="0" i="0" u="none" strike="noStrike">
              <a:solidFill>
                <a:srgbClr val="000000"/>
              </a:solidFill>
              <a:latin typeface="Arial"/>
              <a:cs typeface="Arial"/>
            </a:rPr>
            <a:pPr algn="ctr"/>
            <a:t> </a:t>
          </a:fld>
          <a:endParaRPr lang="ja-JP" altLang="en-US" sz="1000"/>
        </a:p>
      </cdr:txBody>
    </cdr:sp>
  </cdr:relSizeAnchor>
</c:userShapes>
</file>

<file path=xl/drawings/drawing15.xml><?xml version="1.0" encoding="utf-8"?>
<c:userShapes xmlns:c="http://schemas.openxmlformats.org/drawingml/2006/chart">
  <cdr:relSizeAnchor xmlns:cdr="http://schemas.openxmlformats.org/drawingml/2006/chartDrawing">
    <cdr:from>
      <cdr:x>0.07795</cdr:x>
      <cdr:y>0.44759</cdr:y>
    </cdr:from>
    <cdr:to>
      <cdr:x>0.99338</cdr:x>
      <cdr:y>0.44759</cdr:y>
    </cdr:to>
    <cdr:sp macro="" textlink="">
      <cdr:nvSpPr>
        <cdr:cNvPr id="10244" name="Line 4"/>
        <cdr:cNvSpPr>
          <a:spLocks xmlns:a="http://schemas.openxmlformats.org/drawingml/2006/main" noChangeShapeType="1"/>
        </cdr:cNvSpPr>
      </cdr:nvSpPr>
      <cdr:spPr bwMode="auto">
        <a:xfrm xmlns:a="http://schemas.openxmlformats.org/drawingml/2006/main">
          <a:off x="198942" y="715143"/>
          <a:ext cx="2719059"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0.1254</cdr:x>
      <cdr:y>0.66265</cdr:y>
    </cdr:from>
    <cdr:to>
      <cdr:x>0.33119</cdr:x>
      <cdr:y>0.80723</cdr:y>
    </cdr:to>
    <cdr:sp macro="" textlink="結果!$Z$49">
      <cdr:nvSpPr>
        <cdr:cNvPr id="2" name="テキスト ボックス 1"/>
        <cdr:cNvSpPr txBox="1"/>
      </cdr:nvSpPr>
      <cdr:spPr>
        <a:xfrm xmlns:a="http://schemas.openxmlformats.org/drawingml/2006/main">
          <a:off x="371475" y="1047750"/>
          <a:ext cx="609600" cy="228600"/>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2EDC34F2-F909-49BF-8C38-015631A37EF7}" type="TxLink">
            <a:rPr lang="en-US" altLang="en-US" sz="1000" b="0" i="0" u="none" strike="noStrike">
              <a:solidFill>
                <a:srgbClr val="000000"/>
              </a:solidFill>
              <a:latin typeface="Arial"/>
              <a:cs typeface="Arial"/>
            </a:rPr>
            <a:pPr algn="ctr"/>
            <a:t> </a:t>
          </a:fld>
          <a:endParaRPr lang="ja-JP" altLang="en-US" sz="1000"/>
        </a:p>
      </cdr:txBody>
    </cdr:sp>
  </cdr:relSizeAnchor>
  <cdr:relSizeAnchor xmlns:cdr="http://schemas.openxmlformats.org/drawingml/2006/chartDrawing">
    <cdr:from>
      <cdr:x>0.42551</cdr:x>
      <cdr:y>0.67068</cdr:y>
    </cdr:from>
    <cdr:to>
      <cdr:x>0.6313</cdr:x>
      <cdr:y>0.81526</cdr:y>
    </cdr:to>
    <cdr:sp macro="" textlink="結果!$Z$50">
      <cdr:nvSpPr>
        <cdr:cNvPr id="4" name="テキスト ボックス 1"/>
        <cdr:cNvSpPr txBox="1"/>
      </cdr:nvSpPr>
      <cdr:spPr>
        <a:xfrm xmlns:a="http://schemas.openxmlformats.org/drawingml/2006/main">
          <a:off x="1260475" y="1060450"/>
          <a:ext cx="609600" cy="228600"/>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86766CF0-8F51-4C6C-B250-611FA956B2B4}" type="TxLink">
            <a:rPr lang="en-US" altLang="en-US" sz="1000" b="0" i="0" u="none" strike="noStrike">
              <a:solidFill>
                <a:srgbClr val="000000"/>
              </a:solidFill>
              <a:latin typeface="Arial"/>
              <a:cs typeface="Arial"/>
            </a:rPr>
            <a:pPr algn="ctr"/>
            <a:t> </a:t>
          </a:fld>
          <a:endParaRPr lang="ja-JP" altLang="en-US" sz="1000"/>
        </a:p>
      </cdr:txBody>
    </cdr:sp>
  </cdr:relSizeAnchor>
  <cdr:relSizeAnchor xmlns:cdr="http://schemas.openxmlformats.org/drawingml/2006/chartDrawing">
    <cdr:from>
      <cdr:x>0.72776</cdr:x>
      <cdr:y>0.65863</cdr:y>
    </cdr:from>
    <cdr:to>
      <cdr:x>0.93355</cdr:x>
      <cdr:y>0.80321</cdr:y>
    </cdr:to>
    <cdr:sp macro="" textlink="結果!$Z$51">
      <cdr:nvSpPr>
        <cdr:cNvPr id="5" name="テキスト ボックス 1"/>
        <cdr:cNvSpPr txBox="1"/>
      </cdr:nvSpPr>
      <cdr:spPr>
        <a:xfrm xmlns:a="http://schemas.openxmlformats.org/drawingml/2006/main">
          <a:off x="2155825" y="1041400"/>
          <a:ext cx="609600" cy="228600"/>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41C6A9C2-A184-4FA5-98B2-40AE4AB30FFD}" type="TxLink">
            <a:rPr lang="en-US" altLang="en-US" sz="1000" b="0" i="0" u="none" strike="noStrike">
              <a:solidFill>
                <a:srgbClr val="000000"/>
              </a:solidFill>
              <a:latin typeface="Arial"/>
              <a:cs typeface="Arial"/>
            </a:rPr>
            <a:pPr algn="ctr"/>
            <a:t> </a:t>
          </a:fld>
          <a:endParaRPr lang="ja-JP" altLang="en-US" sz="1000"/>
        </a:p>
      </cdr:txBody>
    </cdr:sp>
  </cdr:relSizeAnchor>
</c:userShapes>
</file>

<file path=xl/drawings/drawing16.xml><?xml version="1.0" encoding="utf-8"?>
<c:userShapes xmlns:c="http://schemas.openxmlformats.org/drawingml/2006/chart">
  <cdr:relSizeAnchor xmlns:cdr="http://schemas.openxmlformats.org/drawingml/2006/chartDrawing">
    <cdr:from>
      <cdr:x>0.07948</cdr:x>
      <cdr:y>0.44568</cdr:y>
    </cdr:from>
    <cdr:to>
      <cdr:x>0.98098</cdr:x>
      <cdr:y>0.44568</cdr:y>
    </cdr:to>
    <cdr:sp macro="" textlink="">
      <cdr:nvSpPr>
        <cdr:cNvPr id="7173" name="Line 5"/>
        <cdr:cNvSpPr>
          <a:spLocks xmlns:a="http://schemas.openxmlformats.org/drawingml/2006/main" noChangeShapeType="1"/>
        </cdr:cNvSpPr>
      </cdr:nvSpPr>
      <cdr:spPr bwMode="auto">
        <a:xfrm xmlns:a="http://schemas.openxmlformats.org/drawingml/2006/main">
          <a:off x="265865" y="703179"/>
          <a:ext cx="2979613"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0.56647</cdr:x>
      <cdr:y>0.65663</cdr:y>
    </cdr:from>
    <cdr:to>
      <cdr:x>0.72832</cdr:x>
      <cdr:y>0.80723</cdr:y>
    </cdr:to>
    <cdr:sp macro="" textlink="結果!$T$62">
      <cdr:nvSpPr>
        <cdr:cNvPr id="2" name="テキスト ボックス 1"/>
        <cdr:cNvSpPr txBox="1"/>
      </cdr:nvSpPr>
      <cdr:spPr>
        <a:xfrm xmlns:a="http://schemas.openxmlformats.org/drawingml/2006/main">
          <a:off x="1866900" y="1038225"/>
          <a:ext cx="533400" cy="238125"/>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C16051E3-1E1E-47B6-B034-7EA0B3511EE5}"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0.11657</cdr:x>
      <cdr:y>0.65863</cdr:y>
    </cdr:from>
    <cdr:to>
      <cdr:x>0.27842</cdr:x>
      <cdr:y>0.80924</cdr:y>
    </cdr:to>
    <cdr:sp macro="" textlink="結果!$T$60">
      <cdr:nvSpPr>
        <cdr:cNvPr id="4" name="テキスト ボックス 1"/>
        <cdr:cNvSpPr txBox="1"/>
      </cdr:nvSpPr>
      <cdr:spPr>
        <a:xfrm xmlns:a="http://schemas.openxmlformats.org/drawingml/2006/main">
          <a:off x="384175" y="1041400"/>
          <a:ext cx="533400" cy="2381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D78C4F03-F6B8-4145-8923-B76ADE60257E}"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0.342</cdr:x>
      <cdr:y>0.65261</cdr:y>
    </cdr:from>
    <cdr:to>
      <cdr:x>0.50385</cdr:x>
      <cdr:y>0.80321</cdr:y>
    </cdr:to>
    <cdr:sp macro="" textlink="結果!$T$61">
      <cdr:nvSpPr>
        <cdr:cNvPr id="5" name="テキスト ボックス 1"/>
        <cdr:cNvSpPr txBox="1"/>
      </cdr:nvSpPr>
      <cdr:spPr>
        <a:xfrm xmlns:a="http://schemas.openxmlformats.org/drawingml/2006/main">
          <a:off x="1127125" y="1031875"/>
          <a:ext cx="533400" cy="2381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8532BF98-A9FD-4C24-879A-B45B0E1C1C02}"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0.80154</cdr:x>
      <cdr:y>0.65863</cdr:y>
    </cdr:from>
    <cdr:to>
      <cdr:x>0.96339</cdr:x>
      <cdr:y>0.80924</cdr:y>
    </cdr:to>
    <cdr:sp macro="" textlink="結果!$T$63">
      <cdr:nvSpPr>
        <cdr:cNvPr id="6" name="テキスト ボックス 1"/>
        <cdr:cNvSpPr txBox="1"/>
      </cdr:nvSpPr>
      <cdr:spPr>
        <a:xfrm xmlns:a="http://schemas.openxmlformats.org/drawingml/2006/main">
          <a:off x="2641600" y="1041400"/>
          <a:ext cx="533400" cy="2381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0A1D4462-9699-437B-9885-D27D5A6C1530}"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0.07795</cdr:x>
      <cdr:y>0.44759</cdr:y>
    </cdr:from>
    <cdr:to>
      <cdr:x>0.99338</cdr:x>
      <cdr:y>0.44759</cdr:y>
    </cdr:to>
    <cdr:sp macro="" textlink="">
      <cdr:nvSpPr>
        <cdr:cNvPr id="10244" name="Line 4"/>
        <cdr:cNvSpPr>
          <a:spLocks xmlns:a="http://schemas.openxmlformats.org/drawingml/2006/main" noChangeShapeType="1"/>
        </cdr:cNvSpPr>
      </cdr:nvSpPr>
      <cdr:spPr bwMode="auto">
        <a:xfrm xmlns:a="http://schemas.openxmlformats.org/drawingml/2006/main">
          <a:off x="198942" y="715143"/>
          <a:ext cx="2719059"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0.12219</cdr:x>
      <cdr:y>0.66867</cdr:y>
    </cdr:from>
    <cdr:to>
      <cdr:x>0.3119</cdr:x>
      <cdr:y>0.81325</cdr:y>
    </cdr:to>
    <cdr:sp macro="" textlink="結果!$W$60">
      <cdr:nvSpPr>
        <cdr:cNvPr id="2" name="テキスト ボックス 1"/>
        <cdr:cNvSpPr txBox="1"/>
      </cdr:nvSpPr>
      <cdr:spPr>
        <a:xfrm xmlns:a="http://schemas.openxmlformats.org/drawingml/2006/main">
          <a:off x="361947" y="1057270"/>
          <a:ext cx="561973" cy="228603"/>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15FAB5FD-FC8D-48BA-AD0E-5FB581A210DC}"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0.43837</cdr:x>
      <cdr:y>0.6767</cdr:y>
    </cdr:from>
    <cdr:to>
      <cdr:x>0.62808</cdr:x>
      <cdr:y>0.82128</cdr:y>
    </cdr:to>
    <cdr:sp macro="" textlink="結果!$W$61">
      <cdr:nvSpPr>
        <cdr:cNvPr id="4" name="テキスト ボックス 1"/>
        <cdr:cNvSpPr txBox="1"/>
      </cdr:nvSpPr>
      <cdr:spPr>
        <a:xfrm xmlns:a="http://schemas.openxmlformats.org/drawingml/2006/main">
          <a:off x="1298570" y="1069971"/>
          <a:ext cx="561973" cy="228603"/>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9E7AFA0B-83C3-46E0-B9DD-7D49F031A672}"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0.74062</cdr:x>
      <cdr:y>0.67671</cdr:y>
    </cdr:from>
    <cdr:to>
      <cdr:x>0.93034</cdr:x>
      <cdr:y>0.82129</cdr:y>
    </cdr:to>
    <cdr:sp macro="" textlink="結果!$W$62">
      <cdr:nvSpPr>
        <cdr:cNvPr id="5" name="テキスト ボックス 1"/>
        <cdr:cNvSpPr txBox="1"/>
      </cdr:nvSpPr>
      <cdr:spPr>
        <a:xfrm xmlns:a="http://schemas.openxmlformats.org/drawingml/2006/main">
          <a:off x="2193912" y="1069975"/>
          <a:ext cx="562003" cy="228603"/>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9B6F1FE0-6146-412C-BC9C-1FE08E114054}"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userShapes>
</file>

<file path=xl/drawings/drawing18.xml><?xml version="1.0" encoding="utf-8"?>
<c:userShapes xmlns:c="http://schemas.openxmlformats.org/drawingml/2006/chart">
  <cdr:relSizeAnchor xmlns:cdr="http://schemas.openxmlformats.org/drawingml/2006/chartDrawing">
    <cdr:from>
      <cdr:x>0.06187</cdr:x>
      <cdr:y>0.41145</cdr:y>
    </cdr:from>
    <cdr:to>
      <cdr:x>0.9773</cdr:x>
      <cdr:y>0.41145</cdr:y>
    </cdr:to>
    <cdr:sp macro="" textlink="">
      <cdr:nvSpPr>
        <cdr:cNvPr id="10244" name="Line 4"/>
        <cdr:cNvSpPr>
          <a:spLocks xmlns:a="http://schemas.openxmlformats.org/drawingml/2006/main" noChangeShapeType="1"/>
        </cdr:cNvSpPr>
      </cdr:nvSpPr>
      <cdr:spPr bwMode="auto">
        <a:xfrm xmlns:a="http://schemas.openxmlformats.org/drawingml/2006/main">
          <a:off x="183284" y="650557"/>
          <a:ext cx="2711756"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0.12219</cdr:x>
      <cdr:y>0.66265</cdr:y>
    </cdr:from>
    <cdr:to>
      <cdr:x>0.3119</cdr:x>
      <cdr:y>0.80723</cdr:y>
    </cdr:to>
    <cdr:sp macro="" textlink="結果!$Z$60">
      <cdr:nvSpPr>
        <cdr:cNvPr id="2" name="テキスト ボックス 1"/>
        <cdr:cNvSpPr txBox="1"/>
      </cdr:nvSpPr>
      <cdr:spPr>
        <a:xfrm xmlns:a="http://schemas.openxmlformats.org/drawingml/2006/main">
          <a:off x="361947" y="1047745"/>
          <a:ext cx="561973" cy="228603"/>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34BADD3B-4FFE-491B-800F-C3D6AD91C9D5}"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#VALUE!</a:t>
          </a:fld>
          <a:endParaRPr lang="ja-JP" altLang="en-US" sz="10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0.43837</cdr:x>
      <cdr:y>0.6767</cdr:y>
    </cdr:from>
    <cdr:to>
      <cdr:x>0.62808</cdr:x>
      <cdr:y>0.82128</cdr:y>
    </cdr:to>
    <cdr:sp macro="" textlink="結果!$Z$61">
      <cdr:nvSpPr>
        <cdr:cNvPr id="4" name="テキスト ボックス 1"/>
        <cdr:cNvSpPr txBox="1"/>
      </cdr:nvSpPr>
      <cdr:spPr>
        <a:xfrm xmlns:a="http://schemas.openxmlformats.org/drawingml/2006/main">
          <a:off x="1298570" y="1069971"/>
          <a:ext cx="561973" cy="228603"/>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45B25313-F4FB-43CD-9FE3-490D1A780D37}"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0.7374</cdr:x>
      <cdr:y>0.67068</cdr:y>
    </cdr:from>
    <cdr:to>
      <cdr:x>0.92712</cdr:x>
      <cdr:y>0.81526</cdr:y>
    </cdr:to>
    <cdr:sp macro="" textlink="結果!$Z$62">
      <cdr:nvSpPr>
        <cdr:cNvPr id="5" name="テキスト ボックス 1"/>
        <cdr:cNvSpPr txBox="1"/>
      </cdr:nvSpPr>
      <cdr:spPr>
        <a:xfrm xmlns:a="http://schemas.openxmlformats.org/drawingml/2006/main">
          <a:off x="2184387" y="1060450"/>
          <a:ext cx="562003" cy="228603"/>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94CF66CB-38F9-467D-93E6-1742709CCFAD}"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userShapes>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190500</xdr:colOff>
          <xdr:row>8</xdr:row>
          <xdr:rowOff>152400</xdr:rowOff>
        </xdr:from>
        <xdr:to>
          <xdr:col>2</xdr:col>
          <xdr:colOff>0</xdr:colOff>
          <xdr:row>9</xdr:row>
          <xdr:rowOff>152400</xdr:rowOff>
        </xdr:to>
        <xdr:sp textlink="">
          <xdr:nvSpPr>
            <xdr:cNvPr id="3073" name="Option Button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14</xdr:row>
          <xdr:rowOff>123825</xdr:rowOff>
        </xdr:from>
        <xdr:to>
          <xdr:col>2</xdr:col>
          <xdr:colOff>0</xdr:colOff>
          <xdr:row>16</xdr:row>
          <xdr:rowOff>19050</xdr:rowOff>
        </xdr:to>
        <xdr:sp textlink="">
          <xdr:nvSpPr>
            <xdr:cNvPr id="3074" name="Option Button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18</xdr:row>
          <xdr:rowOff>66675</xdr:rowOff>
        </xdr:from>
        <xdr:to>
          <xdr:col>2</xdr:col>
          <xdr:colOff>0</xdr:colOff>
          <xdr:row>20</xdr:row>
          <xdr:rowOff>114300</xdr:rowOff>
        </xdr:to>
        <xdr:sp textlink="">
          <xdr:nvSpPr>
            <xdr:cNvPr id="3075" name="Option Button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22</xdr:row>
          <xdr:rowOff>180975</xdr:rowOff>
        </xdr:from>
        <xdr:to>
          <xdr:col>2</xdr:col>
          <xdr:colOff>0</xdr:colOff>
          <xdr:row>24</xdr:row>
          <xdr:rowOff>0</xdr:rowOff>
        </xdr:to>
        <xdr:sp textlink="">
          <xdr:nvSpPr>
            <xdr:cNvPr id="3076" name="Option Button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26</xdr:row>
          <xdr:rowOff>142875</xdr:rowOff>
        </xdr:from>
        <xdr:to>
          <xdr:col>2</xdr:col>
          <xdr:colOff>0</xdr:colOff>
          <xdr:row>28</xdr:row>
          <xdr:rowOff>0</xdr:rowOff>
        </xdr:to>
        <xdr:sp textlink="">
          <xdr:nvSpPr>
            <xdr:cNvPr id="3077" name="Option Button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c:userShapes xmlns:c="http://schemas.openxmlformats.org/drawingml/2006/chart">
  <cdr:relSizeAnchor xmlns:cdr="http://schemas.openxmlformats.org/drawingml/2006/chartDrawing">
    <cdr:from>
      <cdr:x>0.01701</cdr:x>
      <cdr:y>0.03378</cdr:y>
    </cdr:from>
    <cdr:to>
      <cdr:x>0.12592</cdr:x>
      <cdr:y>0.97967</cdr:y>
    </cdr:to>
    <cdr:sp macro="" textlink="">
      <cdr:nvSpPr>
        <cdr:cNvPr id="13313" name="Text Box 1"/>
        <cdr:cNvSpPr txBox="1">
          <a:spLocks xmlns:a="http://schemas.openxmlformats.org/drawingml/2006/main" noChangeArrowheads="1"/>
        </cdr:cNvSpPr>
      </cdr:nvSpPr>
      <cdr:spPr bwMode="auto">
        <a:xfrm xmlns:a="http://schemas.openxmlformats.org/drawingml/2006/main">
          <a:off x="50800" y="85221"/>
          <a:ext cx="305000" cy="2297454"/>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vert="vert270" wrap="square" lIns="36576" tIns="18288" rIns="36576" bIns="18288" anchor="ctr" upright="1"/>
        <a:lstStyle xmlns:a="http://schemas.openxmlformats.org/drawingml/2006/main"/>
        <a:p xmlns:a="http://schemas.openxmlformats.org/drawingml/2006/main">
          <a:pPr algn="ctr" rtl="0">
            <a:defRPr sz="1000"/>
          </a:pPr>
          <a:r>
            <a:rPr lang="ja-JP" altLang="en-US" sz="1100" b="1" i="0" strike="noStrike">
              <a:solidFill>
                <a:srgbClr val="000000"/>
              </a:solidFill>
              <a:latin typeface="ＭＳ Ｐゴシック"/>
              <a:ea typeface="ＭＳ Ｐゴシック"/>
            </a:rPr>
            <a:t>環境品質　Ｑ</a:t>
          </a:r>
        </a:p>
      </cdr:txBody>
    </cdr:sp>
  </cdr:relSizeAnchor>
  <cdr:relSizeAnchor xmlns:cdr="http://schemas.openxmlformats.org/drawingml/2006/chartDrawing">
    <cdr:from>
      <cdr:x>0.21528</cdr:x>
      <cdr:y>0.88263</cdr:y>
    </cdr:from>
    <cdr:to>
      <cdr:x>0.86707</cdr:x>
      <cdr:y>0.98039</cdr:y>
    </cdr:to>
    <cdr:sp macro="" textlink="">
      <cdr:nvSpPr>
        <cdr:cNvPr id="13314" name="Text Box 2"/>
        <cdr:cNvSpPr txBox="1">
          <a:spLocks xmlns:a="http://schemas.openxmlformats.org/drawingml/2006/main" noChangeArrowheads="1"/>
        </cdr:cNvSpPr>
      </cdr:nvSpPr>
      <cdr:spPr bwMode="auto">
        <a:xfrm xmlns:a="http://schemas.openxmlformats.org/drawingml/2006/main">
          <a:off x="606022" y="2146979"/>
          <a:ext cx="1825266" cy="237446"/>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36576" tIns="18288" rIns="36576" bIns="18288" anchor="ctr" upright="1"/>
        <a:lstStyle xmlns:a="http://schemas.openxmlformats.org/drawingml/2006/main"/>
        <a:p xmlns:a="http://schemas.openxmlformats.org/drawingml/2006/main">
          <a:pPr algn="ctr" rtl="0">
            <a:defRPr sz="1000"/>
          </a:pPr>
          <a:r>
            <a:rPr lang="ja-JP" altLang="en-US" sz="1100" b="1" i="0" strike="noStrike">
              <a:solidFill>
                <a:srgbClr val="000000"/>
              </a:solidFill>
              <a:latin typeface="ＭＳ Ｐゴシック"/>
              <a:ea typeface="ＭＳ Ｐゴシック"/>
            </a:rPr>
            <a:t>環境負荷 </a:t>
          </a:r>
          <a:r>
            <a:rPr lang="en-US" altLang="ja-JP" sz="1100" b="1" i="0" strike="noStrike">
              <a:solidFill>
                <a:srgbClr val="000000"/>
              </a:solidFill>
              <a:latin typeface="ＭＳ Ｐゴシック"/>
              <a:ea typeface="ＭＳ Ｐゴシック"/>
            </a:rPr>
            <a:t>L</a:t>
          </a:r>
        </a:p>
      </cdr:txBody>
    </cdr:sp>
  </cdr:relSizeAnchor>
  <cdr:relSizeAnchor xmlns:cdr="http://schemas.openxmlformats.org/drawingml/2006/chartDrawing">
    <cdr:from>
      <cdr:x>0.20127</cdr:x>
      <cdr:y>0.11136</cdr:y>
    </cdr:from>
    <cdr:to>
      <cdr:x>0.38843</cdr:x>
      <cdr:y>0.22498</cdr:y>
    </cdr:to>
    <cdr:sp macro="" textlink="">
      <cdr:nvSpPr>
        <cdr:cNvPr id="13315" name="Text Box 3"/>
        <cdr:cNvSpPr txBox="1">
          <a:spLocks xmlns:a="http://schemas.openxmlformats.org/drawingml/2006/main" noChangeArrowheads="1"/>
        </cdr:cNvSpPr>
      </cdr:nvSpPr>
      <cdr:spPr bwMode="auto">
        <a:xfrm xmlns:a="http://schemas.openxmlformats.org/drawingml/2006/main">
          <a:off x="566798" y="273661"/>
          <a:ext cx="524113" cy="275951"/>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27432" tIns="27432" rIns="27432" bIns="27432" anchor="ctr" upright="1"/>
        <a:lstStyle xmlns:a="http://schemas.openxmlformats.org/drawingml/2006/main"/>
        <a:p xmlns:a="http://schemas.openxmlformats.org/drawingml/2006/main">
          <a:pPr algn="ctr" rtl="0">
            <a:defRPr sz="1000"/>
          </a:pPr>
          <a:r>
            <a:rPr lang="en-US" altLang="ja-JP" sz="1150" b="1" i="0" strike="noStrike">
              <a:solidFill>
                <a:srgbClr val="000000"/>
              </a:solidFill>
              <a:latin typeface="Arial"/>
              <a:cs typeface="Arial"/>
            </a:rPr>
            <a:t>S</a:t>
          </a:r>
        </a:p>
      </cdr:txBody>
    </cdr:sp>
  </cdr:relSizeAnchor>
  <cdr:relSizeAnchor xmlns:cdr="http://schemas.openxmlformats.org/drawingml/2006/chartDrawing">
    <cdr:from>
      <cdr:x>0.45363</cdr:x>
      <cdr:y>0.10224</cdr:y>
    </cdr:from>
    <cdr:to>
      <cdr:x>0.59998</cdr:x>
      <cdr:y>0.22762</cdr:y>
    </cdr:to>
    <cdr:sp macro="" textlink="">
      <cdr:nvSpPr>
        <cdr:cNvPr id="13316" name="Text Box 4"/>
        <cdr:cNvSpPr txBox="1">
          <a:spLocks xmlns:a="http://schemas.openxmlformats.org/drawingml/2006/main" noChangeArrowheads="1"/>
        </cdr:cNvSpPr>
      </cdr:nvSpPr>
      <cdr:spPr bwMode="auto">
        <a:xfrm xmlns:a="http://schemas.openxmlformats.org/drawingml/2006/main">
          <a:off x="1273505" y="251492"/>
          <a:ext cx="409823" cy="304538"/>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27432" tIns="27432" rIns="27432" bIns="27432" anchor="ctr" upright="1"/>
        <a:lstStyle xmlns:a="http://schemas.openxmlformats.org/drawingml/2006/main"/>
        <a:p xmlns:a="http://schemas.openxmlformats.org/drawingml/2006/main">
          <a:pPr algn="ctr" rtl="0">
            <a:defRPr sz="1000"/>
          </a:pPr>
          <a:r>
            <a:rPr lang="en-US" altLang="ja-JP" sz="1150" b="1" i="0" strike="noStrike">
              <a:solidFill>
                <a:srgbClr val="000000"/>
              </a:solidFill>
              <a:latin typeface="Arial"/>
              <a:cs typeface="Arial"/>
            </a:rPr>
            <a:t>A</a:t>
          </a:r>
        </a:p>
      </cdr:txBody>
    </cdr:sp>
  </cdr:relSizeAnchor>
  <cdr:relSizeAnchor xmlns:cdr="http://schemas.openxmlformats.org/drawingml/2006/chartDrawing">
    <cdr:from>
      <cdr:x>0.64128</cdr:x>
      <cdr:y>0.10224</cdr:y>
    </cdr:from>
    <cdr:to>
      <cdr:x>0.79438</cdr:x>
      <cdr:y>0.21585</cdr:y>
    </cdr:to>
    <cdr:sp macro="" textlink="">
      <cdr:nvSpPr>
        <cdr:cNvPr id="13317" name="Text Box 5"/>
        <cdr:cNvSpPr txBox="1">
          <a:spLocks xmlns:a="http://schemas.openxmlformats.org/drawingml/2006/main" noChangeArrowheads="1"/>
        </cdr:cNvSpPr>
      </cdr:nvSpPr>
      <cdr:spPr bwMode="auto">
        <a:xfrm xmlns:a="http://schemas.openxmlformats.org/drawingml/2006/main">
          <a:off x="1798971" y="251492"/>
          <a:ext cx="428758" cy="275951"/>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27432" tIns="27432" rIns="27432" bIns="27432" anchor="ctr" upright="1"/>
        <a:lstStyle xmlns:a="http://schemas.openxmlformats.org/drawingml/2006/main"/>
        <a:p xmlns:a="http://schemas.openxmlformats.org/drawingml/2006/main">
          <a:pPr algn="ctr" rtl="0">
            <a:defRPr sz="1000"/>
          </a:pPr>
          <a:r>
            <a:rPr lang="en-US" altLang="ja-JP" sz="1150" b="1" i="0" strike="noStrike">
              <a:solidFill>
                <a:srgbClr val="000000"/>
              </a:solidFill>
              <a:latin typeface="Arial"/>
              <a:cs typeface="Arial"/>
            </a:rPr>
            <a:t>B</a:t>
          </a:r>
          <a:r>
            <a:rPr lang="en-US" altLang="ja-JP" sz="1150" b="1" i="0" strike="noStrike" baseline="30000">
              <a:solidFill>
                <a:srgbClr val="000000"/>
              </a:solidFill>
              <a:latin typeface="Arial"/>
              <a:cs typeface="Arial"/>
            </a:rPr>
            <a:t>+</a:t>
          </a:r>
        </a:p>
      </cdr:txBody>
    </cdr:sp>
  </cdr:relSizeAnchor>
  <cdr:relSizeAnchor xmlns:cdr="http://schemas.openxmlformats.org/drawingml/2006/chartDrawing">
    <cdr:from>
      <cdr:x>0.7654</cdr:x>
      <cdr:y>0.30064</cdr:y>
    </cdr:from>
    <cdr:to>
      <cdr:x>0.90379</cdr:x>
      <cdr:y>0.41425</cdr:y>
    </cdr:to>
    <cdr:sp macro="" textlink="">
      <cdr:nvSpPr>
        <cdr:cNvPr id="13318" name="Text Box 6"/>
        <cdr:cNvSpPr txBox="1">
          <a:spLocks xmlns:a="http://schemas.openxmlformats.org/drawingml/2006/main" noChangeArrowheads="1"/>
        </cdr:cNvSpPr>
      </cdr:nvSpPr>
      <cdr:spPr bwMode="auto">
        <a:xfrm xmlns:a="http://schemas.openxmlformats.org/drawingml/2006/main">
          <a:off x="2146576" y="733385"/>
          <a:ext cx="390211" cy="275951"/>
        </a:xfrm>
        <a:prstGeom xmlns:a="http://schemas.openxmlformats.org/drawingml/2006/main" prst="rect">
          <a:avLst/>
        </a:prstGeom>
        <a:noFill xmlns:a="http://schemas.openxmlformats.org/drawingml/2006/main"/>
        <a:ln xmlns:a="http://schemas.openxmlformats.org/drawingml/2006/main" w="0">
          <a:noFill/>
          <a:miter lim="800000"/>
          <a:headEnd/>
          <a:tailEnd/>
        </a:ln>
        <a:effectLst xmlns:a="http://schemas.openxmlformats.org/drawingml/2006/main"/>
      </cdr:spPr>
      <cdr:txBody>
        <a:bodyPr xmlns:a="http://schemas.openxmlformats.org/drawingml/2006/main" vertOverflow="clip" wrap="square" lIns="27432" tIns="27432" rIns="27432" bIns="27432" anchor="ctr" upright="1"/>
        <a:lstStyle xmlns:a="http://schemas.openxmlformats.org/drawingml/2006/main"/>
        <a:p xmlns:a="http://schemas.openxmlformats.org/drawingml/2006/main">
          <a:pPr algn="ctr" rtl="0">
            <a:defRPr sz="1000"/>
          </a:pPr>
          <a:r>
            <a:rPr lang="en-US" altLang="ja-JP" sz="1150" b="1" i="0" strike="noStrike">
              <a:solidFill>
                <a:srgbClr val="000000"/>
              </a:solidFill>
              <a:latin typeface="Arial"/>
              <a:cs typeface="Arial"/>
            </a:rPr>
            <a:t>B</a:t>
          </a:r>
          <a:r>
            <a:rPr lang="en-US" altLang="ja-JP" sz="1150" b="1" i="0" strike="noStrike" baseline="30000">
              <a:solidFill>
                <a:srgbClr val="000000"/>
              </a:solidFill>
              <a:latin typeface="Arial"/>
              <a:cs typeface="Arial"/>
            </a:rPr>
            <a:t>-</a:t>
          </a:r>
        </a:p>
      </cdr:txBody>
    </cdr:sp>
  </cdr:relSizeAnchor>
  <cdr:relSizeAnchor xmlns:cdr="http://schemas.openxmlformats.org/drawingml/2006/chartDrawing">
    <cdr:from>
      <cdr:x>0.76613</cdr:x>
      <cdr:y>0.65228</cdr:y>
    </cdr:from>
    <cdr:to>
      <cdr:x>0.86152</cdr:x>
      <cdr:y>0.79208</cdr:y>
    </cdr:to>
    <cdr:sp macro="" textlink="">
      <cdr:nvSpPr>
        <cdr:cNvPr id="11271" name="Text Box 7"/>
        <cdr:cNvSpPr txBox="1">
          <a:spLocks xmlns:a="http://schemas.openxmlformats.org/drawingml/2006/main" noChangeArrowheads="1"/>
        </cdr:cNvSpPr>
      </cdr:nvSpPr>
      <cdr:spPr bwMode="auto">
        <a:xfrm xmlns:a="http://schemas.openxmlformats.org/drawingml/2006/main">
          <a:off x="2148605" y="1587492"/>
          <a:ext cx="267129" cy="339543"/>
        </a:xfrm>
        <a:prstGeom xmlns:a="http://schemas.openxmlformats.org/drawingml/2006/main" prst="rect">
          <a:avLst/>
        </a:prstGeom>
        <a:noFill xmlns:a="http://schemas.openxmlformats.org/drawingml/2006/main"/>
        <a:ln xmlns:a="http://schemas.openxmlformats.org/drawingml/2006/main" w="0">
          <a:noFill/>
          <a:miter lim="800000"/>
          <a:headEnd/>
          <a:tailEnd/>
        </a:ln>
      </cdr:spPr>
      <cdr:txBody>
        <a:bodyPr xmlns:a="http://schemas.openxmlformats.org/drawingml/2006/main" vertOverflow="clip" wrap="square" lIns="27432" tIns="27432" rIns="27432" bIns="27432" anchor="ctr" upright="1"/>
        <a:lstStyle xmlns:a="http://schemas.openxmlformats.org/drawingml/2006/main"/>
        <a:p xmlns:a="http://schemas.openxmlformats.org/drawingml/2006/main">
          <a:pPr algn="ctr" rtl="1">
            <a:defRPr sz="1000"/>
          </a:pPr>
          <a:r>
            <a:rPr lang="en-US" altLang="ja-JP" sz="1150" b="1" i="0" strike="noStrike">
              <a:solidFill>
                <a:srgbClr val="000000"/>
              </a:solidFill>
              <a:latin typeface="Arial"/>
              <a:cs typeface="Arial"/>
            </a:rPr>
            <a:t>C</a:t>
          </a:r>
        </a:p>
      </cdr:txBody>
    </cdr:sp>
  </cdr:relSizeAnchor>
  <cdr:relSizeAnchor xmlns:cdr="http://schemas.openxmlformats.org/drawingml/2006/chartDrawing">
    <cdr:from>
      <cdr:x>0.38304</cdr:x>
      <cdr:y>0.01719</cdr:y>
    </cdr:from>
    <cdr:to>
      <cdr:x>0.45709</cdr:x>
      <cdr:y>0.10826</cdr:y>
    </cdr:to>
    <cdr:sp macro="" textlink="">
      <cdr:nvSpPr>
        <cdr:cNvPr id="13321" name="Text Box 9"/>
        <cdr:cNvSpPr txBox="1">
          <a:spLocks xmlns:a="http://schemas.openxmlformats.org/drawingml/2006/main" noChangeArrowheads="1"/>
        </cdr:cNvSpPr>
      </cdr:nvSpPr>
      <cdr:spPr bwMode="auto">
        <a:xfrm xmlns:a="http://schemas.openxmlformats.org/drawingml/2006/main">
          <a:off x="1068998" y="41595"/>
          <a:ext cx="206660" cy="22031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18288" tIns="18288" rIns="18288" bIns="18288" anchor="ctr" upright="1">
          <a:spAutoFit/>
        </a:bodyPr>
        <a:lstStyle xmlns:a="http://schemas.openxmlformats.org/drawingml/2006/main"/>
        <a:p xmlns:a="http://schemas.openxmlformats.org/drawingml/2006/main">
          <a:pPr algn="ctr" rtl="0">
            <a:defRPr sz="1000"/>
          </a:pPr>
          <a:r>
            <a:rPr lang="en-US" altLang="ja-JP" sz="1100" b="0" i="0" strike="noStrike">
              <a:solidFill>
                <a:srgbClr val="000000"/>
              </a:solidFill>
              <a:latin typeface="ＭＳ Ｐゴシック"/>
              <a:ea typeface="ＭＳ Ｐゴシック"/>
            </a:rPr>
            <a:t>3.0</a:t>
          </a:r>
        </a:p>
      </cdr:txBody>
    </cdr:sp>
  </cdr:relSizeAnchor>
  <cdr:relSizeAnchor xmlns:cdr="http://schemas.openxmlformats.org/drawingml/2006/chartDrawing">
    <cdr:from>
      <cdr:x>0.88809</cdr:x>
      <cdr:y>0.43539</cdr:y>
    </cdr:from>
    <cdr:to>
      <cdr:x>0.98323</cdr:x>
      <cdr:y>0.52162</cdr:y>
    </cdr:to>
    <cdr:sp macro="" textlink="">
      <cdr:nvSpPr>
        <cdr:cNvPr id="11273" name="Text Box 12"/>
        <cdr:cNvSpPr txBox="1">
          <a:spLocks xmlns:a="http://schemas.openxmlformats.org/drawingml/2006/main" noChangeArrowheads="1"/>
        </cdr:cNvSpPr>
      </cdr:nvSpPr>
      <cdr:spPr bwMode="auto">
        <a:xfrm xmlns:a="http://schemas.openxmlformats.org/drawingml/2006/main">
          <a:off x="2490124" y="1060676"/>
          <a:ext cx="266452" cy="209443"/>
        </a:xfrm>
        <a:prstGeom xmlns:a="http://schemas.openxmlformats.org/drawingml/2006/main" prst="rect">
          <a:avLst/>
        </a:prstGeom>
        <a:noFill xmlns:a="http://schemas.openxmlformats.org/drawingml/2006/main"/>
        <a:ln xmlns:a="http://schemas.openxmlformats.org/drawingml/2006/main" w="1">
          <a:noFill/>
          <a:miter lim="800000"/>
          <a:headEnd/>
          <a:tailEnd/>
        </a:ln>
      </cdr:spPr>
      <cdr:txBody>
        <a:bodyPr xmlns:a="http://schemas.openxmlformats.org/drawingml/2006/main" vertOverflow="clip" wrap="square" lIns="18288" tIns="18288" rIns="18288" bIns="18288" anchor="ctr" upright="1"/>
        <a:lstStyle xmlns:a="http://schemas.openxmlformats.org/drawingml/2006/main"/>
        <a:p xmlns:a="http://schemas.openxmlformats.org/drawingml/2006/main">
          <a:pPr algn="ctr" rtl="1">
            <a:defRPr sz="1000"/>
          </a:pPr>
          <a:r>
            <a:rPr lang="en-US" altLang="ja-JP" sz="1100" b="0" i="0" strike="noStrike">
              <a:solidFill>
                <a:srgbClr val="000000"/>
              </a:solidFill>
              <a:latin typeface="ＭＳ Ｐゴシック"/>
              <a:ea typeface="ＭＳ Ｐゴシック"/>
            </a:rPr>
            <a:t>0.5</a:t>
          </a:r>
        </a:p>
      </cdr:txBody>
    </cdr:sp>
  </cdr:relSizeAnchor>
  <cdr:relSizeAnchor xmlns:cdr="http://schemas.openxmlformats.org/drawingml/2006/chartDrawing">
    <cdr:from>
      <cdr:x>0.61802</cdr:x>
      <cdr:y>0.01719</cdr:y>
    </cdr:from>
    <cdr:to>
      <cdr:x>0.69207</cdr:x>
      <cdr:y>0.10826</cdr:y>
    </cdr:to>
    <cdr:sp macro="" textlink="">
      <cdr:nvSpPr>
        <cdr:cNvPr id="13325" name="Text Box 13"/>
        <cdr:cNvSpPr txBox="1">
          <a:spLocks xmlns:a="http://schemas.openxmlformats.org/drawingml/2006/main" noChangeArrowheads="1"/>
        </cdr:cNvSpPr>
      </cdr:nvSpPr>
      <cdr:spPr bwMode="auto">
        <a:xfrm xmlns:a="http://schemas.openxmlformats.org/drawingml/2006/main">
          <a:off x="1724786" y="41595"/>
          <a:ext cx="206660" cy="22031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18288" tIns="18288" rIns="18288" bIns="18288" anchor="ctr" upright="1">
          <a:spAutoFit/>
        </a:bodyPr>
        <a:lstStyle xmlns:a="http://schemas.openxmlformats.org/drawingml/2006/main"/>
        <a:p xmlns:a="http://schemas.openxmlformats.org/drawingml/2006/main">
          <a:pPr algn="ctr" rtl="0">
            <a:defRPr sz="1000"/>
          </a:pPr>
          <a:r>
            <a:rPr lang="en-US" altLang="ja-JP" sz="1100" b="0" i="0" strike="noStrike">
              <a:solidFill>
                <a:srgbClr val="000000"/>
              </a:solidFill>
              <a:latin typeface="ＭＳ Ｐゴシック"/>
              <a:ea typeface="ＭＳ Ｐゴシック"/>
            </a:rPr>
            <a:t>1.5</a:t>
          </a:r>
        </a:p>
      </cdr:txBody>
    </cdr:sp>
  </cdr:relSizeAnchor>
  <cdr:relSizeAnchor xmlns:cdr="http://schemas.openxmlformats.org/drawingml/2006/chartDrawing">
    <cdr:from>
      <cdr:x>0.77402</cdr:x>
      <cdr:y>0.01719</cdr:y>
    </cdr:from>
    <cdr:to>
      <cdr:x>0.96279</cdr:x>
      <cdr:y>0.10826</cdr:y>
    </cdr:to>
    <cdr:sp macro="" textlink="">
      <cdr:nvSpPr>
        <cdr:cNvPr id="13326" name="Text Box 14"/>
        <cdr:cNvSpPr txBox="1">
          <a:spLocks xmlns:a="http://schemas.openxmlformats.org/drawingml/2006/main" noChangeArrowheads="1"/>
        </cdr:cNvSpPr>
      </cdr:nvSpPr>
      <cdr:spPr bwMode="auto">
        <a:xfrm xmlns:a="http://schemas.openxmlformats.org/drawingml/2006/main">
          <a:off x="2160161" y="41595"/>
          <a:ext cx="526811" cy="22031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18288" tIns="18288" rIns="18288" bIns="18288" anchor="ctr" upright="1">
          <a:spAutoFit/>
        </a:bodyPr>
        <a:lstStyle xmlns:a="http://schemas.openxmlformats.org/drawingml/2006/main"/>
        <a:p xmlns:a="http://schemas.openxmlformats.org/drawingml/2006/main">
          <a:pPr algn="ctr" rtl="0">
            <a:defRPr sz="1000"/>
          </a:pPr>
          <a:r>
            <a:rPr lang="en-US" altLang="ja-JP" sz="1100" b="0" i="0" strike="noStrike">
              <a:solidFill>
                <a:srgbClr val="000000"/>
              </a:solidFill>
              <a:latin typeface="ＭＳ Ｐゴシック"/>
              <a:ea typeface="ＭＳ Ｐゴシック"/>
            </a:rPr>
            <a:t>BEE=1.0</a:t>
          </a:r>
        </a:p>
      </cdr:txBody>
    </cdr:sp>
  </cdr:relSizeAnchor>
</c:userShapes>
</file>

<file path=xl/drawings/drawing20.xml><?xml version="1.0" encoding="utf-8"?>
<xdr:wsDr xmlns:xdr="http://schemas.openxmlformats.org/drawingml/2006/spreadsheetDrawing" xmlns:a="http://schemas.openxmlformats.org/drawingml/2006/main">
  <xdr:twoCellAnchor>
    <xdr:from>
      <xdr:col>38</xdr:col>
      <xdr:colOff>66676</xdr:colOff>
      <xdr:row>128</xdr:row>
      <xdr:rowOff>47625</xdr:rowOff>
    </xdr:from>
    <xdr:to>
      <xdr:col>50</xdr:col>
      <xdr:colOff>466726</xdr:colOff>
      <xdr:row>138</xdr:row>
      <xdr:rowOff>95250</xdr:rowOff>
    </xdr:to>
    <xdr:sp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6172201" y="21993225"/>
          <a:ext cx="8058150" cy="1762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FF0000"/>
              </a:solidFill>
            </a:rPr>
            <a:t>LR1</a:t>
          </a:r>
          <a:r>
            <a:rPr kumimoji="1" lang="ja-JP" altLang="en-US" sz="1050" b="1">
              <a:solidFill>
                <a:srgbClr val="FF0000"/>
              </a:solidFill>
            </a:rPr>
            <a:t>「１．建物外皮の熱負荷抑制」「３．設備システムの高効率化」は、</a:t>
          </a:r>
          <a:r>
            <a:rPr kumimoji="1" lang="en-US" altLang="ja-JP" sz="1050" b="1">
              <a:solidFill>
                <a:srgbClr val="FF0000"/>
              </a:solidFill>
            </a:rPr>
            <a:t>CASBEE-</a:t>
          </a:r>
          <a:r>
            <a:rPr kumimoji="1" lang="ja-JP" altLang="en-US" sz="1050" b="1">
              <a:solidFill>
                <a:srgbClr val="FF0000"/>
              </a:solidFill>
            </a:rPr>
            <a:t>建築（新築）評価ソフト「計画書シート」で評価します。</a:t>
          </a:r>
          <a:endParaRPr kumimoji="1" lang="en-US" altLang="ja-JP" sz="1050" b="1">
            <a:solidFill>
              <a:srgbClr val="FF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314325</xdr:colOff>
      <xdr:row>0</xdr:row>
      <xdr:rowOff>104775</xdr:rowOff>
    </xdr:from>
    <xdr:to>
      <xdr:col>17</xdr:col>
      <xdr:colOff>657225</xdr:colOff>
      <xdr:row>35</xdr:row>
      <xdr:rowOff>161925</xdr:rowOff>
    </xdr:to>
    <xdr:sp textlink="">
      <xdr:nvSpPr>
        <xdr:cNvPr id="4098" name="Text Box 2">
          <a:extLst>
            <a:ext uri="{FF2B5EF4-FFF2-40B4-BE49-F238E27FC236}">
              <a16:creationId xmlns:a16="http://schemas.microsoft.com/office/drawing/2014/main" id="{00000000-0008-0000-1400-000002100000}"/>
            </a:ext>
          </a:extLst>
        </xdr:cNvPr>
        <xdr:cNvSpPr txBox="1">
          <a:spLocks noChangeArrowheads="1"/>
        </xdr:cNvSpPr>
      </xdr:nvSpPr>
      <xdr:spPr bwMode="auto">
        <a:xfrm>
          <a:off x="4400550" y="104775"/>
          <a:ext cx="7010400" cy="6124575"/>
        </a:xfrm>
        <a:prstGeom prst="rect">
          <a:avLst/>
        </a:prstGeom>
        <a:noFill/>
        <a:ln w="12700">
          <a:solidFill>
            <a:srgbClr val="000000"/>
          </a:solidFill>
          <a:miter lim="800000"/>
          <a:headEnd/>
          <a:tailEnd/>
        </a:ln>
      </xdr:spPr>
      <xdr:txBody>
        <a:bodyPr vertOverflow="clip" wrap="square" lIns="180000" tIns="180000" rIns="180000" bIns="180000" anchor="t" upright="1"/>
        <a:lstStyle/>
        <a:p>
          <a:pPr algn="l" rtl="0">
            <a:lnSpc>
              <a:spcPts val="1300"/>
            </a:lnSpc>
            <a:defRPr sz="1000"/>
          </a:pPr>
          <a:r>
            <a:rPr lang="ja-JP" altLang="en-US" sz="1100" b="0" i="0" u="none" strike="noStrike" baseline="0">
              <a:solidFill>
                <a:srgbClr val="FF0000"/>
              </a:solidFill>
              <a:latin typeface="ＭＳ Ｐゴシック"/>
              <a:ea typeface="ＭＳ Ｐゴシック"/>
            </a:rPr>
            <a:t>　　</a:t>
          </a:r>
        </a:p>
        <a:p>
          <a:pPr algn="l" rtl="0">
            <a:lnSpc>
              <a:spcPts val="1300"/>
            </a:lnSpc>
            <a:defRPr sz="1000"/>
          </a:pPr>
          <a:r>
            <a:rPr lang="ja-JP" altLang="en-US" sz="1100" b="0" i="0" u="none" strike="noStrike" baseline="0">
              <a:solidFill>
                <a:srgbClr val="FF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建築環境総合性能評価システム 　　CASBEE</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建築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新築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評価ソフト</a:t>
          </a:r>
        </a:p>
        <a:p>
          <a:pPr algn="l" rtl="0">
            <a:lnSpc>
              <a:spcPts val="1300"/>
            </a:lnSpc>
            <a:defRPr sz="1000"/>
          </a:pPr>
          <a:r>
            <a:rPr lang="ja-JP" altLang="en-US" sz="1100" b="0" i="0" u="none" strike="noStrike" baseline="0">
              <a:solidFill>
                <a:srgbClr val="000000"/>
              </a:solidFill>
              <a:latin typeface="ＭＳ Ｐゴシック"/>
              <a:ea typeface="ＭＳ Ｐゴシック"/>
            </a:rPr>
            <a:t>　　　　　　　　　　　　　　　　　　　          　　　　　　　　　　 　　</a:t>
          </a:r>
        </a:p>
        <a:p>
          <a:pPr algn="l" rtl="0">
            <a:lnSpc>
              <a:spcPts val="1300"/>
            </a:lnSpc>
            <a:defRPr sz="1000"/>
          </a:pPr>
          <a:r>
            <a:rPr lang="ja-JP" altLang="en-US" sz="1100" b="0" i="0" u="none" strike="noStrike" baseline="0">
              <a:solidFill>
                <a:srgbClr val="000000"/>
              </a:solidFill>
              <a:latin typeface="ＭＳ Ｐゴシック"/>
              <a:ea typeface="ＭＳ Ｐゴシック"/>
            </a:rPr>
            <a:t>       Microsoft Excel 20</a:t>
          </a: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版</a:t>
          </a:r>
        </a:p>
        <a:p>
          <a:pPr algn="l" rtl="0">
            <a:lnSpc>
              <a:spcPts val="1300"/>
            </a:lnSpc>
            <a:defRPr sz="1000"/>
          </a:pPr>
          <a:r>
            <a:rPr lang="ja-JP" altLang="en-US" sz="1100" b="0" i="0" u="none" strike="noStrike" baseline="0">
              <a:solidFill>
                <a:srgbClr val="000000"/>
              </a:solidFill>
              <a:latin typeface="ＭＳ Ｐゴシック"/>
              <a:ea typeface="ＭＳ Ｐゴシック"/>
            </a:rPr>
            <a:t>       CASBEE</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BD</a:t>
          </a:r>
          <a:r>
            <a:rPr lang="en-US" altLang="ja-JP" sz="1100" b="0" i="0" u="none" strike="noStrike" baseline="0">
              <a:solidFill>
                <a:srgbClr val="000000"/>
              </a:solidFill>
              <a:latin typeface="ＭＳ Ｐゴシック"/>
              <a:ea typeface="ＭＳ Ｐゴシック"/>
            </a:rPr>
            <a:t>_</a:t>
          </a:r>
          <a:r>
            <a:rPr lang="ja-JP" altLang="en-US" sz="1100" b="0" i="0" u="none" strike="noStrike" baseline="0">
              <a:solidFill>
                <a:srgbClr val="000000"/>
              </a:solidFill>
              <a:latin typeface="ＭＳ Ｐゴシック"/>
              <a:ea typeface="ＭＳ Ｐゴシック"/>
            </a:rPr>
            <a:t>NC_201</a:t>
          </a:r>
          <a:r>
            <a:rPr lang="en-US" altLang="ja-JP" sz="1100" b="0" i="0" u="none" strike="noStrike" baseline="0">
              <a:solidFill>
                <a:srgbClr val="000000"/>
              </a:solidFill>
              <a:latin typeface="ＭＳ Ｐゴシック"/>
              <a:ea typeface="ＭＳ Ｐゴシック"/>
            </a:rPr>
            <a:t>6</a:t>
          </a:r>
          <a:r>
            <a:rPr lang="ja-JP" altLang="en-US" sz="1100" b="0" i="0" u="none" strike="noStrike" baseline="0">
              <a:solidFill>
                <a:srgbClr val="000000"/>
              </a:solidFill>
              <a:latin typeface="ＭＳ Ｐゴシック"/>
              <a:ea typeface="ＭＳ Ｐゴシック"/>
            </a:rPr>
            <a:t>(v.</a:t>
          </a:r>
          <a:r>
            <a:rPr lang="en-US" altLang="ja-JP" sz="1100" b="0" i="0" u="none" strike="noStrike" baseline="0">
              <a:solidFill>
                <a:srgbClr val="000000"/>
              </a:solidFill>
              <a:latin typeface="ＭＳ Ｐゴシック"/>
              <a:ea typeface="ＭＳ Ｐゴシック"/>
            </a:rPr>
            <a:t>4.01</a:t>
          </a:r>
          <a:r>
            <a:rPr lang="ja-JP" altLang="en-US" sz="1100" b="0" i="0" u="none" strike="noStrike" baseline="0">
              <a:solidFill>
                <a:srgbClr val="000000"/>
              </a:solidFill>
              <a:latin typeface="ＭＳ Ｐゴシック"/>
              <a:ea typeface="ＭＳ Ｐゴシック"/>
            </a:rPr>
            <a:t>)</a:t>
          </a:r>
        </a:p>
        <a:p>
          <a:pPr algn="l" rtl="0">
            <a:lnSpc>
              <a:spcPts val="1300"/>
            </a:lnSpc>
            <a:defRPr sz="1000"/>
          </a:pPr>
          <a:r>
            <a:rPr lang="ja-JP" altLang="en-US" sz="1100" b="0" i="0" u="none" strike="noStrike" baseline="0">
              <a:solidFill>
                <a:srgbClr val="000000"/>
              </a:solidFill>
              <a:latin typeface="ＭＳ Ｐゴシック"/>
              <a:ea typeface="ＭＳ Ｐゴシック"/>
            </a:rPr>
            <a:t>　　　　　　　　　　　　　　　　　　</a:t>
          </a:r>
        </a:p>
        <a:p>
          <a:pPr algn="l" rtl="0">
            <a:lnSpc>
              <a:spcPts val="1300"/>
            </a:lnSpc>
            <a:defRPr sz="1000"/>
          </a:pPr>
          <a:r>
            <a:rPr lang="ja-JP" altLang="en-US" sz="1100" b="0" i="0" u="none" strike="noStrike" baseline="0">
              <a:solidFill>
                <a:srgbClr val="000000"/>
              </a:solidFill>
              <a:latin typeface="ＭＳ Ｐゴシック"/>
              <a:ea typeface="ＭＳ Ｐゴシック"/>
            </a:rPr>
            <a:t>       201</a:t>
          </a:r>
          <a:r>
            <a:rPr lang="en-US" altLang="ja-JP" sz="1100" b="0" i="0" u="none" strike="noStrike" baseline="0">
              <a:solidFill>
                <a:srgbClr val="000000"/>
              </a:solidFill>
              <a:latin typeface="ＭＳ Ｐゴシック"/>
              <a:ea typeface="ＭＳ Ｐゴシック"/>
            </a:rPr>
            <a:t>6</a:t>
          </a:r>
          <a:r>
            <a:rPr lang="ja-JP" altLang="en-US" sz="1100" b="0" i="0" u="none" strike="noStrike" baseline="0">
              <a:solidFill>
                <a:srgbClr val="000000"/>
              </a:solidFill>
              <a:latin typeface="ＭＳ Ｐゴシック"/>
              <a:ea typeface="ＭＳ Ｐゴシック"/>
            </a:rPr>
            <a:t>年 </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月発行　（2004年 7月初版）</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編集協力　　 　国土交通省住宅局</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ソフト開発者　 一般社団法人　日本サステナブル建築協会　（JSBC)　　　</a:t>
          </a:r>
        </a:p>
        <a:p>
          <a:pPr algn="l" rtl="0">
            <a:defRPr sz="1000"/>
          </a:pPr>
          <a:r>
            <a:rPr lang="ja-JP" altLang="en-US" sz="1100" b="0" i="0" u="none" strike="noStrike" baseline="0">
              <a:solidFill>
                <a:srgbClr val="000000"/>
              </a:solidFill>
              <a:latin typeface="ＭＳ Ｐゴシック"/>
              <a:ea typeface="ＭＳ Ｐゴシック"/>
            </a:rPr>
            <a:t>                          ( 建築物の総合的環境評価研究委員会 )　</a:t>
          </a:r>
        </a:p>
        <a:p>
          <a:pPr algn="l" rtl="0">
            <a:lnSpc>
              <a:spcPts val="1300"/>
            </a:lnSpc>
            <a:defRPr sz="1000"/>
          </a:pPr>
          <a:r>
            <a:rPr lang="ja-JP" altLang="en-US" sz="1100" b="0" i="0" u="none" strike="noStrike" baseline="0">
              <a:solidFill>
                <a:srgbClr val="000000"/>
              </a:solidFill>
              <a:latin typeface="ＭＳ Ｐゴシック"/>
              <a:ea typeface="ＭＳ Ｐゴシック"/>
            </a:rPr>
            <a:t>       </a:t>
          </a:r>
        </a:p>
        <a:p>
          <a:pPr algn="l" rtl="0">
            <a:lnSpc>
              <a:spcPts val="1300"/>
            </a:lnSpc>
            <a:defRPr sz="1000"/>
          </a:pPr>
          <a:r>
            <a:rPr lang="ja-JP" altLang="en-US" sz="1100" b="0" i="0" u="none" strike="noStrike" baseline="0">
              <a:solidFill>
                <a:srgbClr val="000000"/>
              </a:solidFill>
              <a:latin typeface="ＭＳ Ｐゴシック"/>
              <a:ea typeface="ＭＳ Ｐゴシック"/>
            </a:rPr>
            <a:t>       企画・発行　　一般財団法人　建築環境・省エネルギー機構　　　　　　</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ソフトの内容等に関する問い合わせ　  </a:t>
          </a:r>
        </a:p>
        <a:p>
          <a:pPr algn="l" rtl="0">
            <a:lnSpc>
              <a:spcPts val="1300"/>
            </a:lnSpc>
            <a:defRPr sz="1000"/>
          </a:pPr>
          <a:r>
            <a:rPr lang="ja-JP" altLang="en-US" sz="1100" b="0" i="0" u="none" strike="noStrike" baseline="0">
              <a:solidFill>
                <a:srgbClr val="000000"/>
              </a:solidFill>
              <a:latin typeface="ＭＳ Ｐゴシック"/>
              <a:ea typeface="ＭＳ Ｐゴシック"/>
            </a:rPr>
            <a:t>　　　　　本ソフトの内容に関するご質問は、下記連絡先までE-mailにてお送りください。</a:t>
          </a:r>
        </a:p>
        <a:p>
          <a:pPr algn="l" rtl="0">
            <a:lnSpc>
              <a:spcPts val="1300"/>
            </a:lnSpc>
            <a:defRPr sz="1000"/>
          </a:pPr>
          <a:r>
            <a:rPr lang="ja-JP" altLang="en-US" sz="1100" b="0" i="0" u="none" strike="noStrike" baseline="0">
              <a:solidFill>
                <a:srgbClr val="000000"/>
              </a:solidFill>
              <a:latin typeface="ＭＳ Ｐゴシック"/>
              <a:ea typeface="ＭＳ Ｐゴシック"/>
            </a:rPr>
            <a:t>　　　　　なお、回答までに日数を要する場合がありますので、予めご了承ください。</a:t>
          </a:r>
        </a:p>
        <a:p>
          <a:pPr algn="l" rtl="0">
            <a:defRPr sz="1000"/>
          </a:pPr>
          <a:r>
            <a:rPr lang="ja-JP" altLang="en-US" sz="1100" b="0" i="0" u="none" strike="noStrike" baseline="0">
              <a:solidFill>
                <a:srgbClr val="000000"/>
              </a:solidFill>
              <a:latin typeface="ＭＳ Ｐゴシック"/>
              <a:ea typeface="ＭＳ Ｐゴシック"/>
            </a:rPr>
            <a:t>　　　　　また、Microsoft Windows、Microsoft Excel 20</a:t>
          </a: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 等の操作に関しては、</a:t>
          </a:r>
        </a:p>
        <a:p>
          <a:pPr algn="l" rtl="0">
            <a:lnSpc>
              <a:spcPts val="1300"/>
            </a:lnSpc>
            <a:defRPr sz="1000"/>
          </a:pPr>
          <a:r>
            <a:rPr lang="ja-JP" altLang="en-US" sz="1100" b="0" i="0" u="none" strike="noStrike" baseline="0">
              <a:solidFill>
                <a:srgbClr val="000000"/>
              </a:solidFill>
              <a:latin typeface="ＭＳ Ｐゴシック"/>
              <a:ea typeface="ＭＳ Ｐゴシック"/>
            </a:rPr>
            <a:t>          それぞれの操作マニュアルをご覧ください。</a:t>
          </a:r>
        </a:p>
        <a:p>
          <a:pPr algn="l" rtl="0">
            <a:defRPr sz="1000"/>
          </a:pPr>
          <a:r>
            <a:rPr lang="ja-JP" altLang="en-US" sz="1100" b="0" i="0" u="none" strike="noStrike" baseline="0">
              <a:solidFill>
                <a:srgbClr val="000000"/>
              </a:solidFill>
              <a:latin typeface="ＭＳ Ｐゴシック"/>
              <a:ea typeface="ＭＳ Ｐゴシック"/>
            </a:rPr>
            <a:t>　　　　　　　　　　　　</a:t>
          </a:r>
        </a:p>
        <a:p>
          <a:pPr algn="l" rtl="0">
            <a:lnSpc>
              <a:spcPts val="1300"/>
            </a:lnSpc>
            <a:defRPr sz="1000"/>
          </a:pPr>
          <a:r>
            <a:rPr lang="ja-JP" altLang="en-US" sz="1100" b="0" i="0" u="none" strike="noStrike" baseline="0">
              <a:solidFill>
                <a:srgbClr val="000000"/>
              </a:solidFill>
              <a:latin typeface="ＭＳ Ｐゴシック"/>
              <a:ea typeface="ＭＳ Ｐゴシック"/>
            </a:rPr>
            <a:t>　　　　　一般社団法人　日本サステナブル建築協会</a:t>
          </a:r>
        </a:p>
        <a:p>
          <a:pPr algn="l" rtl="0">
            <a:lnSpc>
              <a:spcPts val="1300"/>
            </a:lnSpc>
            <a:defRPr sz="1000"/>
          </a:pPr>
          <a:r>
            <a:rPr lang="ja-JP" altLang="en-US" sz="1100" b="0" i="0" u="none" strike="noStrike" baseline="0">
              <a:solidFill>
                <a:srgbClr val="000000"/>
              </a:solidFill>
              <a:latin typeface="ＭＳ Ｐゴシック"/>
              <a:ea typeface="ＭＳ Ｐゴシック"/>
            </a:rPr>
            <a:t>　　　　　〒102-0083　東京都千代田区麹町３－５－１全共連ビル麹町館</a:t>
          </a:r>
        </a:p>
        <a:p>
          <a:pPr algn="l" rtl="0">
            <a:defRPr sz="1000"/>
          </a:pPr>
          <a:r>
            <a:rPr lang="ja-JP" altLang="en-US" sz="1100" b="0" i="0" u="none" strike="noStrike" baseline="0">
              <a:solidFill>
                <a:srgbClr val="000000"/>
              </a:solidFill>
              <a:latin typeface="ＭＳ Ｐゴシック"/>
              <a:ea typeface="ＭＳ Ｐゴシック"/>
            </a:rPr>
            <a:t>　　　　　E-Mail  casbee-info@jsbc.or.jp</a:t>
          </a:r>
        </a:p>
        <a:p>
          <a:pPr algn="l" rtl="0">
            <a:lnSpc>
              <a:spcPts val="1300"/>
            </a:lnSpc>
            <a:defRPr sz="1000"/>
          </a:pPr>
          <a:r>
            <a:rPr lang="ja-JP" altLang="en-US" sz="1100" b="0" i="0" u="none" strike="noStrike" baseline="0">
              <a:solidFill>
                <a:srgbClr val="000000"/>
              </a:solidFill>
              <a:latin typeface="ＭＳ Ｐゴシック"/>
              <a:ea typeface="ＭＳ Ｐゴシック"/>
            </a:rPr>
            <a:t>　　　　　URL　http://www.jsbc.or.jp/CASBEE　　</a:t>
          </a:r>
        </a:p>
        <a:p>
          <a:pPr algn="l" rtl="0">
            <a:lnSpc>
              <a:spcPts val="1300"/>
            </a:lnSpc>
            <a:defRPr sz="1000"/>
          </a:pPr>
          <a:r>
            <a:rPr lang="ja-JP" altLang="en-US" sz="1100" b="0" i="0" u="none" strike="noStrike" baseline="0">
              <a:solidFill>
                <a:srgbClr val="000000"/>
              </a:solidFill>
              <a:latin typeface="ＭＳ Ｐゴシック"/>
              <a:ea typeface="ＭＳ Ｐゴシック"/>
            </a:rPr>
            <a:t>　　　　　</a:t>
          </a:r>
        </a:p>
        <a:p>
          <a:pPr algn="l" rtl="0">
            <a:lnSpc>
              <a:spcPts val="1300"/>
            </a:lnSpc>
            <a:defRPr sz="1000"/>
          </a:pPr>
          <a:r>
            <a:rPr lang="ja-JP" altLang="en-US" sz="1100" b="0" i="0" u="none" strike="noStrike" baseline="0">
              <a:solidFill>
                <a:srgbClr val="000000"/>
              </a:solidFill>
              <a:latin typeface="ＭＳ Ｐゴシック"/>
              <a:ea typeface="ＭＳ Ｐゴシック"/>
            </a:rPr>
            <a:t> Copyright ©201</a:t>
          </a:r>
          <a:r>
            <a:rPr lang="en-US" altLang="ja-JP" sz="1100" b="0" i="0" u="none" strike="noStrike" baseline="0">
              <a:solidFill>
                <a:srgbClr val="000000"/>
              </a:solidFill>
              <a:latin typeface="ＭＳ Ｐゴシック"/>
              <a:ea typeface="ＭＳ Ｐゴシック"/>
            </a:rPr>
            <a:t>6</a:t>
          </a:r>
          <a:r>
            <a:rPr lang="ja-JP" altLang="en-US" sz="1100" b="0" i="0" u="none" strike="noStrike" baseline="0">
              <a:solidFill>
                <a:srgbClr val="000000"/>
              </a:solidFill>
              <a:latin typeface="ＭＳ Ｐゴシック"/>
              <a:ea typeface="ＭＳ Ｐゴシック"/>
            </a:rPr>
            <a:t> Japan Sustainable Building Consortium (JSBC)</a:t>
          </a:r>
        </a:p>
      </xdr:txBody>
    </xdr:sp>
    <xdr:clientData/>
  </xdr:twoCellAnchor>
  <xdr:twoCellAnchor>
    <xdr:from>
      <xdr:col>1</xdr:col>
      <xdr:colOff>47625</xdr:colOff>
      <xdr:row>0</xdr:row>
      <xdr:rowOff>95250</xdr:rowOff>
    </xdr:from>
    <xdr:to>
      <xdr:col>7</xdr:col>
      <xdr:colOff>200025</xdr:colOff>
      <xdr:row>35</xdr:row>
      <xdr:rowOff>152400</xdr:rowOff>
    </xdr:to>
    <xdr:sp textlink="">
      <xdr:nvSpPr>
        <xdr:cNvPr id="4099" name="Text Box 3">
          <a:extLst>
            <a:ext uri="{FF2B5EF4-FFF2-40B4-BE49-F238E27FC236}">
              <a16:creationId xmlns:a16="http://schemas.microsoft.com/office/drawing/2014/main" id="{00000000-0008-0000-1400-000003100000}"/>
            </a:ext>
          </a:extLst>
        </xdr:cNvPr>
        <xdr:cNvSpPr txBox="1">
          <a:spLocks noChangeArrowheads="1"/>
        </xdr:cNvSpPr>
      </xdr:nvSpPr>
      <xdr:spPr bwMode="auto">
        <a:xfrm>
          <a:off x="133350" y="95250"/>
          <a:ext cx="4152900" cy="6124575"/>
        </a:xfrm>
        <a:prstGeom prst="rect">
          <a:avLst/>
        </a:prstGeom>
        <a:noFill/>
        <a:ln w="12700">
          <a:solidFill>
            <a:srgbClr val="000000"/>
          </a:solidFill>
          <a:miter lim="800000"/>
          <a:headEnd/>
          <a:tailEnd/>
        </a:ln>
      </xdr:spPr>
      <xdr:txBody>
        <a:bodyPr vertOverflow="clip" wrap="square" lIns="180000" tIns="180000" rIns="180000" bIns="18000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注意事項</a:t>
          </a:r>
        </a:p>
        <a:p>
          <a:pPr algn="l" rtl="0">
            <a:lnSpc>
              <a:spcPts val="1300"/>
            </a:lnSpc>
            <a:defRPr sz="1000"/>
          </a:pPr>
          <a:r>
            <a:rPr lang="ja-JP" altLang="en-US" sz="1100" b="0" i="0" u="none" strike="noStrike" baseline="0">
              <a:solidFill>
                <a:srgbClr val="000000"/>
              </a:solidFill>
              <a:latin typeface="ＭＳ Ｐゴシック"/>
              <a:ea typeface="ＭＳ Ｐゴシック"/>
            </a:rPr>
            <a:t>1) Microsoft Excel</a:t>
          </a:r>
          <a:r>
            <a:rPr lang="ja-JP" altLang="en-US" sz="1100" b="0" i="0" u="none" strike="noStrike" baseline="0">
              <a:solidFill>
                <a:srgbClr val="FF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2013 </a:t>
          </a:r>
          <a:r>
            <a:rPr lang="ja-JP" altLang="en-US" sz="1100" b="0" i="0" u="none" strike="noStrike" baseline="0">
              <a:solidFill>
                <a:srgbClr val="000000"/>
              </a:solidFill>
              <a:latin typeface="ＭＳ Ｐゴシック"/>
              <a:ea typeface="ＭＳ Ｐゴシック"/>
            </a:rPr>
            <a:t>は、米国Microsoft Corporationの米国およびその他の国におけ る登録商標です。</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2) その他、記載されている会社名、製品名はすべて各社の登録商標または商標です。</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3) 「CASBEE</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建築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新築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評価ソフト」は、Microsoft </a:t>
          </a:r>
          <a:r>
            <a:rPr lang="ja-JP" altLang="en-US" sz="1100" b="0" i="0" u="none" strike="noStrike" baseline="0">
              <a:solidFill>
                <a:sysClr val="windowText" lastClr="000000"/>
              </a:solidFill>
              <a:latin typeface="ＭＳ Ｐゴシック"/>
              <a:ea typeface="ＭＳ Ｐゴシック"/>
            </a:rPr>
            <a:t>Excel </a:t>
          </a:r>
          <a:r>
            <a:rPr lang="en-US" altLang="ja-JP" sz="1100" b="0" i="0" u="none" strike="noStrike" baseline="0">
              <a:solidFill>
                <a:sysClr val="windowText" lastClr="000000"/>
              </a:solidFill>
              <a:latin typeface="ＭＳ Ｐゴシック"/>
              <a:ea typeface="ＭＳ Ｐゴシック"/>
            </a:rPr>
            <a:t>2013 </a:t>
          </a:r>
          <a:r>
            <a:rPr lang="ja-JP" altLang="en-US" sz="1100" b="0" i="0" u="none" strike="noStrike" baseline="0">
              <a:solidFill>
                <a:srgbClr val="000000"/>
              </a:solidFill>
              <a:latin typeface="ＭＳ Ｐゴシック"/>
              <a:ea typeface="ＭＳ Ｐゴシック"/>
            </a:rPr>
            <a:t>上で開発されたデータファイルです。これらのデータファイルは、著作権法上の保護を受けています。開発・著者、企画・発行者の許諾を得ず、無断で複製、転載(改造した場合も含む）することは禁止されております。</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4) ただし、この評価ソフトを用いて、利用者の皆様が作成した入力および出力結果を使用する場合はこの限りではありません。その場合、この評価ソフトを利用した旨を明記してください。なお、パソコンの画面画像を使用する場合には、別途、Microsoft Corporationの許諾が必要になる場合がありますのでご注意ください。</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5) この評価ソフトおよび操作マニュアルを運用した結果の影響については、いっさい責任を負いかねますのでご了承ください。</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6) この評価ソフトの仕様および操作マニュアルの記載事項は、将来予告なしに変更することがあります。</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7) この評価ソフトは Microsoft Excel </a:t>
          </a:r>
          <a:r>
            <a:rPr lang="en-US" altLang="ja-JP" sz="1100" b="0" i="0" u="none" strike="noStrike" baseline="0">
              <a:solidFill>
                <a:srgbClr val="000000"/>
              </a:solidFill>
              <a:latin typeface="ＭＳ Ｐゴシック"/>
              <a:ea typeface="ＭＳ Ｐゴシック"/>
            </a:rPr>
            <a:t>2013 </a:t>
          </a:r>
          <a:r>
            <a:rPr lang="ja-JP" altLang="en-US" sz="1100" b="0" i="0" u="none" strike="noStrike" baseline="0">
              <a:solidFill>
                <a:srgbClr val="000000"/>
              </a:solidFill>
              <a:latin typeface="ＭＳ Ｐゴシック"/>
              <a:ea typeface="ＭＳ Ｐゴシック"/>
            </a:rPr>
            <a:t>で作成されたものであり、全てのコンピューター上での動作を保障するものではありません。</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3.xml><?xml version="1.0" encoding="utf-8"?>
<c:userShapes xmlns:c="http://schemas.openxmlformats.org/drawingml/2006/chart">
  <cdr:relSizeAnchor xmlns:cdr="http://schemas.openxmlformats.org/drawingml/2006/chartDrawing">
    <cdr:from>
      <cdr:x>0.07948</cdr:x>
      <cdr:y>0.44568</cdr:y>
    </cdr:from>
    <cdr:to>
      <cdr:x>0.98098</cdr:x>
      <cdr:y>0.44568</cdr:y>
    </cdr:to>
    <cdr:sp macro="" textlink="">
      <cdr:nvSpPr>
        <cdr:cNvPr id="7173" name="Line 5"/>
        <cdr:cNvSpPr>
          <a:spLocks xmlns:a="http://schemas.openxmlformats.org/drawingml/2006/main" noChangeShapeType="1"/>
        </cdr:cNvSpPr>
      </cdr:nvSpPr>
      <cdr:spPr bwMode="auto">
        <a:xfrm xmlns:a="http://schemas.openxmlformats.org/drawingml/2006/main">
          <a:off x="265865" y="703179"/>
          <a:ext cx="2979613"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0.56647</cdr:x>
      <cdr:y>0.65663</cdr:y>
    </cdr:from>
    <cdr:to>
      <cdr:x>0.72832</cdr:x>
      <cdr:y>0.80723</cdr:y>
    </cdr:to>
    <cdr:sp macro="" textlink="結果_IS!$T$51">
      <cdr:nvSpPr>
        <cdr:cNvPr id="2" name="テキスト ボックス 1"/>
        <cdr:cNvSpPr txBox="1"/>
      </cdr:nvSpPr>
      <cdr:spPr>
        <a:xfrm xmlns:a="http://schemas.openxmlformats.org/drawingml/2006/main">
          <a:off x="1866900" y="1038225"/>
          <a:ext cx="533400" cy="238125"/>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5CEA0FE4-9E4C-47CC-A16B-F8D9F9B432C6}" type="TxLink">
            <a:rPr lang="en-US" altLang="en-US" sz="1000" b="0" i="0" u="none" strike="noStrike">
              <a:solidFill>
                <a:srgbClr val="000000"/>
              </a:solidFill>
              <a:latin typeface="Arial"/>
              <a:cs typeface="Arial"/>
            </a:rPr>
            <a:pPr algn="ctr"/>
            <a:t> </a:t>
          </a:fld>
          <a:endParaRPr lang="ja-JP" altLang="en-US" sz="1000"/>
        </a:p>
      </cdr:txBody>
    </cdr:sp>
  </cdr:relSizeAnchor>
  <cdr:relSizeAnchor xmlns:cdr="http://schemas.openxmlformats.org/drawingml/2006/chartDrawing">
    <cdr:from>
      <cdr:x>0.11657</cdr:x>
      <cdr:y>0.65863</cdr:y>
    </cdr:from>
    <cdr:to>
      <cdr:x>0.27842</cdr:x>
      <cdr:y>0.80924</cdr:y>
    </cdr:to>
    <cdr:sp macro="" textlink="結果_IS!$T$49">
      <cdr:nvSpPr>
        <cdr:cNvPr id="4" name="テキスト ボックス 1"/>
        <cdr:cNvSpPr txBox="1"/>
      </cdr:nvSpPr>
      <cdr:spPr>
        <a:xfrm xmlns:a="http://schemas.openxmlformats.org/drawingml/2006/main">
          <a:off x="384175" y="1041400"/>
          <a:ext cx="533400" cy="2381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94C4E285-A8E4-48AA-B8C1-1F5506CF5C1E}" type="TxLink">
            <a:rPr lang="en-US" altLang="en-US" sz="1000" b="0" i="0" u="none" strike="noStrike">
              <a:solidFill>
                <a:srgbClr val="000000"/>
              </a:solidFill>
              <a:latin typeface="Arial"/>
              <a:cs typeface="Arial"/>
            </a:rPr>
            <a:pPr algn="ctr"/>
            <a:t> </a:t>
          </a:fld>
          <a:endParaRPr lang="ja-JP" altLang="en-US" sz="1000"/>
        </a:p>
      </cdr:txBody>
    </cdr:sp>
  </cdr:relSizeAnchor>
  <cdr:relSizeAnchor xmlns:cdr="http://schemas.openxmlformats.org/drawingml/2006/chartDrawing">
    <cdr:from>
      <cdr:x>0.342</cdr:x>
      <cdr:y>0.65261</cdr:y>
    </cdr:from>
    <cdr:to>
      <cdr:x>0.50385</cdr:x>
      <cdr:y>0.80321</cdr:y>
    </cdr:to>
    <cdr:sp macro="" textlink="結果_IS!$T$50">
      <cdr:nvSpPr>
        <cdr:cNvPr id="5" name="テキスト ボックス 1"/>
        <cdr:cNvSpPr txBox="1"/>
      </cdr:nvSpPr>
      <cdr:spPr>
        <a:xfrm xmlns:a="http://schemas.openxmlformats.org/drawingml/2006/main">
          <a:off x="1127125" y="1031875"/>
          <a:ext cx="533400" cy="2381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2B0D6710-1566-44D7-B091-D4CB2A9E1A7E}" type="TxLink">
            <a:rPr lang="en-US" altLang="en-US" sz="1000" b="0" i="0" u="none" strike="noStrike">
              <a:solidFill>
                <a:srgbClr val="000000"/>
              </a:solidFill>
              <a:latin typeface="Arial"/>
              <a:cs typeface="Arial"/>
            </a:rPr>
            <a:pPr algn="ctr"/>
            <a:t> </a:t>
          </a:fld>
          <a:endParaRPr lang="ja-JP" altLang="en-US" sz="1000"/>
        </a:p>
      </cdr:txBody>
    </cdr:sp>
  </cdr:relSizeAnchor>
  <cdr:relSizeAnchor xmlns:cdr="http://schemas.openxmlformats.org/drawingml/2006/chartDrawing">
    <cdr:from>
      <cdr:x>0.80154</cdr:x>
      <cdr:y>0.65863</cdr:y>
    </cdr:from>
    <cdr:to>
      <cdr:x>0.96339</cdr:x>
      <cdr:y>0.80924</cdr:y>
    </cdr:to>
    <cdr:sp macro="" textlink="結果_IS!$T$52">
      <cdr:nvSpPr>
        <cdr:cNvPr id="6" name="テキスト ボックス 1"/>
        <cdr:cNvSpPr txBox="1"/>
      </cdr:nvSpPr>
      <cdr:spPr>
        <a:xfrm xmlns:a="http://schemas.openxmlformats.org/drawingml/2006/main">
          <a:off x="2641600" y="1041400"/>
          <a:ext cx="533400" cy="2381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3537A117-80E8-4A06-9394-A34AE86B6393}" type="TxLink">
            <a:rPr lang="en-US" altLang="en-US" sz="1000" b="0" i="0" u="none" strike="noStrike">
              <a:solidFill>
                <a:srgbClr val="000000"/>
              </a:solidFill>
              <a:latin typeface="Arial"/>
              <a:cs typeface="Arial"/>
            </a:rPr>
            <a:pPr algn="ctr"/>
            <a:t> </a:t>
          </a:fld>
          <a:endParaRPr lang="ja-JP" altLang="en-US" sz="1000"/>
        </a:p>
      </cdr:txBody>
    </cdr:sp>
  </cdr:relSizeAnchor>
</c:userShapes>
</file>

<file path=xl/drawings/drawing4.xml><?xml version="1.0" encoding="utf-8"?>
<c:userShapes xmlns:c="http://schemas.openxmlformats.org/drawingml/2006/chart">
  <cdr:relSizeAnchor xmlns:cdr="http://schemas.openxmlformats.org/drawingml/2006/chartDrawing">
    <cdr:from>
      <cdr:x>0.07795</cdr:x>
      <cdr:y>0.44759</cdr:y>
    </cdr:from>
    <cdr:to>
      <cdr:x>0.99338</cdr:x>
      <cdr:y>0.44759</cdr:y>
    </cdr:to>
    <cdr:sp macro="" textlink="">
      <cdr:nvSpPr>
        <cdr:cNvPr id="10244" name="Line 4"/>
        <cdr:cNvSpPr>
          <a:spLocks xmlns:a="http://schemas.openxmlformats.org/drawingml/2006/main" noChangeShapeType="1"/>
        </cdr:cNvSpPr>
      </cdr:nvSpPr>
      <cdr:spPr bwMode="auto">
        <a:xfrm xmlns:a="http://schemas.openxmlformats.org/drawingml/2006/main">
          <a:off x="198942" y="715143"/>
          <a:ext cx="2719059"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0.12219</cdr:x>
      <cdr:y>0.66867</cdr:y>
    </cdr:from>
    <cdr:to>
      <cdr:x>0.3119</cdr:x>
      <cdr:y>0.81325</cdr:y>
    </cdr:to>
    <cdr:sp macro="" textlink="結果_IS!$W$49">
      <cdr:nvSpPr>
        <cdr:cNvPr id="2" name="テキスト ボックス 1"/>
        <cdr:cNvSpPr txBox="1"/>
      </cdr:nvSpPr>
      <cdr:spPr>
        <a:xfrm xmlns:a="http://schemas.openxmlformats.org/drawingml/2006/main">
          <a:off x="361950" y="1057275"/>
          <a:ext cx="561975" cy="228600"/>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3BB801B7-3F2D-48D5-BD75-950D6880779B}" type="TxLink">
            <a:rPr lang="en-US" altLang="en-US" sz="1000" b="0" i="0" u="none" strike="noStrike">
              <a:solidFill>
                <a:srgbClr val="000000"/>
              </a:solidFill>
              <a:latin typeface="Arial"/>
              <a:cs typeface="Arial"/>
            </a:rPr>
            <a:pPr algn="ctr"/>
            <a:t> </a:t>
          </a:fld>
          <a:endParaRPr lang="ja-JP" altLang="en-US" sz="1000"/>
        </a:p>
      </cdr:txBody>
    </cdr:sp>
  </cdr:relSizeAnchor>
  <cdr:relSizeAnchor xmlns:cdr="http://schemas.openxmlformats.org/drawingml/2006/chartDrawing">
    <cdr:from>
      <cdr:x>0.43837</cdr:x>
      <cdr:y>0.67068</cdr:y>
    </cdr:from>
    <cdr:to>
      <cdr:x>0.62808</cdr:x>
      <cdr:y>0.81526</cdr:y>
    </cdr:to>
    <cdr:sp macro="" textlink="結果_IS!$W$50">
      <cdr:nvSpPr>
        <cdr:cNvPr id="4" name="テキスト ボックス 1"/>
        <cdr:cNvSpPr txBox="1"/>
      </cdr:nvSpPr>
      <cdr:spPr>
        <a:xfrm xmlns:a="http://schemas.openxmlformats.org/drawingml/2006/main">
          <a:off x="1298575" y="1060450"/>
          <a:ext cx="561975" cy="228600"/>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EA58F746-8187-4480-ABD3-5F491D7B8C07}" type="TxLink">
            <a:rPr lang="en-US" altLang="en-US" sz="1000" b="0" i="0" u="none" strike="noStrike">
              <a:solidFill>
                <a:srgbClr val="000000"/>
              </a:solidFill>
              <a:latin typeface="Arial"/>
              <a:cs typeface="Arial"/>
            </a:rPr>
            <a:pPr algn="ctr"/>
            <a:t> </a:t>
          </a:fld>
          <a:endParaRPr lang="ja-JP" altLang="en-US" sz="1000"/>
        </a:p>
      </cdr:txBody>
    </cdr:sp>
  </cdr:relSizeAnchor>
  <cdr:relSizeAnchor xmlns:cdr="http://schemas.openxmlformats.org/drawingml/2006/chartDrawing">
    <cdr:from>
      <cdr:x>0.73741</cdr:x>
      <cdr:y>0.67068</cdr:y>
    </cdr:from>
    <cdr:to>
      <cdr:x>0.92712</cdr:x>
      <cdr:y>0.81526</cdr:y>
    </cdr:to>
    <cdr:sp macro="" textlink="結果_IS!$W$51">
      <cdr:nvSpPr>
        <cdr:cNvPr id="5" name="テキスト ボックス 1"/>
        <cdr:cNvSpPr txBox="1"/>
      </cdr:nvSpPr>
      <cdr:spPr>
        <a:xfrm xmlns:a="http://schemas.openxmlformats.org/drawingml/2006/main">
          <a:off x="2184400" y="1060450"/>
          <a:ext cx="561975" cy="228600"/>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936A66E5-2F2D-42D8-95DB-A2B582AC9157}" type="TxLink">
            <a:rPr lang="en-US" altLang="en-US" sz="1000" b="0" i="0" u="none" strike="noStrike">
              <a:solidFill>
                <a:srgbClr val="000000"/>
              </a:solidFill>
              <a:latin typeface="Arial"/>
              <a:cs typeface="Arial"/>
            </a:rPr>
            <a:pPr algn="ctr"/>
            <a:t> </a:t>
          </a:fld>
          <a:endParaRPr lang="ja-JP" altLang="en-US" sz="1000"/>
        </a:p>
      </cdr:txBody>
    </cdr:sp>
  </cdr:relSizeAnchor>
</c:userShapes>
</file>

<file path=xl/drawings/drawing5.xml><?xml version="1.0" encoding="utf-8"?>
<c:userShapes xmlns:c="http://schemas.openxmlformats.org/drawingml/2006/chart">
  <cdr:relSizeAnchor xmlns:cdr="http://schemas.openxmlformats.org/drawingml/2006/chartDrawing">
    <cdr:from>
      <cdr:x>0.07795</cdr:x>
      <cdr:y>0.44759</cdr:y>
    </cdr:from>
    <cdr:to>
      <cdr:x>0.99338</cdr:x>
      <cdr:y>0.44759</cdr:y>
    </cdr:to>
    <cdr:sp macro="" textlink="">
      <cdr:nvSpPr>
        <cdr:cNvPr id="10244" name="Line 4"/>
        <cdr:cNvSpPr>
          <a:spLocks xmlns:a="http://schemas.openxmlformats.org/drawingml/2006/main" noChangeShapeType="1"/>
        </cdr:cNvSpPr>
      </cdr:nvSpPr>
      <cdr:spPr bwMode="auto">
        <a:xfrm xmlns:a="http://schemas.openxmlformats.org/drawingml/2006/main">
          <a:off x="198942" y="715143"/>
          <a:ext cx="2719059"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0.39691</cdr:x>
      <cdr:y>0.67068</cdr:y>
    </cdr:from>
    <cdr:to>
      <cdr:x>0.64676</cdr:x>
      <cdr:y>0.81526</cdr:y>
    </cdr:to>
    <cdr:sp macro="" textlink="結果_IS!$Z$49">
      <cdr:nvSpPr>
        <cdr:cNvPr id="4" name="テキスト ボックス 1"/>
        <cdr:cNvSpPr txBox="1"/>
      </cdr:nvSpPr>
      <cdr:spPr>
        <a:xfrm xmlns:a="http://schemas.openxmlformats.org/drawingml/2006/main">
          <a:off x="733426" y="1060446"/>
          <a:ext cx="461697" cy="228602"/>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35C767FA-1298-460C-A31A-5C424D1475D3}" type="TxLink">
            <a:rPr lang="en-US" altLang="en-US" sz="1100" b="0" i="0" u="none" strike="noStrike">
              <a:solidFill>
                <a:srgbClr val="000000"/>
              </a:solidFill>
              <a:latin typeface="Arial"/>
              <a:cs typeface="Arial"/>
            </a:rPr>
            <a:pPr algn="ctr"/>
            <a:t>N.A.</a:t>
          </a:fld>
          <a:endParaRPr lang="ja-JP" altLang="en-US" sz="1000"/>
        </a:p>
      </cdr:txBody>
    </cdr:sp>
  </cdr:relSizeAnchor>
</c:userShapes>
</file>

<file path=xl/drawings/drawing6.xml><?xml version="1.0" encoding="utf-8"?>
<c:userShapes xmlns:c="http://schemas.openxmlformats.org/drawingml/2006/chart">
  <cdr:relSizeAnchor xmlns:cdr="http://schemas.openxmlformats.org/drawingml/2006/chartDrawing">
    <cdr:from>
      <cdr:x>0.07948</cdr:x>
      <cdr:y>0.44568</cdr:y>
    </cdr:from>
    <cdr:to>
      <cdr:x>0.98098</cdr:x>
      <cdr:y>0.44568</cdr:y>
    </cdr:to>
    <cdr:sp macro="" textlink="">
      <cdr:nvSpPr>
        <cdr:cNvPr id="7173" name="Line 5"/>
        <cdr:cNvSpPr>
          <a:spLocks xmlns:a="http://schemas.openxmlformats.org/drawingml/2006/main" noChangeShapeType="1"/>
        </cdr:cNvSpPr>
      </cdr:nvSpPr>
      <cdr:spPr bwMode="auto">
        <a:xfrm xmlns:a="http://schemas.openxmlformats.org/drawingml/2006/main">
          <a:off x="265865" y="703179"/>
          <a:ext cx="2979613"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0.56647</cdr:x>
      <cdr:y>0.65663</cdr:y>
    </cdr:from>
    <cdr:to>
      <cdr:x>0.72832</cdr:x>
      <cdr:y>0.80723</cdr:y>
    </cdr:to>
    <cdr:sp macro="" textlink="結果_IS!$T$62">
      <cdr:nvSpPr>
        <cdr:cNvPr id="2" name="テキスト ボックス 1"/>
        <cdr:cNvSpPr txBox="1"/>
      </cdr:nvSpPr>
      <cdr:spPr>
        <a:xfrm xmlns:a="http://schemas.openxmlformats.org/drawingml/2006/main">
          <a:off x="1866900" y="1038225"/>
          <a:ext cx="533400" cy="238125"/>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C16051E3-1E1E-47B6-B034-7EA0B3511EE5}"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0.11657</cdr:x>
      <cdr:y>0.65863</cdr:y>
    </cdr:from>
    <cdr:to>
      <cdr:x>0.27842</cdr:x>
      <cdr:y>0.80924</cdr:y>
    </cdr:to>
    <cdr:sp macro="" textlink="結果_IS!$T$60">
      <cdr:nvSpPr>
        <cdr:cNvPr id="4" name="テキスト ボックス 1"/>
        <cdr:cNvSpPr txBox="1"/>
      </cdr:nvSpPr>
      <cdr:spPr>
        <a:xfrm xmlns:a="http://schemas.openxmlformats.org/drawingml/2006/main">
          <a:off x="384175" y="1041400"/>
          <a:ext cx="533400" cy="2381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D78C4F03-F6B8-4145-8923-B76ADE60257E}"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0.342</cdr:x>
      <cdr:y>0.65261</cdr:y>
    </cdr:from>
    <cdr:to>
      <cdr:x>0.50385</cdr:x>
      <cdr:y>0.80321</cdr:y>
    </cdr:to>
    <cdr:sp macro="" textlink="結果_IS!$T$61">
      <cdr:nvSpPr>
        <cdr:cNvPr id="5" name="テキスト ボックス 1"/>
        <cdr:cNvSpPr txBox="1"/>
      </cdr:nvSpPr>
      <cdr:spPr>
        <a:xfrm xmlns:a="http://schemas.openxmlformats.org/drawingml/2006/main">
          <a:off x="1127125" y="1031875"/>
          <a:ext cx="533400" cy="2381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8532BF98-A9FD-4C24-879A-B45B0E1C1C02}"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0.80154</cdr:x>
      <cdr:y>0.65863</cdr:y>
    </cdr:from>
    <cdr:to>
      <cdr:x>0.96339</cdr:x>
      <cdr:y>0.80924</cdr:y>
    </cdr:to>
    <cdr:sp macro="" textlink="結果_IS!$T$63">
      <cdr:nvSpPr>
        <cdr:cNvPr id="6" name="テキスト ボックス 1"/>
        <cdr:cNvSpPr txBox="1"/>
      </cdr:nvSpPr>
      <cdr:spPr>
        <a:xfrm xmlns:a="http://schemas.openxmlformats.org/drawingml/2006/main">
          <a:off x="2641600" y="1041400"/>
          <a:ext cx="533400" cy="238125"/>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0A1D4462-9699-437B-9885-D27D5A6C1530}"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0.07795</cdr:x>
      <cdr:y>0.44759</cdr:y>
    </cdr:from>
    <cdr:to>
      <cdr:x>0.99338</cdr:x>
      <cdr:y>0.44759</cdr:y>
    </cdr:to>
    <cdr:sp macro="" textlink="">
      <cdr:nvSpPr>
        <cdr:cNvPr id="10244" name="Line 4"/>
        <cdr:cNvSpPr>
          <a:spLocks xmlns:a="http://schemas.openxmlformats.org/drawingml/2006/main" noChangeShapeType="1"/>
        </cdr:cNvSpPr>
      </cdr:nvSpPr>
      <cdr:spPr bwMode="auto">
        <a:xfrm xmlns:a="http://schemas.openxmlformats.org/drawingml/2006/main">
          <a:off x="198942" y="715143"/>
          <a:ext cx="2719059"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0.12219</cdr:x>
      <cdr:y>0.66867</cdr:y>
    </cdr:from>
    <cdr:to>
      <cdr:x>0.3119</cdr:x>
      <cdr:y>0.81325</cdr:y>
    </cdr:to>
    <cdr:sp macro="" textlink="結果_IS!$W$60">
      <cdr:nvSpPr>
        <cdr:cNvPr id="2" name="テキスト ボックス 1"/>
        <cdr:cNvSpPr txBox="1"/>
      </cdr:nvSpPr>
      <cdr:spPr>
        <a:xfrm xmlns:a="http://schemas.openxmlformats.org/drawingml/2006/main">
          <a:off x="361947" y="1057270"/>
          <a:ext cx="561973" cy="228603"/>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ctr"/>
          <a:fld id="{15FAB5FD-FC8D-48BA-AD0E-5FB581A210DC}"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0.43837</cdr:x>
      <cdr:y>0.6767</cdr:y>
    </cdr:from>
    <cdr:to>
      <cdr:x>0.62808</cdr:x>
      <cdr:y>0.82128</cdr:y>
    </cdr:to>
    <cdr:sp macro="" textlink="結果_IS!$W$61">
      <cdr:nvSpPr>
        <cdr:cNvPr id="4" name="テキスト ボックス 1"/>
        <cdr:cNvSpPr txBox="1"/>
      </cdr:nvSpPr>
      <cdr:spPr>
        <a:xfrm xmlns:a="http://schemas.openxmlformats.org/drawingml/2006/main">
          <a:off x="1298570" y="1069971"/>
          <a:ext cx="561973" cy="228603"/>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9E7AFA0B-83C3-46E0-B9DD-7D49F031A672}"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0.74062</cdr:x>
      <cdr:y>0.67671</cdr:y>
    </cdr:from>
    <cdr:to>
      <cdr:x>0.93034</cdr:x>
      <cdr:y>0.82129</cdr:y>
    </cdr:to>
    <cdr:sp macro="" textlink="結果_IS!$W$62">
      <cdr:nvSpPr>
        <cdr:cNvPr id="5" name="テキスト ボックス 1"/>
        <cdr:cNvSpPr txBox="1"/>
      </cdr:nvSpPr>
      <cdr:spPr>
        <a:xfrm xmlns:a="http://schemas.openxmlformats.org/drawingml/2006/main">
          <a:off x="2193912" y="1069975"/>
          <a:ext cx="562003" cy="228603"/>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9B6F1FE0-6146-412C-BC9C-1FE08E114054}"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0.06187</cdr:x>
      <cdr:y>0.41145</cdr:y>
    </cdr:from>
    <cdr:to>
      <cdr:x>0.9773</cdr:x>
      <cdr:y>0.41145</cdr:y>
    </cdr:to>
    <cdr:sp macro="" textlink="">
      <cdr:nvSpPr>
        <cdr:cNvPr id="10244" name="Line 4"/>
        <cdr:cNvSpPr>
          <a:spLocks xmlns:a="http://schemas.openxmlformats.org/drawingml/2006/main" noChangeShapeType="1"/>
        </cdr:cNvSpPr>
      </cdr:nvSpPr>
      <cdr:spPr bwMode="auto">
        <a:xfrm xmlns:a="http://schemas.openxmlformats.org/drawingml/2006/main">
          <a:off x="183284" y="650557"/>
          <a:ext cx="2711756" cy="0"/>
        </a:xfrm>
        <a:prstGeom xmlns:a="http://schemas.openxmlformats.org/drawingml/2006/main" prst="line">
          <a:avLst/>
        </a:prstGeom>
        <a:noFill xmlns:a="http://schemas.openxmlformats.org/drawingml/2006/main"/>
        <a:ln xmlns:a="http://schemas.openxmlformats.org/drawingml/2006/main" w="19050">
          <a:solidFill>
            <a:srgbClr val="FF0000"/>
          </a:solidFill>
          <a:round/>
          <a:headEnd/>
          <a:tailEnd/>
        </a:ln>
      </cdr:spPr>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0.43837</cdr:x>
      <cdr:y>0.6767</cdr:y>
    </cdr:from>
    <cdr:to>
      <cdr:x>0.62808</cdr:x>
      <cdr:y>0.82128</cdr:y>
    </cdr:to>
    <cdr:sp macro="" textlink="結果_IS!$Z$61">
      <cdr:nvSpPr>
        <cdr:cNvPr id="4" name="テキスト ボックス 1"/>
        <cdr:cNvSpPr txBox="1"/>
      </cdr:nvSpPr>
      <cdr:spPr>
        <a:xfrm xmlns:a="http://schemas.openxmlformats.org/drawingml/2006/main">
          <a:off x="1298570" y="1069971"/>
          <a:ext cx="561973" cy="228603"/>
        </a:xfrm>
        <a:prstGeom xmlns:a="http://schemas.openxmlformats.org/drawingml/2006/main" prst="rect">
          <a:avLst/>
        </a:prstGeom>
      </cdr:spPr>
      <cdr:txBody>
        <a:bodyPr xmlns:a="http://schemas.openxmlformats.org/drawingml/2006/main" wrap="square" rtlCol="0" anchor="t"/>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45B25313-F4FB-43CD-9FE3-490D1A780D37}" type="TxLink">
            <a:rPr lang="en-US" altLang="en-US" sz="1000" b="0" i="0" u="none" strike="noStrike">
              <a:solidFill>
                <a:srgbClr val="000000"/>
              </a:solidFill>
              <a:latin typeface="Arial" panose="020B0604020202020204" pitchFamily="34" charset="0"/>
              <a:ea typeface="ＭＳ Ｐゴシック"/>
              <a:cs typeface="Arial" panose="020B0604020202020204" pitchFamily="34" charset="0"/>
            </a:rPr>
            <a:pPr algn="ctr"/>
            <a:t> </a:t>
          </a:fld>
          <a:endParaRPr lang="ja-JP" altLang="en-US" sz="1000">
            <a:latin typeface="Arial" panose="020B0604020202020204" pitchFamily="34" charset="0"/>
            <a:cs typeface="Arial" panose="020B0604020202020204" pitchFamily="34" charset="0"/>
          </a:endParaRPr>
        </a:p>
      </cdr:txBody>
    </cdr:sp>
  </cdr:relSizeAnchor>
</c:userShapes>
</file>

<file path=xl/drawings/drawing9.xml><?xml version="1.0" encoding="utf-8"?>
<xdr:wsDr xmlns:xdr="http://schemas.openxmlformats.org/drawingml/2006/spreadsheetDrawing" xmlns:a="http://schemas.openxmlformats.org/drawingml/2006/main">
  <xdr:twoCellAnchor editAs="oneCell">
    <xdr:from>
      <xdr:col>1</xdr:col>
      <xdr:colOff>247650</xdr:colOff>
      <xdr:row>1</xdr:row>
      <xdr:rowOff>47625</xdr:rowOff>
    </xdr:from>
    <xdr:to>
      <xdr:col>5</xdr:col>
      <xdr:colOff>615106</xdr:colOff>
      <xdr:row>2</xdr:row>
      <xdr:rowOff>295275</xdr:rowOff>
    </xdr:to>
    <xdr:pic>
      <xdr:nvPicPr>
        <xdr:cNvPr id="2" name="図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 y="152400"/>
          <a:ext cx="5625256" cy="5715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10.xml.rels>&#65279;<?xml version="1.0" encoding="utf-8" standalone="yes"?>
<Relationships xmlns="http://schemas.openxmlformats.org/package/2006/relationships"><Relationship Id="rId3" Type="http://schemas.openxmlformats.org/officeDocument/2006/relationships/comments" Target="../comments5.xml" /><Relationship Id="rId2" Type="http://schemas.openxmlformats.org/officeDocument/2006/relationships/vmlDrawing" Target="../drawings/vmlDrawing6.vml" /></Relationships>
</file>

<file path=xl/worksheets/_rels/sheet11.xml.rels>&#65279;<?xml version="1.0" encoding="utf-8" standalone="yes"?>
<Relationships xmlns="http://schemas.openxmlformats.org/package/2006/relationships"><Relationship Id="rId3" Type="http://schemas.openxmlformats.org/officeDocument/2006/relationships/comments" Target="../comments6.xml" /><Relationship Id="rId2" Type="http://schemas.openxmlformats.org/officeDocument/2006/relationships/vmlDrawing" Target="../drawings/vmlDrawing7.vml" /></Relationships>
</file>

<file path=xl/worksheets/_rels/sheet12.xml.rels>&#65279;<?xml version="1.0" encoding="utf-8" standalone="yes"?>
<Relationships xmlns="http://schemas.openxmlformats.org/package/2006/relationships"><Relationship Id="rId3" Type="http://schemas.openxmlformats.org/officeDocument/2006/relationships/comments" Target="../comments7.xml" /><Relationship Id="rId2" Type="http://schemas.openxmlformats.org/officeDocument/2006/relationships/vmlDrawing" Target="../drawings/vmlDrawing8.vml" /></Relationships>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Relationship Id="rId3" Type="http://schemas.openxmlformats.org/officeDocument/2006/relationships/comments" Target="../comments8.xml" /><Relationship Id="rId2" Type="http://schemas.openxmlformats.org/officeDocument/2006/relationships/vmlDrawing" Target="../drawings/vmlDrawing9.vml" /></Relationships>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Relationship Id="rId3" Type="http://schemas.openxmlformats.org/officeDocument/2006/relationships/comments" Target="../comments9.xml" /><Relationship Id="rId2" Type="http://schemas.openxmlformats.org/officeDocument/2006/relationships/vmlDrawing" Target="../drawings/vmlDrawing10.vml" /></Relationships>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9.xml" /><Relationship Id="rId4" Type="http://schemas.openxmlformats.org/officeDocument/2006/relationships/comments" Target="../comments1.xml" /></Relationships>
</file>

<file path=xl/worksheets/_rels/sheet20.xml.rels>&#65279;<?xml version="1.0" encoding="utf-8" standalone="yes"?>
<Relationships xmlns="http://schemas.openxmlformats.org/package/2006/relationships"><Relationship Id="rId2" Type="http://schemas.openxmlformats.org/officeDocument/2006/relationships/drawing" Target="../drawings/drawing21.xml" /></Relationships>
</file>

<file path=xl/worksheets/_rels/sheet3.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4.xml.rels>&#65279;<?xml version="1.0" encoding="utf-8" standalone="yes"?>
<Relationships xmlns="http://schemas.openxmlformats.org/package/2006/relationships"><Relationship Id="rId3" Type="http://schemas.openxmlformats.org/officeDocument/2006/relationships/comments" Target="../comments2.xml" /><Relationship Id="rId2" Type="http://schemas.openxmlformats.org/officeDocument/2006/relationships/vmlDrawing" Target="../drawings/vmlDrawing2.vml" /></Relationships>
</file>

<file path=xl/worksheets/_rels/sheet5.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3.vml" /><Relationship Id="rId7" Type="http://schemas.openxmlformats.org/officeDocument/2006/relationships/ctrlProp" Target="../ctrlProps/ctrlProp4.xml" /><Relationship Id="rId2" Type="http://schemas.openxmlformats.org/officeDocument/2006/relationships/drawing" Target="../drawings/drawing19.xml" /><Relationship Id="rId6" Type="http://schemas.openxmlformats.org/officeDocument/2006/relationships/ctrlProp" Target="../ctrlProps/ctrlProp3.xml" /><Relationship Id="rId5" Type="http://schemas.openxmlformats.org/officeDocument/2006/relationships/ctrlProp" Target="../ctrlProps/ctrlProp2.xml" /><Relationship Id="rId4" Type="http://schemas.openxmlformats.org/officeDocument/2006/relationships/ctrlProp" Target="../ctrlProps/ctrlProp1.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20.xml" /></Relationships>
</file>

<file path=xl/worksheets/_rels/sheet7.xml.rels>&#65279;<?xml version="1.0" encoding="utf-8" standalone="yes"?>
<Relationships xmlns="http://schemas.openxmlformats.org/package/2006/relationships"><Relationship Id="rId3" Type="http://schemas.openxmlformats.org/officeDocument/2006/relationships/comments" Target="../comments3.xml" /><Relationship Id="rId2" Type="http://schemas.openxmlformats.org/officeDocument/2006/relationships/vmlDrawing" Target="../drawings/vmlDrawing4.vml" /></Relationships>
</file>

<file path=xl/worksheets/_rels/sheet8.xml.rels>&#65279;<?xml version="1.0" encoding="utf-8" standalone="yes"?>
<Relationships xmlns="http://schemas.openxmlformats.org/package/2006/relationships"><Relationship Id="rId3" Type="http://schemas.openxmlformats.org/officeDocument/2006/relationships/comments" Target="../comments4.xml" /><Relationship Id="rId2" Type="http://schemas.openxmlformats.org/officeDocument/2006/relationships/vmlDrawing" Target="../drawings/vmlDrawing5.vml" /></Relationships>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212"/>
  <sheetViews>
    <sheetView workbookViewId="0"/>
  </sheetViews>
  <sheetFormatPr defaultColWidth="0" defaultRowHeight="0" customHeight="1" zeroHeight="1"/>
  <cols>
    <col min="1" max="1" width="0.75" style="55" customWidth="1"/>
    <col min="2" max="2" width="2.125" style="72" customWidth="1"/>
    <col min="3" max="3" width="13.375" style="72" customWidth="1"/>
    <col min="4" max="4" width="5.375" style="73" customWidth="1"/>
    <col min="5" max="5" width="9.75" style="74" customWidth="1"/>
    <col min="6" max="6" width="6.25" style="75" customWidth="1"/>
    <col min="7" max="7" width="6.5" style="75" customWidth="1"/>
    <col min="8" max="8" width="13.125" style="75" customWidth="1"/>
    <col min="9" max="9" width="6.875" style="76" customWidth="1"/>
    <col min="10" max="10" width="12.125" style="76" customWidth="1"/>
    <col min="11" max="12" width="11.875" style="75" customWidth="1"/>
    <col min="13" max="13" width="11.75" style="96" customWidth="1"/>
    <col min="14" max="14" width="8.625" style="96" customWidth="1"/>
    <col min="15" max="15" width="11.5" style="96" customWidth="1"/>
    <col min="16" max="16" width="0.75" style="55" customWidth="1"/>
    <col min="17" max="17" width="3.875" style="55" bestFit="1" customWidth="1"/>
    <col min="18" max="18" width="20.625" style="64" bestFit="1" customWidth="1"/>
    <col min="19" max="19" width="18.625" style="418" bestFit="1" customWidth="1"/>
    <col min="20" max="20" width="15.25" style="64" bestFit="1" customWidth="1"/>
    <col min="21" max="21" width="19.25" style="64" bestFit="1" customWidth="1"/>
    <col min="22" max="22" width="18.625" style="64" bestFit="1" customWidth="1"/>
    <col min="23" max="23" width="12.75" style="64" bestFit="1" customWidth="1"/>
    <col min="24" max="24" width="30.625" style="64" customWidth="1"/>
    <col min="25" max="26" width="18.625" style="64" bestFit="1" customWidth="1"/>
    <col min="27" max="27" width="4.5" style="64" bestFit="1" customWidth="1"/>
    <col min="28" max="29" width="6.375" style="64" hidden="1" customWidth="1"/>
    <col min="30" max="31" width="5" style="64" hidden="1" customWidth="1"/>
    <col min="32" max="32" width="5.125" style="64" hidden="1" customWidth="1"/>
    <col min="33" max="16384" width="9" style="64" hidden="1"/>
  </cols>
  <sheetData>
    <row r="1" spans="1:27" s="53" customFormat="1" ht="6" customHeight="1" thickBot="1">
      <c r="A1" s="46"/>
      <c r="B1" s="47"/>
      <c r="C1" s="48"/>
      <c r="D1" s="49"/>
      <c r="E1" s="46"/>
      <c r="F1" s="50"/>
      <c r="G1" s="50"/>
      <c r="H1" s="50"/>
      <c r="I1" s="51"/>
      <c r="J1" s="51"/>
      <c r="K1" s="50"/>
      <c r="L1" s="52"/>
      <c r="M1" s="46"/>
      <c r="N1" s="46"/>
      <c r="O1" s="46"/>
      <c r="P1" s="46"/>
      <c r="Q1" s="46"/>
      <c r="S1" s="54"/>
    </row>
    <row r="2" spans="1:27" ht="18.75" customHeight="1" thickTop="1">
      <c r="B2" s="56"/>
      <c r="C2" s="57"/>
      <c r="D2" s="58"/>
      <c r="E2" s="59"/>
      <c r="F2" s="60"/>
      <c r="G2" s="60"/>
      <c r="H2" s="60"/>
      <c r="I2" s="61"/>
      <c r="J2" s="62"/>
      <c r="K2" s="62"/>
      <c r="L2" s="62"/>
      <c r="M2" s="62"/>
      <c r="N2" s="60"/>
      <c r="O2" s="63"/>
      <c r="Q2" s="3072" t="s">
        <v>1877</v>
      </c>
      <c r="S2" s="64"/>
    </row>
    <row r="3" spans="1:27" ht="18.75" customHeight="1">
      <c r="B3" s="56"/>
      <c r="C3" s="57"/>
      <c r="D3" s="58"/>
      <c r="E3" s="59"/>
      <c r="F3" s="60"/>
      <c r="G3" s="60"/>
      <c r="H3" s="60"/>
      <c r="I3" s="61"/>
      <c r="J3" s="62"/>
      <c r="K3" s="62"/>
      <c r="L3" s="62"/>
      <c r="M3" s="62"/>
      <c r="N3" s="60"/>
      <c r="O3" s="65"/>
      <c r="Q3" s="3073"/>
      <c r="S3" s="64"/>
    </row>
    <row r="4" spans="1:27" ht="18.75" customHeight="1">
      <c r="B4" s="56"/>
      <c r="C4" s="57"/>
      <c r="D4" s="58"/>
      <c r="E4" s="59"/>
      <c r="F4" s="60"/>
      <c r="G4" s="60"/>
      <c r="H4" s="60"/>
      <c r="I4" s="66"/>
      <c r="J4" s="62"/>
      <c r="K4" s="62"/>
      <c r="L4" s="62"/>
      <c r="M4" s="62"/>
      <c r="N4" s="60"/>
      <c r="O4" s="63"/>
      <c r="Q4" s="3073"/>
      <c r="S4" s="64"/>
    </row>
    <row r="5" spans="1:27" ht="13.5" customHeight="1" thickBot="1">
      <c r="B5" s="67"/>
      <c r="C5" s="68"/>
      <c r="D5" s="58"/>
      <c r="E5" s="59"/>
      <c r="F5" s="60"/>
      <c r="G5" s="60"/>
      <c r="H5" s="60"/>
      <c r="I5" s="69"/>
      <c r="J5" s="70" t="s">
        <v>1798</v>
      </c>
      <c r="K5" s="3075" t="str">
        <f>メイン!C6</f>
        <v>CASBEE-建築(新築)2016年版</v>
      </c>
      <c r="L5" s="3076"/>
      <c r="M5" s="70" t="s">
        <v>1878</v>
      </c>
      <c r="N5" s="3075" t="str">
        <f>メイン!C5</f>
        <v>CASBEE-BD_NC_2016(v4.02)</v>
      </c>
      <c r="O5" s="3077"/>
      <c r="Q5" s="3074"/>
      <c r="R5" s="86" t="s">
        <v>1881</v>
      </c>
      <c r="S5" s="64"/>
      <c r="U5" s="86" t="s">
        <v>1882</v>
      </c>
    </row>
    <row r="6" spans="1:27" ht="6" customHeight="1" thickTop="1" thickBot="1">
      <c r="B6" s="71"/>
      <c r="J6" s="77"/>
      <c r="K6" s="77"/>
      <c r="L6" s="78"/>
      <c r="M6" s="74"/>
      <c r="N6" s="74"/>
      <c r="O6" s="74"/>
      <c r="S6" s="64"/>
    </row>
    <row r="7" spans="1:27" ht="19.5" customHeight="1" thickBot="1">
      <c r="B7" s="79" t="s">
        <v>1879</v>
      </c>
      <c r="C7" s="80"/>
      <c r="D7" s="81"/>
      <c r="E7" s="80"/>
      <c r="F7" s="80"/>
      <c r="G7" s="80"/>
      <c r="H7" s="84" t="s">
        <v>2924</v>
      </c>
      <c r="I7" s="83"/>
      <c r="J7" s="83"/>
      <c r="K7" s="83"/>
      <c r="L7" s="84" t="s">
        <v>2931</v>
      </c>
      <c r="M7" s="80"/>
      <c r="N7" s="80"/>
      <c r="O7" s="85"/>
      <c r="R7" s="98" t="s">
        <v>2029</v>
      </c>
      <c r="S7" s="98">
        <f>スコア!AD8</f>
        <v>2.988</v>
      </c>
      <c r="U7" s="99"/>
      <c r="V7" s="99" t="s">
        <v>1885</v>
      </c>
      <c r="W7" s="100" t="s">
        <v>2030</v>
      </c>
      <c r="X7" s="100">
        <v>4</v>
      </c>
      <c r="Y7" s="100">
        <v>2</v>
      </c>
      <c r="Z7" s="101" t="s">
        <v>1886</v>
      </c>
      <c r="AA7" s="98" t="s">
        <v>2032</v>
      </c>
    </row>
    <row r="8" spans="1:27" ht="19.5" customHeight="1">
      <c r="B8" s="87" t="s">
        <v>1883</v>
      </c>
      <c r="C8" s="88"/>
      <c r="D8" s="89" t="str">
        <f>メイン!C11</f>
        <v>○○ビル</v>
      </c>
      <c r="E8" s="88"/>
      <c r="F8" s="88"/>
      <c r="G8" s="90"/>
      <c r="H8" s="91" t="s">
        <v>2925</v>
      </c>
      <c r="I8" s="64"/>
      <c r="J8" s="93" t="str">
        <f>メイン!C26</f>
        <v>○○サービス</v>
      </c>
      <c r="K8" s="94"/>
      <c r="L8" s="95"/>
      <c r="O8" s="97"/>
      <c r="R8" s="98" t="s">
        <v>2033</v>
      </c>
      <c r="S8" s="98" t="e">
        <f>スコア!AD121</f>
        <v>#VALUE!</v>
      </c>
      <c r="U8" s="101" t="s">
        <v>2034</v>
      </c>
      <c r="V8" s="99" t="s">
        <v>617</v>
      </c>
      <c r="W8" s="100">
        <v>5</v>
      </c>
      <c r="X8" s="100">
        <v>4</v>
      </c>
      <c r="Y8" s="100">
        <v>2</v>
      </c>
      <c r="Z8" s="112">
        <f>V46</f>
        <v>2.9</v>
      </c>
      <c r="AA8" s="98">
        <v>3</v>
      </c>
    </row>
    <row r="9" spans="1:27" ht="19.5" customHeight="1">
      <c r="B9" s="102" t="s">
        <v>1887</v>
      </c>
      <c r="C9" s="103"/>
      <c r="D9" s="104" t="str">
        <f>メイン!C12</f>
        <v>○○県○○市</v>
      </c>
      <c r="E9" s="103"/>
      <c r="F9" s="105"/>
      <c r="G9" s="64"/>
      <c r="H9" s="91" t="s">
        <v>2926</v>
      </c>
      <c r="I9" s="64"/>
      <c r="J9" s="1789" t="str">
        <f>メイン!C27</f>
        <v>○○</v>
      </c>
      <c r="K9" s="105"/>
      <c r="L9" s="110"/>
      <c r="M9" s="64"/>
      <c r="N9" s="64"/>
      <c r="O9" s="111"/>
      <c r="R9" s="101" t="s">
        <v>618</v>
      </c>
      <c r="S9" s="101">
        <f>25*(S7-1)</f>
        <v>49.7</v>
      </c>
      <c r="U9" s="101" t="s">
        <v>619</v>
      </c>
      <c r="V9" s="118" t="s">
        <v>1895</v>
      </c>
      <c r="W9" s="100">
        <v>5</v>
      </c>
      <c r="X9" s="100">
        <v>4</v>
      </c>
      <c r="Y9" s="100">
        <v>2</v>
      </c>
      <c r="Z9" s="112">
        <f>Y46</f>
        <v>3</v>
      </c>
      <c r="AA9" s="98">
        <v>3</v>
      </c>
    </row>
    <row r="10" spans="1:27" ht="18.75" customHeight="1">
      <c r="B10" s="102" t="s">
        <v>279</v>
      </c>
      <c r="C10" s="113"/>
      <c r="D10" s="104" t="str">
        <f>メイン!C14</f>
        <v>商業地域、防火地域</v>
      </c>
      <c r="E10" s="113"/>
      <c r="F10" s="113"/>
      <c r="G10" s="64"/>
      <c r="H10" s="91" t="s">
        <v>2927</v>
      </c>
      <c r="I10" s="64"/>
      <c r="J10" s="133">
        <f>メイン!C28</f>
        <v>41831</v>
      </c>
      <c r="K10" s="105"/>
      <c r="L10" s="115"/>
      <c r="M10" s="116"/>
      <c r="N10" s="116"/>
      <c r="O10" s="117"/>
      <c r="R10" s="101" t="s">
        <v>1896</v>
      </c>
      <c r="S10" s="101" t="e">
        <f>25*(5-S8)</f>
        <v>#VALUE!</v>
      </c>
      <c r="U10" s="101" t="s">
        <v>1527</v>
      </c>
      <c r="V10" s="124" t="s">
        <v>1897</v>
      </c>
      <c r="W10" s="100">
        <v>5</v>
      </c>
      <c r="X10" s="100">
        <v>4</v>
      </c>
      <c r="Y10" s="100">
        <v>2</v>
      </c>
      <c r="Z10" s="112" t="e">
        <f>Y57</f>
        <v>#VALUE!</v>
      </c>
      <c r="AA10" s="98">
        <v>3</v>
      </c>
    </row>
    <row r="11" spans="1:27" ht="18.75" customHeight="1">
      <c r="B11" s="119" t="s">
        <v>2593</v>
      </c>
      <c r="C11" s="120"/>
      <c r="D11" s="108" t="str">
        <f>IF(メイン!F12="","",メイン!F12)</f>
        <v/>
      </c>
      <c r="E11" s="120"/>
      <c r="F11" s="121"/>
      <c r="G11" s="122"/>
      <c r="H11" s="91" t="s">
        <v>2928</v>
      </c>
      <c r="I11" s="64"/>
      <c r="J11" s="114" t="str">
        <f>メイン!C29</f>
        <v>XXX</v>
      </c>
      <c r="K11" s="144" t="s">
        <v>2930</v>
      </c>
      <c r="L11" s="115"/>
      <c r="M11" s="116"/>
      <c r="N11" s="116"/>
      <c r="O11" s="117"/>
      <c r="R11" s="101" t="s">
        <v>1901</v>
      </c>
      <c r="S11" s="101" t="e">
        <f>S9/S10</f>
        <v>#VALUE!</v>
      </c>
      <c r="U11" s="101" t="s">
        <v>1999</v>
      </c>
      <c r="V11" s="124" t="s">
        <v>1902</v>
      </c>
      <c r="W11" s="100">
        <v>5</v>
      </c>
      <c r="X11" s="100">
        <v>4</v>
      </c>
      <c r="Y11" s="100">
        <v>2</v>
      </c>
      <c r="Z11" s="112">
        <f>V57</f>
        <v>3</v>
      </c>
      <c r="AA11" s="98">
        <v>3</v>
      </c>
    </row>
    <row r="12" spans="1:27" ht="18.75" customHeight="1">
      <c r="B12" s="125" t="s">
        <v>1898</v>
      </c>
      <c r="C12" s="126"/>
      <c r="D12" s="127" t="str">
        <f>メイン!C21</f>
        <v>事務所,</v>
      </c>
      <c r="E12" s="126"/>
      <c r="F12" s="126"/>
      <c r="G12" s="128"/>
      <c r="H12" s="91" t="s">
        <v>2929</v>
      </c>
      <c r="I12" s="64"/>
      <c r="J12" s="1789" t="str">
        <f>メイン!C30</f>
        <v>地上○○F～○○F</v>
      </c>
      <c r="K12" s="105"/>
      <c r="L12" s="115"/>
      <c r="M12" s="131" t="s">
        <v>1900</v>
      </c>
      <c r="N12" s="116"/>
      <c r="O12" s="117"/>
      <c r="R12" s="101" t="s">
        <v>620</v>
      </c>
      <c r="S12" s="136" t="e">
        <f>ROUNDDOWN(S11,1)</f>
        <v>#VALUE!</v>
      </c>
      <c r="U12" s="101" t="s">
        <v>621</v>
      </c>
      <c r="V12" s="124" t="s">
        <v>622</v>
      </c>
      <c r="W12" s="100">
        <v>5</v>
      </c>
      <c r="X12" s="100">
        <v>4</v>
      </c>
      <c r="Y12" s="100">
        <v>2</v>
      </c>
      <c r="Z12" s="112">
        <f>S57</f>
        <v>3</v>
      </c>
      <c r="AA12" s="98">
        <v>3</v>
      </c>
    </row>
    <row r="13" spans="1:27" ht="16.5" customHeight="1">
      <c r="B13" s="1724" t="s">
        <v>494</v>
      </c>
      <c r="C13" s="1725"/>
      <c r="D13" s="3078" t="str">
        <f>メイン!C15</f>
        <v>202●年●月</v>
      </c>
      <c r="E13" s="3079"/>
      <c r="F13" s="1726">
        <f>メイン!F15</f>
        <v>0</v>
      </c>
      <c r="G13" s="1727"/>
      <c r="H13" s="91" t="s">
        <v>1893</v>
      </c>
      <c r="I13" s="92"/>
      <c r="J13" s="114" t="str">
        <f>メイン!C32</f>
        <v>XX</v>
      </c>
      <c r="K13" s="105" t="s">
        <v>1894</v>
      </c>
      <c r="L13" s="115"/>
      <c r="M13" s="135" t="s">
        <v>2508</v>
      </c>
      <c r="N13" s="116"/>
      <c r="O13" s="117"/>
      <c r="R13" s="101" t="s">
        <v>501</v>
      </c>
      <c r="S13" s="142" t="e">
        <f>IF(AND($S$9&gt;=50,$S$11&gt;=3),1,IF(S12&lt;0.5,1,IF(S12&lt;1,2,IF(S12&lt;1.5,3,IF(S12&lt;3,4,4))))/5)</f>
        <v>#VALUE!</v>
      </c>
      <c r="U13" s="101" t="s">
        <v>624</v>
      </c>
      <c r="V13" s="118" t="s">
        <v>498</v>
      </c>
      <c r="W13" s="100">
        <v>5</v>
      </c>
      <c r="X13" s="100">
        <v>4</v>
      </c>
      <c r="Y13" s="100">
        <v>2</v>
      </c>
      <c r="Z13" s="112">
        <f>IF(S46=0,1,S46)</f>
        <v>3</v>
      </c>
      <c r="AA13" s="98">
        <v>3</v>
      </c>
    </row>
    <row r="14" spans="1:27" ht="14.25" hidden="1">
      <c r="B14" s="1670" t="s">
        <v>2837</v>
      </c>
      <c r="C14" s="94"/>
      <c r="D14" s="3080" t="str">
        <f>メイン!C16</f>
        <v>2016年６月～８月</v>
      </c>
      <c r="E14" s="3081"/>
      <c r="F14"/>
      <c r="G14"/>
      <c r="H14" s="106" t="s">
        <v>1899</v>
      </c>
      <c r="I14" s="129"/>
      <c r="J14" s="108" t="str">
        <f>IF(メイン!E39=0,"",メイン!E39&amp;"評価")</f>
        <v/>
      </c>
      <c r="K14" s="130"/>
      <c r="L14" s="115"/>
      <c r="M14" s="135"/>
      <c r="N14" s="116"/>
      <c r="O14" s="117"/>
      <c r="R14" s="101" t="s">
        <v>504</v>
      </c>
      <c r="S14" s="148" t="e">
        <f>1-S13</f>
        <v>#VALUE!</v>
      </c>
    </row>
    <row r="15" spans="1:27" ht="14.25">
      <c r="B15" s="1728" t="s">
        <v>496</v>
      </c>
      <c r="C15" s="1729"/>
      <c r="D15" s="1730"/>
      <c r="E15" s="1731">
        <f>メイン!C17</f>
        <v>5000</v>
      </c>
      <c r="F15" s="1726" t="s">
        <v>623</v>
      </c>
      <c r="G15" s="1727"/>
      <c r="H15" s="106" t="str">
        <f>IF(メイン!I3=3,メイン!J33,メイン!I33)</f>
        <v>年間使用時間</v>
      </c>
      <c r="I15" s="107"/>
      <c r="J15" s="123" t="str">
        <f>IF(メイン!I3=3,メイン!C34,メイン!C33)</f>
        <v>XXX</v>
      </c>
      <c r="K15" s="1732" t="str">
        <f>IF(メイン!I3=3,メイン!D34,メイン!D33)</f>
        <v>時間/年（想定値）</v>
      </c>
      <c r="L15" s="115"/>
      <c r="M15" s="135" t="s">
        <v>2509</v>
      </c>
      <c r="N15" s="116"/>
      <c r="O15" s="117"/>
      <c r="S15" s="64"/>
    </row>
    <row r="16" spans="1:27" ht="18.75" customHeight="1">
      <c r="B16" s="91" t="s">
        <v>499</v>
      </c>
      <c r="C16" s="137"/>
      <c r="D16" s="138"/>
      <c r="E16" s="139">
        <f>メイン!C18</f>
        <v>4000</v>
      </c>
      <c r="F16" s="140" t="s">
        <v>625</v>
      </c>
      <c r="G16" s="64"/>
      <c r="H16" s="91" t="s">
        <v>495</v>
      </c>
      <c r="I16" s="132"/>
      <c r="J16" s="133" t="str">
        <f>IF(メイン!C39=0,"",メイン!C39)</f>
        <v>202●年●月●日</v>
      </c>
      <c r="K16" s="134"/>
      <c r="L16" s="115"/>
      <c r="M16" s="116"/>
      <c r="N16" s="116"/>
      <c r="O16" s="117"/>
      <c r="S16" s="64"/>
      <c r="V16" s="55"/>
      <c r="Z16" s="55"/>
    </row>
    <row r="17" spans="2:28" ht="14.25">
      <c r="B17" s="91" t="s">
        <v>502</v>
      </c>
      <c r="C17" s="137"/>
      <c r="D17" s="138"/>
      <c r="E17" s="143">
        <f>メイン!J66</f>
        <v>5000</v>
      </c>
      <c r="F17" s="144" t="s">
        <v>623</v>
      </c>
      <c r="G17" s="64"/>
      <c r="H17" s="91" t="s">
        <v>497</v>
      </c>
      <c r="I17" s="132"/>
      <c r="J17" s="141" t="str">
        <f>IF(メイン!C40=0,"",メイン!C40)</f>
        <v>○○○</v>
      </c>
      <c r="K17" s="134"/>
      <c r="L17" s="115"/>
      <c r="M17" s="116"/>
      <c r="N17" s="116"/>
      <c r="O17" s="117"/>
      <c r="S17" s="64"/>
      <c r="T17" s="55"/>
      <c r="U17" s="149"/>
      <c r="V17" s="55"/>
      <c r="W17" s="55"/>
      <c r="X17" s="55"/>
      <c r="Y17" s="55"/>
      <c r="Z17" s="55"/>
      <c r="AA17" s="55"/>
      <c r="AB17" s="55"/>
    </row>
    <row r="18" spans="2:28" ht="14.25">
      <c r="B18" s="91" t="s">
        <v>1884</v>
      </c>
      <c r="C18" s="92"/>
      <c r="D18" s="93" t="str">
        <f>メイン!C22</f>
        <v>地上○○F</v>
      </c>
      <c r="E18"/>
      <c r="F18"/>
      <c r="G18"/>
      <c r="H18" s="91" t="s">
        <v>500</v>
      </c>
      <c r="I18" s="132"/>
      <c r="J18" s="133" t="str">
        <f>IF(メイン!C41=0,"",メイン!C41)</f>
        <v>202●年●月●日</v>
      </c>
      <c r="K18" s="134"/>
      <c r="L18" s="115"/>
      <c r="M18" s="116"/>
      <c r="N18" s="116"/>
      <c r="O18" s="117"/>
      <c r="R18" s="55"/>
      <c r="S18" s="55"/>
      <c r="T18" s="55"/>
      <c r="U18" s="55"/>
      <c r="V18" s="55"/>
      <c r="W18" s="55"/>
      <c r="X18" s="55"/>
      <c r="Y18" s="55"/>
      <c r="Z18" s="55"/>
      <c r="AA18" s="55"/>
      <c r="AB18" s="55"/>
    </row>
    <row r="19" spans="2:28" ht="15" thickBot="1">
      <c r="B19" s="106" t="s">
        <v>1888</v>
      </c>
      <c r="C19" s="107"/>
      <c r="D19" s="108">
        <f>メイン!C23</f>
        <v>0</v>
      </c>
      <c r="E19"/>
      <c r="F19"/>
      <c r="G19"/>
      <c r="H19" s="91" t="s">
        <v>503</v>
      </c>
      <c r="I19" s="132"/>
      <c r="J19" s="141" t="str">
        <f>IF(メイン!C42=0,"",メイン!C42)</f>
        <v>○○○</v>
      </c>
      <c r="K19" s="134"/>
      <c r="L19" s="145"/>
      <c r="M19" s="146"/>
      <c r="N19" s="146"/>
      <c r="O19" s="147"/>
      <c r="R19" s="144"/>
      <c r="S19" s="92"/>
      <c r="T19" s="55"/>
      <c r="U19" s="55"/>
      <c r="V19" s="92"/>
      <c r="W19" s="96"/>
      <c r="X19" s="55"/>
      <c r="Y19" s="55"/>
      <c r="Z19" s="55"/>
      <c r="AA19" s="55"/>
      <c r="AB19" s="55"/>
    </row>
    <row r="20" spans="2:28" ht="14.25" hidden="1">
      <c r="B20" s="1669"/>
      <c r="C20" s="92"/>
      <c r="D20" s="1671"/>
      <c r="E20"/>
      <c r="F20"/>
      <c r="G20"/>
      <c r="H20" s="64"/>
      <c r="I20" s="64"/>
      <c r="J20" s="64"/>
      <c r="K20" s="64"/>
      <c r="L20" s="153"/>
      <c r="M20" s="151"/>
      <c r="N20" s="1671"/>
      <c r="O20" s="154"/>
      <c r="R20" s="144"/>
      <c r="S20" s="92"/>
      <c r="T20" s="55"/>
      <c r="U20" s="55"/>
      <c r="V20" s="92"/>
      <c r="W20" s="96"/>
      <c r="X20" s="55"/>
      <c r="Y20" s="55"/>
      <c r="Z20" s="55"/>
      <c r="AA20" s="55"/>
      <c r="AB20" s="55"/>
    </row>
    <row r="21" spans="2:28" ht="15" hidden="1" thickBot="1">
      <c r="B21" s="1669"/>
      <c r="C21" s="113"/>
      <c r="D21" s="1671"/>
      <c r="E21"/>
      <c r="F21"/>
      <c r="G21"/>
      <c r="H21"/>
      <c r="I21"/>
      <c r="J21"/>
      <c r="K21"/>
      <c r="L21" s="157"/>
      <c r="M21" s="158"/>
      <c r="N21" s="1671"/>
      <c r="O21" s="159"/>
      <c r="R21" s="144"/>
      <c r="S21" s="92"/>
      <c r="T21" s="55"/>
      <c r="U21" s="55"/>
      <c r="V21" s="92"/>
      <c r="W21" s="96"/>
      <c r="X21" s="55"/>
      <c r="Y21" s="55"/>
      <c r="Z21" s="55"/>
      <c r="AA21" s="55"/>
      <c r="AB21" s="55"/>
    </row>
    <row r="22" spans="2:28" ht="15" thickBot="1">
      <c r="B22" s="160"/>
      <c r="C22" s="161"/>
      <c r="D22" s="160"/>
      <c r="E22" s="162"/>
      <c r="F22" s="162"/>
      <c r="G22" s="162"/>
      <c r="H22" s="162"/>
      <c r="I22" s="163"/>
      <c r="J22" s="164"/>
      <c r="K22" s="165"/>
      <c r="L22" s="162"/>
      <c r="M22" s="162"/>
      <c r="N22" s="162"/>
      <c r="O22" s="162"/>
      <c r="R22" s="144"/>
      <c r="S22" s="92"/>
      <c r="T22" s="55"/>
      <c r="U22" s="55"/>
      <c r="V22" s="92"/>
      <c r="W22" s="96"/>
      <c r="X22" s="55"/>
      <c r="Y22" s="55"/>
      <c r="Z22" s="55"/>
      <c r="AA22" s="55"/>
      <c r="AB22" s="55"/>
    </row>
    <row r="23" spans="2:28" ht="18.75" thickBot="1">
      <c r="B23" s="166" t="s">
        <v>514</v>
      </c>
      <c r="C23" s="167"/>
      <c r="D23" s="168"/>
      <c r="E23" s="169"/>
      <c r="F23" s="169"/>
      <c r="G23" s="169"/>
      <c r="H23" s="169"/>
      <c r="I23" s="172"/>
      <c r="J23" s="173" t="s">
        <v>516</v>
      </c>
      <c r="K23" s="167"/>
      <c r="L23" s="167"/>
      <c r="M23" s="167"/>
      <c r="N23" s="168"/>
      <c r="O23" s="169"/>
      <c r="R23" s="101" t="s">
        <v>626</v>
      </c>
      <c r="S23" s="99" t="s">
        <v>517</v>
      </c>
      <c r="T23" s="99" t="s">
        <v>518</v>
      </c>
      <c r="U23" s="99" t="s">
        <v>519</v>
      </c>
      <c r="AB23" s="55"/>
    </row>
    <row r="24" spans="2:28" ht="15" customHeight="1">
      <c r="B24" s="110"/>
      <c r="C24" s="64"/>
      <c r="D24" s="64"/>
      <c r="E24" s="64"/>
      <c r="F24" s="64"/>
      <c r="G24" s="64"/>
      <c r="H24" s="64"/>
      <c r="I24" s="176"/>
      <c r="J24" s="177"/>
      <c r="K24" s="64"/>
      <c r="L24" s="64"/>
      <c r="M24" s="64"/>
      <c r="N24" s="64"/>
      <c r="O24" s="111"/>
      <c r="P24" s="64"/>
      <c r="Q24" s="64"/>
      <c r="R24" s="101" t="s">
        <v>520</v>
      </c>
      <c r="S24" s="112"/>
      <c r="T24" s="178" t="e">
        <f>S10</f>
        <v>#VALUE!</v>
      </c>
      <c r="U24" s="112">
        <v>0</v>
      </c>
      <c r="V24" s="55"/>
      <c r="W24" s="99" t="s">
        <v>521</v>
      </c>
      <c r="X24" s="99"/>
      <c r="Y24" s="55"/>
      <c r="Z24" s="99" t="s">
        <v>522</v>
      </c>
      <c r="AA24" s="99"/>
      <c r="AB24" s="55"/>
    </row>
    <row r="25" spans="2:28" ht="15" customHeight="1">
      <c r="B25" s="179"/>
      <c r="C25" s="180" t="e">
        <f>S12</f>
        <v>#VALUE!</v>
      </c>
      <c r="D25" s="64"/>
      <c r="E25" s="64"/>
      <c r="F25" s="64"/>
      <c r="G25" s="64"/>
      <c r="H25" s="64"/>
      <c r="I25" s="184"/>
      <c r="J25" s="185"/>
      <c r="K25" s="64"/>
      <c r="L25" s="64"/>
      <c r="M25" s="64"/>
      <c r="N25" s="64"/>
      <c r="O25" s="111"/>
      <c r="P25" s="64"/>
      <c r="Q25" s="64"/>
      <c r="R25" s="101" t="s">
        <v>523</v>
      </c>
      <c r="S25" s="112"/>
      <c r="T25" s="178">
        <f>S9</f>
        <v>49.7</v>
      </c>
      <c r="U25" s="112">
        <v>0</v>
      </c>
      <c r="V25" s="55"/>
      <c r="W25" s="112">
        <v>50</v>
      </c>
      <c r="X25" s="112">
        <v>50</v>
      </c>
      <c r="Y25" s="55"/>
      <c r="Z25" s="112">
        <v>0</v>
      </c>
      <c r="AA25" s="112">
        <v>100</v>
      </c>
      <c r="AB25" s="55"/>
    </row>
    <row r="26" spans="2:28" ht="15" customHeight="1">
      <c r="B26" s="110"/>
      <c r="C26" s="64"/>
      <c r="D26" s="64"/>
      <c r="E26" s="64"/>
      <c r="F26" s="64"/>
      <c r="G26" s="64"/>
      <c r="H26" s="64"/>
      <c r="I26" s="184"/>
      <c r="J26" s="185"/>
      <c r="K26" s="64"/>
      <c r="L26" s="64"/>
      <c r="M26" s="64"/>
      <c r="N26" s="64"/>
      <c r="O26" s="111"/>
      <c r="P26" s="64"/>
      <c r="Q26" s="64"/>
      <c r="R26" s="112">
        <v>0</v>
      </c>
      <c r="S26" s="99" t="e">
        <f>T24</f>
        <v>#VALUE!</v>
      </c>
      <c r="T26" s="186" t="e">
        <f>T24</f>
        <v>#VALUE!</v>
      </c>
      <c r="U26" s="99">
        <v>0.1</v>
      </c>
      <c r="V26" s="55"/>
      <c r="W26" s="112">
        <v>0</v>
      </c>
      <c r="X26" s="112">
        <v>100</v>
      </c>
      <c r="Y26" s="55"/>
      <c r="Z26" s="112">
        <v>50</v>
      </c>
      <c r="AA26" s="112">
        <v>50</v>
      </c>
      <c r="AB26" s="55"/>
    </row>
    <row r="27" spans="2:28" ht="15" customHeight="1">
      <c r="B27" s="187"/>
      <c r="C27" s="188"/>
      <c r="D27" s="188"/>
      <c r="E27" s="188"/>
      <c r="F27" s="188"/>
      <c r="G27" s="188"/>
      <c r="H27" s="188"/>
      <c r="I27" s="192"/>
      <c r="J27" s="110"/>
      <c r="K27" s="64"/>
      <c r="L27" s="64"/>
      <c r="M27" s="64"/>
      <c r="O27" s="111"/>
      <c r="P27" s="64"/>
      <c r="Q27" s="64"/>
      <c r="R27" s="112">
        <v>0</v>
      </c>
      <c r="S27" s="99">
        <v>0</v>
      </c>
      <c r="T27" s="99">
        <f>T25</f>
        <v>49.7</v>
      </c>
      <c r="U27" s="193">
        <f>T25</f>
        <v>49.7</v>
      </c>
      <c r="V27" s="55"/>
      <c r="W27" s="55"/>
      <c r="X27" s="55"/>
      <c r="Y27" s="55"/>
      <c r="Z27" s="55"/>
      <c r="AA27" s="55"/>
      <c r="AB27" s="55"/>
    </row>
    <row r="28" spans="2:28" ht="15" customHeight="1">
      <c r="B28" s="110"/>
      <c r="C28" s="64"/>
      <c r="D28" s="64"/>
      <c r="E28" s="64"/>
      <c r="F28" s="64"/>
      <c r="G28" s="64"/>
      <c r="H28" s="64"/>
      <c r="I28" s="183"/>
      <c r="J28" s="110"/>
      <c r="K28" s="64"/>
      <c r="L28" s="64"/>
      <c r="M28" s="64"/>
      <c r="N28" s="64"/>
      <c r="O28" s="111"/>
      <c r="P28" s="64"/>
      <c r="Q28" s="64"/>
      <c r="S28" s="64"/>
      <c r="V28" s="55"/>
      <c r="W28" s="55"/>
      <c r="X28" s="55"/>
      <c r="Y28" s="55"/>
      <c r="Z28" s="55"/>
      <c r="AA28" s="55"/>
      <c r="AB28" s="55"/>
    </row>
    <row r="29" spans="2:28" ht="15" customHeight="1">
      <c r="B29" s="110"/>
      <c r="C29" s="64"/>
      <c r="D29" s="64"/>
      <c r="E29" s="64"/>
      <c r="F29" s="64"/>
      <c r="G29" s="64"/>
      <c r="H29" s="64"/>
      <c r="I29" s="184"/>
      <c r="J29" s="195"/>
      <c r="K29" s="196"/>
      <c r="L29" s="196"/>
      <c r="M29" s="196"/>
      <c r="N29" s="197"/>
      <c r="O29" s="198"/>
      <c r="P29" s="64"/>
      <c r="Q29" s="64"/>
      <c r="R29" s="199" t="s">
        <v>627</v>
      </c>
      <c r="S29" s="99" t="s">
        <v>628</v>
      </c>
      <c r="T29" s="200">
        <v>0</v>
      </c>
      <c r="U29" s="200">
        <f>100/6</f>
        <v>16.666666666666668</v>
      </c>
      <c r="V29" s="201">
        <f>U29*2</f>
        <v>33.333333333333336</v>
      </c>
      <c r="W29" s="200">
        <f>U29*3</f>
        <v>50</v>
      </c>
      <c r="X29" s="200">
        <f>U29*4</f>
        <v>66.666666666666671</v>
      </c>
      <c r="Y29" s="200">
        <f>U29*5</f>
        <v>83.333333333333343</v>
      </c>
      <c r="Z29" s="200">
        <v>100</v>
      </c>
      <c r="AA29" s="55"/>
      <c r="AB29" s="55"/>
    </row>
    <row r="30" spans="2:28" ht="15" customHeight="1">
      <c r="B30" s="110"/>
      <c r="C30" s="64"/>
      <c r="D30" s="64"/>
      <c r="E30" s="64"/>
      <c r="F30" s="64"/>
      <c r="G30" s="64"/>
      <c r="H30" s="64"/>
      <c r="I30" s="184"/>
      <c r="J30" s="195"/>
      <c r="K30" s="196"/>
      <c r="L30" s="196"/>
      <c r="M30" s="196"/>
      <c r="N30" s="197"/>
      <c r="O30" s="198"/>
      <c r="P30" s="64"/>
      <c r="Q30" s="64"/>
      <c r="R30" s="199"/>
      <c r="S30" s="99" t="s">
        <v>629</v>
      </c>
      <c r="T30" s="200">
        <v>100</v>
      </c>
      <c r="U30" s="200">
        <v>100</v>
      </c>
      <c r="V30" s="200">
        <v>100</v>
      </c>
      <c r="W30" s="200">
        <v>100</v>
      </c>
      <c r="X30" s="200">
        <v>100</v>
      </c>
      <c r="Y30" s="200">
        <v>100</v>
      </c>
      <c r="Z30" s="200">
        <v>100</v>
      </c>
      <c r="AA30" s="55"/>
      <c r="AB30" s="55"/>
    </row>
    <row r="31" spans="2:28" ht="15" customHeight="1">
      <c r="B31" s="110"/>
      <c r="C31" s="64"/>
      <c r="D31" s="64"/>
      <c r="E31" s="64"/>
      <c r="F31" s="64"/>
      <c r="G31" s="64"/>
      <c r="H31" s="64"/>
      <c r="I31" s="184"/>
      <c r="J31" s="202"/>
      <c r="K31" s="203"/>
      <c r="L31" s="203"/>
      <c r="M31" s="203"/>
      <c r="N31" s="204"/>
      <c r="O31" s="205"/>
      <c r="P31" s="64"/>
      <c r="Q31" s="64"/>
      <c r="R31" s="199">
        <v>3</v>
      </c>
      <c r="S31" s="99" t="s">
        <v>630</v>
      </c>
      <c r="T31" s="200">
        <v>50</v>
      </c>
      <c r="U31" s="200">
        <f t="shared" ref="U31:X34" si="0">U$29*$R31</f>
        <v>50</v>
      </c>
      <c r="V31" s="200">
        <f t="shared" si="0"/>
        <v>100</v>
      </c>
      <c r="W31" s="200">
        <v>100</v>
      </c>
      <c r="X31" s="200">
        <v>100</v>
      </c>
      <c r="Y31" s="200">
        <v>100</v>
      </c>
      <c r="Z31" s="200">
        <v>100</v>
      </c>
      <c r="AA31" s="55"/>
      <c r="AB31" s="55"/>
    </row>
    <row r="32" spans="2:28" ht="15" customHeight="1">
      <c r="B32" s="110"/>
      <c r="C32" s="64"/>
      <c r="D32" s="64"/>
      <c r="E32" s="64"/>
      <c r="F32" s="64"/>
      <c r="G32" s="64"/>
      <c r="H32" s="64"/>
      <c r="I32" s="184"/>
      <c r="J32" s="195"/>
      <c r="K32" s="196"/>
      <c r="L32" s="196"/>
      <c r="M32" s="196"/>
      <c r="N32" s="197"/>
      <c r="O32" s="198"/>
      <c r="P32" s="64"/>
      <c r="Q32" s="64"/>
      <c r="R32" s="199">
        <v>1.5</v>
      </c>
      <c r="S32" s="99" t="s">
        <v>631</v>
      </c>
      <c r="T32" s="200">
        <v>0</v>
      </c>
      <c r="U32" s="200">
        <f t="shared" si="0"/>
        <v>25</v>
      </c>
      <c r="V32" s="200">
        <f t="shared" si="0"/>
        <v>50</v>
      </c>
      <c r="W32" s="200">
        <f t="shared" si="0"/>
        <v>75</v>
      </c>
      <c r="X32" s="200">
        <f t="shared" si="0"/>
        <v>100</v>
      </c>
      <c r="Y32" s="200">
        <v>100</v>
      </c>
      <c r="Z32" s="200">
        <v>100</v>
      </c>
      <c r="AA32" s="55"/>
      <c r="AB32" s="55"/>
    </row>
    <row r="33" spans="2:35" ht="15" customHeight="1">
      <c r="B33" s="110"/>
      <c r="C33" s="64"/>
      <c r="D33" s="64"/>
      <c r="E33" s="64"/>
      <c r="F33" s="64"/>
      <c r="G33" s="64"/>
      <c r="H33" s="64"/>
      <c r="I33" s="184"/>
      <c r="J33" s="195"/>
      <c r="K33" s="196"/>
      <c r="L33" s="196"/>
      <c r="M33" s="196"/>
      <c r="N33" s="197"/>
      <c r="O33" s="198"/>
      <c r="P33" s="64"/>
      <c r="Q33" s="64"/>
      <c r="R33" s="199">
        <v>1</v>
      </c>
      <c r="S33" s="99" t="s">
        <v>632</v>
      </c>
      <c r="T33" s="200">
        <v>0</v>
      </c>
      <c r="U33" s="200">
        <f t="shared" si="0"/>
        <v>16.666666666666668</v>
      </c>
      <c r="V33" s="200">
        <f t="shared" si="0"/>
        <v>33.333333333333336</v>
      </c>
      <c r="W33" s="200">
        <f t="shared" si="0"/>
        <v>50</v>
      </c>
      <c r="X33" s="200">
        <f t="shared" si="0"/>
        <v>66.666666666666671</v>
      </c>
      <c r="Y33" s="200">
        <f>Y$29*$R33</f>
        <v>83.333333333333343</v>
      </c>
      <c r="Z33" s="200">
        <f>Z$29*$R33</f>
        <v>100</v>
      </c>
      <c r="AA33" s="55"/>
      <c r="AB33" s="55"/>
    </row>
    <row r="34" spans="2:35" ht="15" customHeight="1">
      <c r="B34" s="110"/>
      <c r="C34" s="64"/>
      <c r="D34" s="64"/>
      <c r="E34" s="64"/>
      <c r="F34" s="64"/>
      <c r="G34" s="64"/>
      <c r="H34" s="64"/>
      <c r="I34" s="184"/>
      <c r="J34" s="195"/>
      <c r="K34" s="196"/>
      <c r="L34" s="196"/>
      <c r="M34" s="196"/>
      <c r="N34" s="197"/>
      <c r="O34" s="198"/>
      <c r="P34" s="64"/>
      <c r="Q34" s="64"/>
      <c r="R34" s="199">
        <v>0.5</v>
      </c>
      <c r="S34" s="99" t="s">
        <v>633</v>
      </c>
      <c r="T34" s="200">
        <v>0</v>
      </c>
      <c r="U34" s="200">
        <f t="shared" si="0"/>
        <v>8.3333333333333339</v>
      </c>
      <c r="V34" s="200">
        <f t="shared" si="0"/>
        <v>16.666666666666668</v>
      </c>
      <c r="W34" s="200">
        <f t="shared" si="0"/>
        <v>25</v>
      </c>
      <c r="X34" s="200">
        <f t="shared" si="0"/>
        <v>33.333333333333336</v>
      </c>
      <c r="Y34" s="200">
        <f>Y$29*$R34</f>
        <v>41.666666666666671</v>
      </c>
      <c r="Z34" s="200">
        <f>Z$29*$R34</f>
        <v>50</v>
      </c>
      <c r="AA34" s="55"/>
      <c r="AB34" s="55"/>
    </row>
    <row r="35" spans="2:35" ht="15" customHeight="1">
      <c r="B35" s="110"/>
      <c r="C35" s="64"/>
      <c r="D35" s="64"/>
      <c r="E35" s="64"/>
      <c r="F35" s="64"/>
      <c r="G35" s="64"/>
      <c r="H35" s="64"/>
      <c r="I35" s="184"/>
      <c r="J35" s="195"/>
      <c r="K35" s="64"/>
      <c r="L35" s="64"/>
      <c r="M35" s="64"/>
      <c r="N35" s="64"/>
      <c r="O35" s="111"/>
      <c r="P35" s="64"/>
      <c r="Q35" s="64"/>
      <c r="R35" s="206"/>
      <c r="S35" s="149"/>
      <c r="T35" s="207"/>
      <c r="U35" s="207"/>
      <c r="V35" s="207"/>
      <c r="W35" s="207"/>
      <c r="X35" s="207"/>
      <c r="Y35" s="207"/>
      <c r="Z35" s="207"/>
      <c r="AA35" s="55"/>
      <c r="AB35" s="55"/>
    </row>
    <row r="36" spans="2:35" ht="15" customHeight="1">
      <c r="B36" s="110"/>
      <c r="C36" s="64"/>
      <c r="D36" s="64"/>
      <c r="E36" s="64"/>
      <c r="F36" s="64"/>
      <c r="G36" s="64"/>
      <c r="H36" s="64"/>
      <c r="I36" s="210"/>
      <c r="J36" s="195"/>
      <c r="K36" s="64"/>
      <c r="L36" s="64"/>
      <c r="M36" s="64"/>
      <c r="N36" s="211"/>
      <c r="O36" s="111"/>
      <c r="P36" s="64"/>
      <c r="Q36" s="64"/>
      <c r="R36" s="101" t="s">
        <v>634</v>
      </c>
      <c r="S36" s="142" t="e">
        <f>IF(T36&lt;=0.3,1,IF(T36&lt;=0.6,0.8,IF(T36&lt;=0.8,0.6,IF(T36&lt;=1,0.4,0.2))))</f>
        <v>#VALUE!</v>
      </c>
      <c r="T36" s="207" t="e">
        <f>IF(U36=W36,X42,X43)</f>
        <v>#VALUE!</v>
      </c>
      <c r="U36" s="212" t="str">
        <f>メイン!C43</f>
        <v>標準計算</v>
      </c>
      <c r="V36" s="213" t="s">
        <v>635</v>
      </c>
      <c r="W36" s="212" t="s">
        <v>373</v>
      </c>
      <c r="X36" s="212" t="s">
        <v>524</v>
      </c>
      <c r="Y36" s="207"/>
      <c r="Z36" s="207"/>
      <c r="AA36" s="55"/>
      <c r="AB36" s="55"/>
    </row>
    <row r="37" spans="2:35" ht="15" customHeight="1">
      <c r="B37" s="110"/>
      <c r="C37" s="64"/>
      <c r="D37" s="64"/>
      <c r="E37" s="64"/>
      <c r="F37" s="64"/>
      <c r="G37" s="64"/>
      <c r="H37" s="64"/>
      <c r="I37" s="210"/>
      <c r="J37" s="195"/>
      <c r="K37" s="64"/>
      <c r="L37" s="64"/>
      <c r="M37" s="64"/>
      <c r="N37" s="214"/>
      <c r="O37" s="111"/>
      <c r="P37" s="64"/>
      <c r="Q37" s="64"/>
      <c r="R37" s="101" t="s">
        <v>1192</v>
      </c>
      <c r="S37" s="148" t="e">
        <f>1-S36</f>
        <v>#VALUE!</v>
      </c>
      <c r="T37" s="207"/>
      <c r="U37" s="212" t="s">
        <v>1761</v>
      </c>
      <c r="V37" s="207" t="str">
        <f>IF(U36=W37,V36,"")</f>
        <v/>
      </c>
      <c r="W37" s="212" t="s">
        <v>375</v>
      </c>
      <c r="X37" s="212" t="s">
        <v>590</v>
      </c>
      <c r="Y37" s="207"/>
      <c r="Z37" s="207"/>
      <c r="AA37" s="55"/>
      <c r="AB37" s="55"/>
    </row>
    <row r="38" spans="2:35" ht="15" customHeight="1">
      <c r="B38" s="110"/>
      <c r="C38" s="50"/>
      <c r="D38" s="64"/>
      <c r="E38" s="64"/>
      <c r="F38" s="64"/>
      <c r="G38" s="64"/>
      <c r="H38" s="64"/>
      <c r="I38" s="210"/>
      <c r="J38" s="110"/>
      <c r="K38" s="215"/>
      <c r="L38" s="215"/>
      <c r="M38" s="215"/>
      <c r="N38" s="64"/>
      <c r="O38" s="111"/>
      <c r="P38" s="64"/>
      <c r="Q38" s="64"/>
      <c r="S38" s="64"/>
      <c r="AA38" s="55"/>
      <c r="AB38" s="55"/>
    </row>
    <row r="39" spans="2:35" ht="15" customHeight="1" thickBot="1">
      <c r="B39" s="216"/>
      <c r="C39" s="155"/>
      <c r="D39" s="155"/>
      <c r="E39" s="155"/>
      <c r="F39" s="155"/>
      <c r="G39" s="155"/>
      <c r="H39" s="155"/>
      <c r="I39" s="1790"/>
      <c r="J39" s="216"/>
      <c r="K39" s="217"/>
      <c r="L39" s="217"/>
      <c r="M39" s="217"/>
      <c r="N39" s="155"/>
      <c r="O39" s="218"/>
      <c r="P39" s="64"/>
      <c r="Q39" s="64"/>
      <c r="R39" s="219" t="s">
        <v>1193</v>
      </c>
      <c r="S39" s="220" t="s">
        <v>591</v>
      </c>
      <c r="T39" s="220" t="s">
        <v>592</v>
      </c>
      <c r="U39" s="220" t="s">
        <v>593</v>
      </c>
      <c r="V39" s="220" t="s">
        <v>1194</v>
      </c>
      <c r="W39" s="220" t="s">
        <v>1195</v>
      </c>
      <c r="X39" s="220" t="s">
        <v>1196</v>
      </c>
      <c r="Y39" s="98" t="s">
        <v>1197</v>
      </c>
      <c r="AA39" s="212"/>
    </row>
    <row r="40" spans="2:35" ht="18" customHeight="1" thickBot="1">
      <c r="B40" s="221" t="s">
        <v>1198</v>
      </c>
      <c r="C40" s="222"/>
      <c r="D40" s="223"/>
      <c r="E40" s="222"/>
      <c r="F40" s="222"/>
      <c r="G40" s="222"/>
      <c r="H40" s="224"/>
      <c r="I40" s="225"/>
      <c r="J40" s="222"/>
      <c r="K40" s="222"/>
      <c r="L40" s="222"/>
      <c r="M40" s="226"/>
      <c r="N40" s="226"/>
      <c r="O40" s="227"/>
      <c r="R40" s="98" t="s">
        <v>594</v>
      </c>
      <c r="S40" s="228">
        <f>IF($U$36=$W$36,'条件(標準)'!$D9,'条件(個別)'!$D9)</f>
        <v>13.998000000000001</v>
      </c>
      <c r="T40" s="228">
        <f>IF($U$36=$W$36,'条件(標準)'!$D34,'条件(個別)'!$D34)</f>
        <v>16.21</v>
      </c>
      <c r="U40" s="228" t="e">
        <f>IF($U$36=$W$36,'条件(標準)'!$D46,'条件(個別)'!$D46)</f>
        <v>#VALUE!</v>
      </c>
      <c r="V40" s="229"/>
      <c r="W40" s="229"/>
      <c r="X40" s="230">
        <v>1</v>
      </c>
      <c r="Y40" s="98" t="e">
        <f>IF(COUNTIF(S40:W40,Z41)&gt;0,Z41,SUM(S40:W40))</f>
        <v>#VALUE!</v>
      </c>
      <c r="AA40" s="231"/>
    </row>
    <row r="41" spans="2:35" ht="18.75">
      <c r="B41" s="232" t="s">
        <v>595</v>
      </c>
      <c r="C41" s="233"/>
      <c r="D41" s="233"/>
      <c r="E41" s="234"/>
      <c r="F41" s="233"/>
      <c r="G41" s="233"/>
      <c r="H41" s="233"/>
      <c r="I41" s="233"/>
      <c r="J41" s="233"/>
      <c r="K41" s="235"/>
      <c r="L41" s="236"/>
      <c r="M41" s="237" t="s">
        <v>596</v>
      </c>
      <c r="N41" s="238">
        <f>スコア!U8</f>
        <v>2.9</v>
      </c>
      <c r="O41" s="239"/>
      <c r="R41" s="98" t="s">
        <v>597</v>
      </c>
      <c r="S41" s="228">
        <f>IF($U$36=$W$36,'条件(標準)'!$E9,'条件(個別)'!$E9)</f>
        <v>13.998000000000001</v>
      </c>
      <c r="T41" s="228">
        <f>IF($U$36=$W$36,'条件(標準)'!$E34,'条件(個別)'!$E34)</f>
        <v>16.21</v>
      </c>
      <c r="U41" s="228" t="e">
        <f>IF($U$36=$W$36,'条件(標準)'!$E46,'条件(個別)'!$E46)</f>
        <v>#VALUE!</v>
      </c>
      <c r="V41" s="229"/>
      <c r="W41" s="229"/>
      <c r="X41" s="230" t="e">
        <f>IF(OR(Y40=Z41,Y41=Z41),Z41,Y41/Y40)</f>
        <v>#VALUE!</v>
      </c>
      <c r="Y41" s="98" t="e">
        <f>IF(COUNTIF(S41:W41,Z41)&gt;0,Z41,SUM(S41:W41))</f>
        <v>#VALUE!</v>
      </c>
      <c r="Z41" s="64" t="str">
        <f>CO2計算!R115</f>
        <v>N.A.</v>
      </c>
      <c r="AA41" s="231"/>
    </row>
    <row r="42" spans="2:35" ht="15">
      <c r="B42" s="110"/>
      <c r="C42" s="86" t="str">
        <f>スコア!B9&amp;" "&amp;スコア!C9</f>
        <v>Q1 室内環境</v>
      </c>
      <c r="D42" s="240"/>
      <c r="E42" s="240"/>
      <c r="F42" s="240"/>
      <c r="G42" s="240"/>
      <c r="H42" s="240" t="str">
        <f>"     "&amp;スコア!B62&amp;" "&amp;スコア!C62</f>
        <v xml:space="preserve">     Q2 サービス性能</v>
      </c>
      <c r="I42" s="240"/>
      <c r="J42" s="55"/>
      <c r="K42" s="55"/>
      <c r="L42" s="241" t="str">
        <f>スコア!B112&amp;" "&amp;スコア!C112</f>
        <v>Q3 室外環境（敷地内）</v>
      </c>
      <c r="M42" s="241"/>
      <c r="N42" s="55"/>
      <c r="O42" s="154"/>
      <c r="R42" s="98" t="s">
        <v>598</v>
      </c>
      <c r="S42" s="228"/>
      <c r="T42" s="228"/>
      <c r="U42" s="228"/>
      <c r="V42" s="242" t="e">
        <f>IF($U$36=$W$36,'条件(標準)'!E9+'条件(標準)'!E34+'条件(標準)'!E47,'条件(個別)'!E9+'条件(個別)'!E34+'条件(個別)'!E47)</f>
        <v>#VALUE!</v>
      </c>
      <c r="W42" s="229"/>
      <c r="X42" s="230" t="e">
        <f>IF(OR(Y40=Z42,Y42=Z42),Z42,Y42/Y40)</f>
        <v>#VALUE!</v>
      </c>
      <c r="Y42" s="98" t="e">
        <f>IF(COUNTIF(S42:W42,Z42)&gt;0,Z42,SUM(S42:W42))</f>
        <v>#VALUE!</v>
      </c>
      <c r="Z42" s="64" t="str">
        <f>CO2計算!R115</f>
        <v>N.A.</v>
      </c>
      <c r="AA42" s="231"/>
    </row>
    <row r="43" spans="2:35" ht="15" customHeight="1">
      <c r="B43" s="110"/>
      <c r="C43" s="243"/>
      <c r="D43" s="244"/>
      <c r="E43" s="245"/>
      <c r="F43" s="64"/>
      <c r="G43" s="240">
        <f>S46</f>
        <v>3</v>
      </c>
      <c r="H43" s="64"/>
      <c r="I43" s="245"/>
      <c r="J43" s="64"/>
      <c r="K43" s="240">
        <f>V46</f>
        <v>2.9</v>
      </c>
      <c r="L43" s="64"/>
      <c r="M43" s="246"/>
      <c r="N43" s="245"/>
      <c r="O43" s="247">
        <f>Y46</f>
        <v>3</v>
      </c>
      <c r="R43" s="98" t="s">
        <v>599</v>
      </c>
      <c r="S43" s="228"/>
      <c r="T43" s="228"/>
      <c r="U43" s="228"/>
      <c r="V43" s="242"/>
      <c r="W43" s="248" t="e">
        <f>IF($U$36=$W$36,'条件(標準)'!E9+'条件(標準)'!E34+'条件(標準)'!E52,'条件(個別)'!E9+'条件(個別)'!E34+'条件(個別)'!E52)</f>
        <v>#VALUE!</v>
      </c>
      <c r="X43" s="230" t="e">
        <f>IF(OR(Y40=Z43,Y43=Z43),Z43,Y43/Y40)</f>
        <v>#VALUE!</v>
      </c>
      <c r="Y43" s="98" t="e">
        <f>IF(COUNTIF(S43:W43,Z43)&gt;0,Z43,SUM(S43:W43))</f>
        <v>#VALUE!</v>
      </c>
      <c r="Z43" s="64" t="str">
        <f>CO2計算!R115</f>
        <v>N.A.</v>
      </c>
      <c r="AA43" s="231"/>
    </row>
    <row r="44" spans="2:35" ht="15" customHeight="1">
      <c r="B44" s="110"/>
      <c r="C44" s="64"/>
      <c r="D44" s="64"/>
      <c r="E44" s="64"/>
      <c r="F44" s="64"/>
      <c r="L44" s="55"/>
      <c r="M44" s="55"/>
      <c r="N44" s="55"/>
      <c r="O44" s="154"/>
      <c r="S44" s="64"/>
      <c r="AA44" s="55"/>
      <c r="AB44" s="55"/>
      <c r="AC44" s="249"/>
      <c r="AF44" s="249"/>
      <c r="AG44" s="249"/>
      <c r="AI44" s="249"/>
    </row>
    <row r="45" spans="2:35" ht="15" customHeight="1">
      <c r="B45" s="110"/>
      <c r="C45" s="64"/>
      <c r="D45" s="64"/>
      <c r="E45" s="64"/>
      <c r="F45" s="64"/>
      <c r="L45" s="55"/>
      <c r="M45" s="55"/>
      <c r="N45" s="55"/>
      <c r="O45" s="154"/>
      <c r="R45" s="101"/>
      <c r="S45" s="101" t="s">
        <v>1886</v>
      </c>
      <c r="T45" s="101" t="s">
        <v>600</v>
      </c>
      <c r="U45" s="101"/>
      <c r="V45" s="101" t="s">
        <v>1886</v>
      </c>
      <c r="W45" s="101" t="s">
        <v>600</v>
      </c>
      <c r="X45" s="101"/>
      <c r="Y45" s="101" t="s">
        <v>1886</v>
      </c>
      <c r="Z45" s="101" t="s">
        <v>600</v>
      </c>
      <c r="AA45" s="55"/>
      <c r="AB45" s="55"/>
    </row>
    <row r="46" spans="2:35" ht="15" customHeight="1">
      <c r="B46" s="110"/>
      <c r="C46" s="64"/>
      <c r="D46" s="64"/>
      <c r="E46" s="64"/>
      <c r="F46" s="64"/>
      <c r="L46" s="55"/>
      <c r="M46" s="55"/>
      <c r="N46" s="55"/>
      <c r="O46" s="154"/>
      <c r="R46" s="250" t="s">
        <v>781</v>
      </c>
      <c r="S46" s="251">
        <f>スコア!U9</f>
        <v>3</v>
      </c>
      <c r="T46" s="101">
        <f>スコア!AD9</f>
        <v>3</v>
      </c>
      <c r="U46" s="99" t="s">
        <v>1199</v>
      </c>
      <c r="V46" s="252">
        <f>スコア!U62</f>
        <v>2.9</v>
      </c>
      <c r="W46" s="101">
        <f>スコア!AD62</f>
        <v>2.96</v>
      </c>
      <c r="X46" s="250" t="s">
        <v>782</v>
      </c>
      <c r="Y46" s="252">
        <f>スコア!U112</f>
        <v>3</v>
      </c>
      <c r="Z46" s="101">
        <f>スコア!AD112</f>
        <v>3</v>
      </c>
      <c r="AA46" s="55"/>
      <c r="AB46" s="55"/>
    </row>
    <row r="47" spans="2:35" ht="15" customHeight="1">
      <c r="B47" s="110"/>
      <c r="C47" s="64"/>
      <c r="D47" s="64"/>
      <c r="E47" s="64"/>
      <c r="F47" s="64"/>
      <c r="L47" s="55"/>
      <c r="M47" s="55"/>
      <c r="N47" s="55"/>
      <c r="O47" s="154"/>
      <c r="S47" s="64"/>
      <c r="AA47" s="55"/>
      <c r="AB47" s="55"/>
    </row>
    <row r="48" spans="2:35" ht="15" customHeight="1">
      <c r="B48" s="110"/>
      <c r="C48" s="64"/>
      <c r="D48" s="64"/>
      <c r="E48" s="64"/>
      <c r="F48" s="64"/>
      <c r="L48" s="55"/>
      <c r="M48" s="55"/>
      <c r="N48" s="55"/>
      <c r="O48" s="154"/>
      <c r="R48" s="101"/>
      <c r="S48" s="101" t="s">
        <v>1200</v>
      </c>
      <c r="T48" s="101" t="s">
        <v>1201</v>
      </c>
      <c r="U48" s="101"/>
      <c r="V48" s="101" t="s">
        <v>1200</v>
      </c>
      <c r="W48" s="101" t="s">
        <v>1201</v>
      </c>
      <c r="X48" s="101"/>
      <c r="Y48" s="253" t="s">
        <v>1200</v>
      </c>
      <c r="Z48" s="101" t="s">
        <v>1201</v>
      </c>
      <c r="AA48" s="55"/>
      <c r="AB48" s="55"/>
    </row>
    <row r="49" spans="1:28" ht="15" customHeight="1">
      <c r="B49" s="110"/>
      <c r="C49" s="64"/>
      <c r="D49" s="64"/>
      <c r="E49" s="64"/>
      <c r="F49" s="64"/>
      <c r="G49" s="254"/>
      <c r="H49" s="254"/>
      <c r="L49" s="55"/>
      <c r="M49" s="55"/>
      <c r="N49" s="55"/>
      <c r="O49" s="154"/>
      <c r="R49" s="255" t="s">
        <v>783</v>
      </c>
      <c r="S49" s="251">
        <f>スコア!U10</f>
        <v>3</v>
      </c>
      <c r="T49" s="101" t="str">
        <f>IF(S49=0,"N.A.","")</f>
        <v/>
      </c>
      <c r="U49" s="99" t="s">
        <v>784</v>
      </c>
      <c r="V49" s="252">
        <f>スコア!U63</f>
        <v>2.9</v>
      </c>
      <c r="W49" s="101" t="str">
        <f>IF(V49=0,"N.A.","")</f>
        <v/>
      </c>
      <c r="X49" s="1791" t="s">
        <v>2932</v>
      </c>
      <c r="Y49" s="252">
        <f>スコア!U114</f>
        <v>0</v>
      </c>
      <c r="Z49" s="101" t="str">
        <f>IF(Y49=0,"N.A.","")</f>
        <v>N.A.</v>
      </c>
      <c r="AA49" s="55"/>
      <c r="AB49" s="55"/>
    </row>
    <row r="50" spans="1:28" ht="15" customHeight="1">
      <c r="B50" s="110"/>
      <c r="C50" s="64"/>
      <c r="D50" s="64"/>
      <c r="E50" s="64"/>
      <c r="F50" s="64"/>
      <c r="G50" s="254"/>
      <c r="H50" s="254"/>
      <c r="L50" s="55"/>
      <c r="M50" s="55"/>
      <c r="N50" s="55"/>
      <c r="O50" s="154"/>
      <c r="R50" s="255" t="s">
        <v>786</v>
      </c>
      <c r="S50" s="251">
        <f>スコア!U20</f>
        <v>3</v>
      </c>
      <c r="T50" s="101" t="str">
        <f>IF(S50=0,"N.A.","")</f>
        <v/>
      </c>
      <c r="U50" s="99" t="s">
        <v>787</v>
      </c>
      <c r="V50" s="252">
        <f>スコア!U78</f>
        <v>3</v>
      </c>
      <c r="W50" s="101" t="str">
        <f>IF(V50=0,"N.A.","")</f>
        <v/>
      </c>
      <c r="X50" s="255"/>
      <c r="Y50" s="252">
        <f>スコア!U116</f>
        <v>3</v>
      </c>
      <c r="Z50" s="101" t="str">
        <f>IF(Y50=0,"N.A.","")</f>
        <v/>
      </c>
      <c r="AA50" s="55"/>
      <c r="AB50" s="55"/>
    </row>
    <row r="51" spans="1:28" ht="15" customHeight="1">
      <c r="B51" s="110"/>
      <c r="C51" s="64"/>
      <c r="D51" s="64"/>
      <c r="E51" s="64"/>
      <c r="F51" s="64"/>
      <c r="G51" s="134"/>
      <c r="H51" s="129"/>
      <c r="I51" s="256"/>
      <c r="J51" s="256"/>
      <c r="K51" s="257"/>
      <c r="L51" s="258"/>
      <c r="M51" s="258"/>
      <c r="N51" s="258"/>
      <c r="O51" s="259"/>
      <c r="R51" s="255" t="s">
        <v>788</v>
      </c>
      <c r="S51" s="251">
        <f>スコア!U35</f>
        <v>3</v>
      </c>
      <c r="T51" s="101" t="str">
        <f>IF(S51=0,"N.A.","")</f>
        <v/>
      </c>
      <c r="U51" s="99" t="s">
        <v>789</v>
      </c>
      <c r="V51" s="252">
        <f>スコア!U100</f>
        <v>3</v>
      </c>
      <c r="W51" s="101" t="str">
        <f>IF(V51=0,"N.A.","")</f>
        <v/>
      </c>
      <c r="X51" s="255"/>
      <c r="Y51" s="252">
        <f>スコア!U117</f>
        <v>3</v>
      </c>
      <c r="Z51" s="101" t="str">
        <f>IF(Y51=0,"N.A.","")</f>
        <v/>
      </c>
      <c r="AA51" s="55"/>
      <c r="AB51" s="55"/>
    </row>
    <row r="52" spans="1:28" ht="18" customHeight="1">
      <c r="A52" s="260"/>
      <c r="B52" s="261" t="s">
        <v>1203</v>
      </c>
      <c r="C52" s="262"/>
      <c r="D52" s="263"/>
      <c r="E52" s="262"/>
      <c r="F52" s="262"/>
      <c r="G52" s="262"/>
      <c r="H52" s="233"/>
      <c r="I52" s="233"/>
      <c r="J52" s="233"/>
      <c r="K52" s="235"/>
      <c r="L52" s="236"/>
      <c r="M52" s="237" t="s">
        <v>1204</v>
      </c>
      <c r="N52" s="264" t="e">
        <f>スコア!U121</f>
        <v>#VALUE!</v>
      </c>
      <c r="O52" s="239"/>
      <c r="R52" s="255" t="s">
        <v>71</v>
      </c>
      <c r="S52" s="251">
        <f>スコア!U48</f>
        <v>3</v>
      </c>
      <c r="T52" s="101" t="str">
        <f>IF(S52=0,"N.A.","")</f>
        <v/>
      </c>
      <c r="U52" s="55"/>
      <c r="V52" s="55"/>
      <c r="W52" s="55"/>
      <c r="X52" s="55"/>
      <c r="Y52" s="55"/>
      <c r="Z52" s="55"/>
      <c r="AA52" s="55"/>
      <c r="AB52" s="55"/>
    </row>
    <row r="53" spans="1:28" ht="15">
      <c r="B53" s="265"/>
      <c r="C53" s="241" t="str">
        <f>スコア!B122&amp;" "&amp;スコア!C122</f>
        <v>LR1 エネルギー</v>
      </c>
      <c r="D53" s="241"/>
      <c r="E53" s="266"/>
      <c r="F53" s="241"/>
      <c r="G53" s="241"/>
      <c r="H53" s="241" t="str">
        <f>"     "&amp;スコア!B145&amp;" "&amp;スコア!C145</f>
        <v xml:space="preserve">     LR2 資源・マテリアル</v>
      </c>
      <c r="I53" s="241"/>
      <c r="J53" s="241"/>
      <c r="K53" s="241"/>
      <c r="L53" s="86" t="str">
        <f>スコア!B172&amp;" "&amp;スコア!C172</f>
        <v>LR3 敷地外環境</v>
      </c>
      <c r="M53" s="241"/>
      <c r="N53" s="241"/>
      <c r="O53" s="267"/>
      <c r="R53" s="55"/>
      <c r="S53" s="55"/>
      <c r="T53" s="101"/>
      <c r="U53" s="55"/>
      <c r="V53" s="55"/>
      <c r="W53" s="55"/>
      <c r="X53" s="55"/>
      <c r="Y53" s="55"/>
      <c r="Z53" s="55"/>
      <c r="AA53" s="55"/>
      <c r="AB53" s="55"/>
    </row>
    <row r="54" spans="1:28" ht="15">
      <c r="B54" s="268"/>
      <c r="C54" s="243"/>
      <c r="D54" s="244"/>
      <c r="E54" s="245"/>
      <c r="F54" s="64"/>
      <c r="G54" s="240">
        <f>S57</f>
        <v>3</v>
      </c>
      <c r="H54" s="64"/>
      <c r="I54" s="245"/>
      <c r="J54" s="64"/>
      <c r="K54" s="240">
        <f>V57</f>
        <v>3</v>
      </c>
      <c r="L54" s="245"/>
      <c r="M54" s="64"/>
      <c r="N54" s="269"/>
      <c r="O54" s="247" t="e">
        <f>Y57</f>
        <v>#VALUE!</v>
      </c>
      <c r="R54" s="55" t="str">
        <f>IF(S49=0,"N.A.","")</f>
        <v/>
      </c>
      <c r="S54" s="55"/>
      <c r="T54" s="55"/>
      <c r="U54" s="55"/>
      <c r="V54" s="55"/>
      <c r="W54" s="55"/>
      <c r="X54" s="55"/>
      <c r="Y54" s="55"/>
      <c r="Z54" s="55"/>
      <c r="AA54" s="55"/>
      <c r="AB54" s="55"/>
    </row>
    <row r="55" spans="1:28" ht="14.25">
      <c r="B55" s="268"/>
      <c r="C55" s="270"/>
      <c r="D55" s="270"/>
      <c r="E55" s="271"/>
      <c r="F55" s="134"/>
      <c r="G55" s="134"/>
      <c r="H55" s="134"/>
      <c r="O55" s="97"/>
      <c r="S55" s="64"/>
      <c r="AA55" s="55"/>
      <c r="AB55" s="55"/>
    </row>
    <row r="56" spans="1:28" ht="15.75" customHeight="1">
      <c r="B56" s="268"/>
      <c r="C56" s="96"/>
      <c r="D56" s="272"/>
      <c r="I56" s="273"/>
      <c r="O56" s="97"/>
      <c r="R56" s="101"/>
      <c r="S56" s="101" t="s">
        <v>1205</v>
      </c>
      <c r="T56" s="101" t="s">
        <v>1206</v>
      </c>
      <c r="U56" s="101"/>
      <c r="V56" s="101" t="s">
        <v>1205</v>
      </c>
      <c r="W56" s="101" t="s">
        <v>1206</v>
      </c>
      <c r="X56" s="101"/>
      <c r="Y56" s="101" t="s">
        <v>1205</v>
      </c>
      <c r="Z56" s="101" t="s">
        <v>1206</v>
      </c>
      <c r="AA56" s="55"/>
      <c r="AB56" s="55"/>
    </row>
    <row r="57" spans="1:28" ht="15.75" customHeight="1">
      <c r="B57" s="268"/>
      <c r="I57" s="273"/>
      <c r="O57" s="97"/>
      <c r="R57" s="99" t="s">
        <v>1207</v>
      </c>
      <c r="S57" s="252">
        <f>スコア!U122</f>
        <v>3</v>
      </c>
      <c r="T57" s="101">
        <f>スコア!AD122</f>
        <v>3.0000000000000004</v>
      </c>
      <c r="U57" s="99" t="s">
        <v>72</v>
      </c>
      <c r="V57" s="274">
        <f>スコア!U145</f>
        <v>3</v>
      </c>
      <c r="W57" s="101">
        <f>スコア!AD145</f>
        <v>3.0000000000000004</v>
      </c>
      <c r="X57" s="99" t="s">
        <v>1996</v>
      </c>
      <c r="Y57" s="252" t="e">
        <f>スコア!U172</f>
        <v>#VALUE!</v>
      </c>
      <c r="Z57" s="101" t="e">
        <f>スコア!AD172</f>
        <v>#VALUE!</v>
      </c>
      <c r="AA57" s="55"/>
      <c r="AB57" s="55"/>
    </row>
    <row r="58" spans="1:28" ht="15.75" customHeight="1">
      <c r="B58" s="275"/>
      <c r="I58" s="273"/>
      <c r="O58" s="97"/>
      <c r="S58" s="64"/>
      <c r="Y58" s="276"/>
      <c r="AA58" s="55"/>
      <c r="AB58" s="55"/>
    </row>
    <row r="59" spans="1:28" ht="15.75" customHeight="1">
      <c r="B59" s="275"/>
      <c r="I59" s="273"/>
      <c r="O59" s="97"/>
      <c r="R59" s="101"/>
      <c r="S59" s="101" t="s">
        <v>1208</v>
      </c>
      <c r="T59" s="101" t="s">
        <v>1209</v>
      </c>
      <c r="U59" s="101"/>
      <c r="V59" s="101" t="s">
        <v>1208</v>
      </c>
      <c r="W59" s="101" t="s">
        <v>1209</v>
      </c>
      <c r="X59" s="101"/>
      <c r="Y59" s="253" t="s">
        <v>1208</v>
      </c>
      <c r="Z59" s="101" t="s">
        <v>1209</v>
      </c>
      <c r="AA59" s="55"/>
      <c r="AB59" s="55"/>
    </row>
    <row r="60" spans="1:28" ht="15.75" customHeight="1">
      <c r="B60" s="275"/>
      <c r="I60" s="273"/>
      <c r="O60" s="97"/>
      <c r="R60" s="99" t="s">
        <v>1997</v>
      </c>
      <c r="S60" s="277">
        <f>スコア!U123</f>
        <v>3</v>
      </c>
      <c r="T60" s="101" t="str">
        <f>IF(S60=0,"N.A.","")</f>
        <v/>
      </c>
      <c r="U60" s="278" t="s">
        <v>1998</v>
      </c>
      <c r="V60" s="252">
        <f>スコア!U146</f>
        <v>3</v>
      </c>
      <c r="W60" s="101" t="str">
        <f>IF(V60=0,"N.A.","")</f>
        <v/>
      </c>
      <c r="X60" s="99"/>
      <c r="Y60" s="252" t="e">
        <f>スコア!U173</f>
        <v>#VALUE!</v>
      </c>
      <c r="Z60" s="101" t="e">
        <f>IF(Y60=0,"N.A.","")</f>
        <v>#VALUE!</v>
      </c>
      <c r="AA60" s="55"/>
      <c r="AB60" s="55"/>
    </row>
    <row r="61" spans="1:28" ht="15.75" customHeight="1">
      <c r="B61" s="275"/>
      <c r="I61" s="273"/>
      <c r="O61" s="97"/>
      <c r="R61" s="99" t="s">
        <v>2213</v>
      </c>
      <c r="S61" s="277">
        <f>スコア!U124</f>
        <v>3</v>
      </c>
      <c r="T61" s="101" t="str">
        <f>IF(S61=0,"N.A.","")</f>
        <v/>
      </c>
      <c r="U61" s="278" t="s">
        <v>2214</v>
      </c>
      <c r="V61" s="252">
        <f>スコア!U151</f>
        <v>3</v>
      </c>
      <c r="W61" s="101" t="str">
        <f>IF(V61=0,"N.A.","")</f>
        <v/>
      </c>
      <c r="X61" s="99" t="s">
        <v>2215</v>
      </c>
      <c r="Y61" s="252">
        <f>スコア!U174</f>
        <v>3</v>
      </c>
      <c r="Z61" s="101" t="str">
        <f>IF(Y61=0,"N.A.","")</f>
        <v/>
      </c>
      <c r="AA61" s="55"/>
      <c r="AB61" s="55"/>
    </row>
    <row r="62" spans="1:28" ht="15.75" customHeight="1" thickBot="1">
      <c r="B62" s="279"/>
      <c r="C62" s="280"/>
      <c r="D62" s="281"/>
      <c r="E62" s="280"/>
      <c r="F62" s="282"/>
      <c r="G62" s="282"/>
      <c r="H62" s="282"/>
      <c r="I62" s="283"/>
      <c r="J62" s="156"/>
      <c r="K62" s="156"/>
      <c r="L62" s="156"/>
      <c r="M62" s="284"/>
      <c r="N62" s="284"/>
      <c r="O62" s="285"/>
      <c r="R62" s="99" t="s">
        <v>2216</v>
      </c>
      <c r="S62" s="277">
        <f>スコア!U129</f>
        <v>3</v>
      </c>
      <c r="T62" s="101" t="str">
        <f>IF(S62=0,"N.A.","")</f>
        <v/>
      </c>
      <c r="U62" s="286" t="s">
        <v>2217</v>
      </c>
      <c r="V62" s="287">
        <f>スコア!U166</f>
        <v>3</v>
      </c>
      <c r="W62" s="101" t="str">
        <f>IF(V62=0,"N.A.","")</f>
        <v/>
      </c>
      <c r="X62" s="99"/>
      <c r="Y62" s="252">
        <f>スコア!U183</f>
        <v>3</v>
      </c>
      <c r="Z62" s="101" t="str">
        <f>IF(Y62=0,"N.A.","")</f>
        <v/>
      </c>
      <c r="AA62" s="55"/>
      <c r="AB62" s="55"/>
    </row>
    <row r="63" spans="1:28" ht="6" customHeight="1" thickBot="1">
      <c r="B63" s="288"/>
      <c r="C63" s="273"/>
      <c r="D63" s="289"/>
      <c r="R63" s="99" t="s">
        <v>2219</v>
      </c>
      <c r="S63" s="277">
        <f>スコア!U138</f>
        <v>3</v>
      </c>
      <c r="T63" s="101" t="str">
        <f>IF(S63=0,"N.A.","")</f>
        <v/>
      </c>
      <c r="U63" s="55"/>
      <c r="V63" s="290"/>
      <c r="W63" s="290"/>
      <c r="X63" s="290"/>
      <c r="Y63" s="290"/>
      <c r="Z63" s="290"/>
      <c r="AA63" s="55"/>
      <c r="AB63" s="55"/>
    </row>
    <row r="64" spans="1:28" ht="15.75">
      <c r="B64" s="166" t="s">
        <v>2220</v>
      </c>
      <c r="C64" s="291"/>
      <c r="D64" s="292"/>
      <c r="E64" s="291"/>
      <c r="F64" s="291"/>
      <c r="G64" s="291"/>
      <c r="H64" s="293"/>
      <c r="I64" s="294"/>
      <c r="J64" s="291"/>
      <c r="K64" s="291"/>
      <c r="L64" s="291"/>
      <c r="M64" s="295"/>
      <c r="N64" s="295"/>
      <c r="O64" s="296"/>
      <c r="R64" s="55"/>
      <c r="S64" s="55"/>
      <c r="T64" s="55"/>
      <c r="U64" s="55"/>
      <c r="V64" s="290"/>
      <c r="W64" s="290"/>
      <c r="X64" s="290"/>
      <c r="Y64" s="290"/>
      <c r="Z64" s="290"/>
      <c r="AA64" s="55"/>
      <c r="AB64" s="55"/>
    </row>
    <row r="65" spans="1:28" ht="14.25">
      <c r="B65" s="297" t="s">
        <v>2221</v>
      </c>
      <c r="C65" s="298"/>
      <c r="D65" s="299"/>
      <c r="E65" s="298"/>
      <c r="F65" s="298"/>
      <c r="G65" s="298"/>
      <c r="H65" s="298"/>
      <c r="I65" s="298"/>
      <c r="J65" s="298"/>
      <c r="K65" s="300"/>
      <c r="L65" s="301" t="s">
        <v>2222</v>
      </c>
      <c r="M65" s="302"/>
      <c r="N65" s="302"/>
      <c r="O65" s="303"/>
      <c r="R65" s="304"/>
      <c r="S65" s="55"/>
      <c r="T65" s="55"/>
      <c r="U65" s="55"/>
      <c r="V65" s="290"/>
      <c r="W65" s="290"/>
      <c r="X65" s="290"/>
      <c r="Y65" s="290"/>
      <c r="Z65" s="290"/>
      <c r="AA65" s="55"/>
      <c r="AB65" s="55"/>
    </row>
    <row r="66" spans="1:28" ht="52.5" customHeight="1">
      <c r="B66" s="3082" t="str">
        <f>IF(配慮!C4=0,"",配慮!C4)</f>
        <v>　注）　設計における総合的なコンセプトを簡潔に記載してください。
　</v>
      </c>
      <c r="C66" s="3083"/>
      <c r="D66" s="3083"/>
      <c r="E66" s="3083"/>
      <c r="F66" s="3083"/>
      <c r="G66" s="3083"/>
      <c r="H66" s="3083"/>
      <c r="I66" s="3083"/>
      <c r="J66" s="3083"/>
      <c r="K66" s="3084"/>
      <c r="L66" s="3085" t="str">
        <f>配慮!C11</f>
        <v>　注）　上記の６つのカテゴリー以外に、建設工事における廃棄物削減・リサイクル、歴史的建造物の保存など、建物自体の環境性能としてＣＡＳＢＥＥで評価し難い環境配慮の取組みがあれば、ここに記載してください。</v>
      </c>
      <c r="M66" s="3086"/>
      <c r="N66" s="3086"/>
      <c r="O66" s="3087"/>
      <c r="R66" s="55"/>
      <c r="S66" s="55"/>
      <c r="T66" s="55"/>
      <c r="U66" s="55"/>
      <c r="V66" s="290"/>
      <c r="W66" s="290"/>
      <c r="X66" s="290"/>
      <c r="Y66" s="290"/>
      <c r="Z66" s="290"/>
      <c r="AA66" s="55"/>
      <c r="AB66" s="55"/>
    </row>
    <row r="67" spans="1:28" ht="15">
      <c r="B67" s="305" t="str">
        <f>配慮!B5</f>
        <v>Q1 
室内環境</v>
      </c>
      <c r="C67" s="302"/>
      <c r="D67" s="302"/>
      <c r="E67" s="302"/>
      <c r="F67" s="302"/>
      <c r="G67" s="306"/>
      <c r="H67" s="307" t="str">
        <f>配慮!B6</f>
        <v>Q2 
サービス性能</v>
      </c>
      <c r="I67" s="308"/>
      <c r="J67" s="308"/>
      <c r="K67" s="309"/>
      <c r="L67" s="310" t="str">
        <f>配慮!B7</f>
        <v>Q3 
室外環境（敷地内）</v>
      </c>
      <c r="M67" s="311"/>
      <c r="N67" s="312"/>
      <c r="O67" s="313"/>
      <c r="R67" s="55"/>
      <c r="S67" s="55"/>
      <c r="T67" s="55"/>
      <c r="U67" s="55"/>
      <c r="V67" s="55"/>
      <c r="W67" s="55"/>
      <c r="X67" s="55"/>
      <c r="Y67" s="55"/>
      <c r="Z67" s="55"/>
      <c r="AA67" s="55"/>
      <c r="AB67" s="55"/>
    </row>
    <row r="68" spans="1:28" ht="50.25" customHeight="1">
      <c r="B68" s="3088" t="str">
        <f>IF(配慮!C5=0,"",配慮!C5)</f>
        <v>　注）　「Q1　室内環境」に対する配慮事項を簡潔に記載してください。</v>
      </c>
      <c r="C68" s="3086"/>
      <c r="D68" s="3086"/>
      <c r="E68" s="3086"/>
      <c r="F68" s="3086"/>
      <c r="G68" s="3089"/>
      <c r="H68" s="3090" t="str">
        <f>IF(配慮!C6=0,"",配慮!C6)</f>
        <v>　注）　「Q2　サービス性能」に対する配慮事項を簡潔に記載してください。</v>
      </c>
      <c r="I68" s="3086"/>
      <c r="J68" s="3086"/>
      <c r="K68" s="3089"/>
      <c r="L68" s="3090" t="str">
        <f>IF(配慮!C7=0,"",配慮!C7)</f>
        <v>　注）　「Q3　室外環境（敷地内）」に対する配慮事項を簡潔に記載してください。</v>
      </c>
      <c r="M68" s="3086"/>
      <c r="N68" s="3086"/>
      <c r="O68" s="3087"/>
      <c r="R68" s="55"/>
      <c r="S68" s="55"/>
      <c r="T68" s="55"/>
      <c r="U68" s="55"/>
      <c r="V68" s="55"/>
      <c r="W68" s="55"/>
      <c r="X68" s="55"/>
      <c r="Y68" s="55"/>
      <c r="Z68" s="55"/>
      <c r="AA68" s="55"/>
      <c r="AB68" s="55"/>
    </row>
    <row r="69" spans="1:28" ht="15">
      <c r="B69" s="314" t="str">
        <f>配慮!B8</f>
        <v>LR1 
エネルギー</v>
      </c>
      <c r="C69" s="315"/>
      <c r="D69" s="299"/>
      <c r="E69" s="299"/>
      <c r="F69" s="299"/>
      <c r="G69" s="316"/>
      <c r="H69" s="317" t="str">
        <f>配慮!B9</f>
        <v>LR2 
資源・マテリアル</v>
      </c>
      <c r="I69" s="302"/>
      <c r="J69" s="302"/>
      <c r="K69" s="306"/>
      <c r="L69" s="318" t="str">
        <f>配慮!B10</f>
        <v>LR3 
敷地外環境</v>
      </c>
      <c r="M69" s="315"/>
      <c r="N69" s="299"/>
      <c r="O69" s="319"/>
      <c r="R69" s="55"/>
      <c r="S69" s="55"/>
      <c r="T69" s="55"/>
      <c r="U69" s="55"/>
      <c r="V69" s="55"/>
      <c r="W69" s="55"/>
      <c r="X69" s="55"/>
      <c r="Y69" s="55"/>
      <c r="Z69" s="55"/>
      <c r="AA69" s="55"/>
      <c r="AB69" s="55"/>
    </row>
    <row r="70" spans="1:28" ht="61.5" customHeight="1" thickBot="1">
      <c r="B70" s="3067" t="str">
        <f>IF(配慮!C8=0,"",配慮!C8)</f>
        <v>　注）　「LR1　エネルギー」に対する配慮事項を簡潔に記載してください。</v>
      </c>
      <c r="C70" s="3068"/>
      <c r="D70" s="3068"/>
      <c r="E70" s="3068"/>
      <c r="F70" s="3068"/>
      <c r="G70" s="3069"/>
      <c r="H70" s="3070" t="str">
        <f>IF(配慮!C9=0,"",配慮!C9)</f>
        <v>　注）　「LR2　資源・マテリアル」に対する配慮事項を簡潔に記載してください。</v>
      </c>
      <c r="I70" s="3068"/>
      <c r="J70" s="3068"/>
      <c r="K70" s="3069"/>
      <c r="L70" s="3070" t="str">
        <f>IF(配慮!C10=0,"",配慮!C10)</f>
        <v>　注）　「LR3　敷地外環境」に対する配慮事項を簡潔に記載してください。</v>
      </c>
      <c r="M70" s="3068"/>
      <c r="N70" s="3068"/>
      <c r="O70" s="3071"/>
      <c r="R70" s="55"/>
      <c r="S70" s="55"/>
      <c r="T70" s="55"/>
      <c r="U70" s="55"/>
      <c r="V70" s="55"/>
      <c r="W70" s="55"/>
      <c r="X70" s="55"/>
      <c r="Y70" s="55"/>
      <c r="Z70" s="55"/>
      <c r="AA70" s="55"/>
      <c r="AB70" s="55"/>
    </row>
    <row r="71" spans="1:28" ht="8.25" customHeight="1">
      <c r="B71" s="55"/>
      <c r="C71" s="55"/>
      <c r="D71" s="55"/>
      <c r="E71" s="55"/>
      <c r="F71" s="55"/>
      <c r="G71" s="55"/>
      <c r="H71" s="55"/>
      <c r="I71" s="55"/>
      <c r="J71" s="55"/>
      <c r="K71" s="55"/>
      <c r="L71" s="55"/>
      <c r="M71" s="55"/>
      <c r="N71" s="55"/>
      <c r="O71" s="55"/>
      <c r="R71" s="55"/>
      <c r="S71" s="55"/>
      <c r="T71" s="55"/>
      <c r="U71" s="55"/>
      <c r="V71" s="55"/>
      <c r="W71" s="55"/>
      <c r="X71" s="55"/>
      <c r="Y71" s="55"/>
      <c r="Z71" s="55"/>
      <c r="AA71" s="55"/>
      <c r="AB71" s="55"/>
    </row>
    <row r="72" spans="1:28" ht="16.5" hidden="1" thickBot="1">
      <c r="B72" s="320" t="s">
        <v>2223</v>
      </c>
      <c r="C72" s="321"/>
      <c r="D72" s="322"/>
      <c r="E72" s="321"/>
      <c r="F72" s="321"/>
      <c r="G72" s="321"/>
      <c r="H72" s="321"/>
      <c r="I72" s="321"/>
      <c r="J72" s="323"/>
      <c r="K72" s="324"/>
      <c r="L72" s="324"/>
      <c r="M72" s="324"/>
      <c r="N72" s="325"/>
      <c r="O72" s="326" t="s">
        <v>2224</v>
      </c>
      <c r="R72" s="55"/>
      <c r="S72" s="55"/>
      <c r="T72" s="55"/>
      <c r="U72" s="55"/>
      <c r="V72" s="55"/>
      <c r="W72" s="55"/>
      <c r="X72" s="55"/>
      <c r="Y72" s="55"/>
      <c r="Z72" s="55"/>
      <c r="AA72" s="55"/>
      <c r="AB72" s="55"/>
    </row>
    <row r="73" spans="1:28" ht="15.75" hidden="1">
      <c r="B73" s="327" t="s">
        <v>1110</v>
      </c>
      <c r="C73" s="328"/>
      <c r="D73" s="329"/>
      <c r="E73" s="328"/>
      <c r="F73" s="328"/>
      <c r="G73" s="328"/>
      <c r="H73" s="328"/>
      <c r="I73" s="328"/>
      <c r="J73" s="330"/>
      <c r="K73" s="331"/>
      <c r="L73" s="332"/>
      <c r="M73" s="332"/>
      <c r="N73" s="330"/>
      <c r="O73" s="333" t="s">
        <v>1586</v>
      </c>
      <c r="R73" s="55"/>
      <c r="S73" s="55"/>
      <c r="T73" s="55"/>
      <c r="U73" s="55"/>
      <c r="V73" s="55"/>
      <c r="W73" s="55"/>
      <c r="X73" s="55"/>
      <c r="Y73" s="55"/>
      <c r="Z73" s="55"/>
      <c r="AA73" s="55"/>
      <c r="AB73" s="55"/>
    </row>
    <row r="74" spans="1:28" ht="14.25" hidden="1">
      <c r="B74" s="334"/>
      <c r="C74" s="335"/>
      <c r="D74" s="336"/>
      <c r="E74" s="337" t="s">
        <v>1111</v>
      </c>
      <c r="F74" s="338"/>
      <c r="G74" s="338"/>
      <c r="H74" s="337" t="s">
        <v>424</v>
      </c>
      <c r="I74" s="338"/>
      <c r="J74" s="337" t="s">
        <v>802</v>
      </c>
      <c r="K74" s="339"/>
      <c r="L74" s="337" t="s">
        <v>803</v>
      </c>
      <c r="M74" s="338"/>
      <c r="N74" s="338"/>
      <c r="O74" s="340" t="s">
        <v>804</v>
      </c>
      <c r="R74" s="55"/>
      <c r="S74" s="55"/>
      <c r="T74" s="55"/>
      <c r="U74" s="55"/>
      <c r="V74" s="55"/>
      <c r="W74" s="55"/>
      <c r="X74" s="55"/>
      <c r="Y74" s="55"/>
      <c r="Z74" s="55"/>
      <c r="AA74" s="55"/>
      <c r="AB74" s="55"/>
    </row>
    <row r="75" spans="1:28" ht="14.25" hidden="1">
      <c r="B75" s="341"/>
      <c r="C75" s="342" t="s">
        <v>805</v>
      </c>
      <c r="D75" s="343"/>
      <c r="E75" s="344"/>
      <c r="F75" s="345" t="s">
        <v>806</v>
      </c>
      <c r="G75" s="346"/>
      <c r="H75" s="344"/>
      <c r="I75" s="345" t="s">
        <v>807</v>
      </c>
      <c r="J75" s="347"/>
      <c r="K75" s="345" t="s">
        <v>806</v>
      </c>
      <c r="L75" s="348"/>
      <c r="M75" s="349"/>
      <c r="N75" s="350"/>
      <c r="O75" s="351"/>
      <c r="R75" s="55"/>
      <c r="S75" s="55"/>
      <c r="T75" s="55"/>
      <c r="U75" s="55"/>
      <c r="V75" s="55"/>
      <c r="W75" s="55"/>
      <c r="X75" s="55"/>
      <c r="Y75" s="55"/>
      <c r="Z75" s="55"/>
      <c r="AA75" s="55"/>
      <c r="AB75" s="55"/>
    </row>
    <row r="76" spans="1:28" ht="15.75" hidden="1">
      <c r="B76" s="341"/>
      <c r="C76" s="352" t="s">
        <v>808</v>
      </c>
      <c r="D76" s="353"/>
      <c r="E76" s="354"/>
      <c r="F76" s="134" t="s">
        <v>809</v>
      </c>
      <c r="G76" s="134"/>
      <c r="H76" s="354"/>
      <c r="I76" s="134" t="s">
        <v>810</v>
      </c>
      <c r="J76" s="355"/>
      <c r="K76" s="134" t="s">
        <v>809</v>
      </c>
      <c r="L76" s="348"/>
      <c r="M76" s="64"/>
      <c r="N76" s="349"/>
      <c r="O76" s="356"/>
      <c r="S76" s="64"/>
      <c r="W76" s="55"/>
      <c r="X76" s="55"/>
      <c r="Y76" s="55"/>
      <c r="Z76" s="55"/>
      <c r="AA76" s="55"/>
      <c r="AB76" s="55"/>
    </row>
    <row r="77" spans="1:28" ht="14.25" hidden="1">
      <c r="A77" s="357"/>
      <c r="B77" s="358"/>
      <c r="C77" s="359" t="s">
        <v>811</v>
      </c>
      <c r="D77" s="353"/>
      <c r="E77" s="354"/>
      <c r="F77" s="346" t="s">
        <v>812</v>
      </c>
      <c r="G77" s="346"/>
      <c r="H77" s="354"/>
      <c r="I77" s="346" t="s">
        <v>813</v>
      </c>
      <c r="J77" s="355"/>
      <c r="K77" s="346" t="s">
        <v>812</v>
      </c>
      <c r="L77" s="348"/>
      <c r="M77" s="64"/>
      <c r="N77" s="360"/>
      <c r="O77" s="356"/>
      <c r="P77" s="357"/>
      <c r="S77" s="64"/>
      <c r="W77" s="55"/>
      <c r="X77" s="55"/>
      <c r="Y77" s="55"/>
      <c r="Z77" s="55"/>
      <c r="AA77" s="55"/>
      <c r="AB77" s="55"/>
    </row>
    <row r="78" spans="1:28" ht="15.75" hidden="1">
      <c r="B78" s="341"/>
      <c r="C78" s="361" t="s">
        <v>814</v>
      </c>
      <c r="D78" s="353"/>
      <c r="E78" s="354"/>
      <c r="F78" s="134" t="s">
        <v>809</v>
      </c>
      <c r="G78" s="134"/>
      <c r="H78" s="354"/>
      <c r="I78" s="134" t="s">
        <v>810</v>
      </c>
      <c r="J78" s="355"/>
      <c r="K78" s="134" t="s">
        <v>809</v>
      </c>
      <c r="L78" s="348"/>
      <c r="M78" s="64"/>
      <c r="N78" s="349"/>
      <c r="O78" s="362"/>
      <c r="S78" s="64"/>
      <c r="W78" s="55"/>
      <c r="X78" s="55"/>
      <c r="Y78" s="55"/>
      <c r="Z78" s="55"/>
      <c r="AA78" s="55"/>
      <c r="AB78" s="55"/>
    </row>
    <row r="79" spans="1:28" ht="14.25" hidden="1">
      <c r="B79" s="341"/>
      <c r="C79" s="361" t="s">
        <v>815</v>
      </c>
      <c r="D79" s="353"/>
      <c r="E79" s="354"/>
      <c r="F79" s="363" t="s">
        <v>816</v>
      </c>
      <c r="G79" s="134"/>
      <c r="H79" s="354"/>
      <c r="I79" s="363" t="s">
        <v>817</v>
      </c>
      <c r="J79" s="355"/>
      <c r="K79" s="363" t="s">
        <v>816</v>
      </c>
      <c r="L79" s="348"/>
      <c r="M79" s="64"/>
      <c r="N79" s="349"/>
      <c r="O79" s="97"/>
      <c r="S79" s="64"/>
      <c r="W79" s="55"/>
      <c r="X79" s="55"/>
      <c r="Y79" s="55"/>
      <c r="Z79" s="55"/>
      <c r="AA79" s="55"/>
      <c r="AB79" s="55"/>
    </row>
    <row r="80" spans="1:28" ht="14.25" hidden="1">
      <c r="B80" s="341"/>
      <c r="C80" s="361" t="s">
        <v>818</v>
      </c>
      <c r="D80" s="353"/>
      <c r="E80" s="354"/>
      <c r="F80" s="363" t="s">
        <v>816</v>
      </c>
      <c r="G80" s="134"/>
      <c r="H80" s="354"/>
      <c r="I80" s="363" t="s">
        <v>817</v>
      </c>
      <c r="J80" s="355"/>
      <c r="K80" s="363" t="s">
        <v>816</v>
      </c>
      <c r="L80" s="348"/>
      <c r="M80" s="64"/>
      <c r="N80" s="349"/>
      <c r="O80" s="356"/>
      <c r="S80" s="64"/>
      <c r="W80" s="55"/>
      <c r="X80" s="55"/>
      <c r="Y80" s="55"/>
      <c r="Z80" s="55"/>
      <c r="AA80" s="55"/>
      <c r="AB80" s="55"/>
    </row>
    <row r="81" spans="2:28" ht="15" hidden="1" thickBot="1">
      <c r="B81" s="364"/>
      <c r="C81" s="365"/>
      <c r="D81" s="366"/>
      <c r="E81" s="367"/>
      <c r="F81" s="368"/>
      <c r="G81" s="280"/>
      <c r="H81" s="367"/>
      <c r="I81" s="368"/>
      <c r="J81" s="369"/>
      <c r="K81" s="368"/>
      <c r="L81" s="348"/>
      <c r="M81" s="64"/>
      <c r="N81" s="370"/>
      <c r="O81" s="371"/>
      <c r="S81" s="64"/>
      <c r="W81" s="55"/>
      <c r="X81" s="55"/>
      <c r="Y81" s="55"/>
      <c r="Z81" s="55"/>
      <c r="AA81" s="55"/>
      <c r="AB81" s="55"/>
    </row>
    <row r="82" spans="2:28" ht="16.5" hidden="1" thickBot="1">
      <c r="B82" s="372" t="s">
        <v>819</v>
      </c>
      <c r="C82" s="373"/>
      <c r="D82" s="374"/>
      <c r="E82" s="375"/>
      <c r="F82" s="376"/>
      <c r="G82" s="376"/>
      <c r="H82" s="376"/>
      <c r="I82" s="376"/>
      <c r="J82" s="376"/>
      <c r="K82" s="376"/>
      <c r="L82" s="376"/>
      <c r="M82" s="376"/>
      <c r="N82" s="376"/>
      <c r="O82" s="377"/>
      <c r="S82" s="64"/>
      <c r="W82" s="55"/>
      <c r="X82" s="55"/>
      <c r="Y82" s="55"/>
      <c r="Z82" s="55"/>
      <c r="AA82" s="55"/>
      <c r="AB82" s="55"/>
    </row>
    <row r="83" spans="2:28" ht="15.75" hidden="1">
      <c r="B83" s="378" t="s">
        <v>820</v>
      </c>
      <c r="C83" s="379"/>
      <c r="D83" s="380"/>
      <c r="E83" s="381"/>
      <c r="F83" s="382"/>
      <c r="G83" s="382"/>
      <c r="H83" s="382"/>
      <c r="I83" s="380"/>
      <c r="J83" s="383" t="s">
        <v>821</v>
      </c>
      <c r="K83" s="384"/>
      <c r="L83" s="385"/>
      <c r="M83" s="379"/>
      <c r="N83" s="379"/>
      <c r="O83" s="386"/>
      <c r="S83" s="64"/>
      <c r="W83" s="55"/>
      <c r="X83" s="55"/>
      <c r="Y83" s="55"/>
      <c r="Z83" s="55"/>
      <c r="AA83" s="55"/>
      <c r="AB83" s="55"/>
    </row>
    <row r="84" spans="2:28" ht="15" hidden="1">
      <c r="B84" s="387"/>
      <c r="C84" s="388" t="s">
        <v>822</v>
      </c>
      <c r="D84" s="389"/>
      <c r="E84" s="389"/>
      <c r="F84" s="389"/>
      <c r="G84" s="389"/>
      <c r="H84" s="389"/>
      <c r="I84" s="389"/>
      <c r="J84" s="390" t="s">
        <v>823</v>
      </c>
      <c r="K84" s="64"/>
      <c r="L84" s="391"/>
      <c r="M84" s="64"/>
      <c r="N84" s="64"/>
      <c r="O84" s="111"/>
      <c r="S84" s="64"/>
      <c r="W84" s="55"/>
      <c r="X84" s="55"/>
      <c r="Y84" s="55"/>
      <c r="Z84" s="55"/>
      <c r="AA84" s="55"/>
      <c r="AB84" s="55"/>
    </row>
    <row r="85" spans="2:28" ht="15" hidden="1">
      <c r="B85" s="387"/>
      <c r="C85" s="388"/>
      <c r="D85" s="389"/>
      <c r="E85" s="389"/>
      <c r="F85" s="389"/>
      <c r="G85" s="389"/>
      <c r="H85" s="389"/>
      <c r="I85" s="389"/>
      <c r="J85" s="390"/>
      <c r="K85" s="64"/>
      <c r="L85" s="391"/>
      <c r="M85" s="64"/>
      <c r="N85" s="64"/>
      <c r="O85" s="111"/>
      <c r="S85" s="64"/>
      <c r="W85" s="55"/>
      <c r="X85" s="55"/>
      <c r="Y85" s="55"/>
      <c r="Z85" s="55"/>
      <c r="AA85" s="55"/>
      <c r="AB85" s="55"/>
    </row>
    <row r="86" spans="2:28" ht="15" hidden="1" thickBot="1">
      <c r="B86" s="392"/>
      <c r="C86" s="393"/>
      <c r="D86" s="394"/>
      <c r="E86" s="394"/>
      <c r="F86" s="394"/>
      <c r="G86" s="394"/>
      <c r="H86" s="394"/>
      <c r="I86" s="394"/>
      <c r="J86" s="395"/>
      <c r="K86" s="155"/>
      <c r="L86" s="396"/>
      <c r="M86" s="396"/>
      <c r="N86" s="396"/>
      <c r="O86" s="397"/>
      <c r="S86" s="64"/>
    </row>
    <row r="87" spans="2:28" ht="14.25" hidden="1">
      <c r="B87" s="134"/>
      <c r="C87" s="134"/>
      <c r="D87" s="270"/>
      <c r="E87" s="134"/>
      <c r="S87" s="64"/>
    </row>
    <row r="88" spans="2:28" ht="14.25" hidden="1">
      <c r="B88" s="398"/>
      <c r="C88" s="399"/>
      <c r="D88" s="400"/>
      <c r="E88" s="401"/>
      <c r="F88" s="401"/>
      <c r="G88" s="401"/>
      <c r="H88" s="401"/>
      <c r="I88" s="402"/>
      <c r="J88" s="403"/>
      <c r="K88" s="402"/>
      <c r="L88" s="404"/>
      <c r="M88" s="402"/>
      <c r="N88" s="405"/>
      <c r="O88" s="406"/>
      <c r="S88" s="64"/>
    </row>
    <row r="89" spans="2:28" ht="14.25" hidden="1">
      <c r="B89" s="407"/>
      <c r="C89" s="408" t="s">
        <v>824</v>
      </c>
      <c r="D89" s="409" t="s">
        <v>1587</v>
      </c>
      <c r="E89" s="410" t="s">
        <v>1588</v>
      </c>
      <c r="G89" s="64"/>
      <c r="H89" s="410" t="s">
        <v>1589</v>
      </c>
      <c r="J89" s="410" t="s">
        <v>1590</v>
      </c>
      <c r="L89" s="410" t="s">
        <v>1591</v>
      </c>
      <c r="N89" s="409" t="s">
        <v>1592</v>
      </c>
      <c r="O89" s="411"/>
      <c r="S89" s="64"/>
    </row>
    <row r="90" spans="2:28" ht="14.25" hidden="1">
      <c r="B90" s="407"/>
      <c r="C90" s="408" t="s">
        <v>2342</v>
      </c>
      <c r="D90" s="412" t="s">
        <v>2165</v>
      </c>
      <c r="E90" s="413"/>
      <c r="F90" s="414"/>
      <c r="G90" s="414"/>
      <c r="H90" s="414"/>
      <c r="I90" s="415"/>
      <c r="J90" s="415"/>
      <c r="K90" s="416"/>
      <c r="L90" s="416"/>
      <c r="O90" s="417"/>
    </row>
    <row r="91" spans="2:28" ht="14.25" hidden="1">
      <c r="B91" s="419"/>
      <c r="C91" s="408" t="s">
        <v>2166</v>
      </c>
      <c r="D91" s="412" t="s">
        <v>2167</v>
      </c>
      <c r="E91" s="412"/>
      <c r="G91" s="420"/>
      <c r="O91" s="417"/>
    </row>
    <row r="92" spans="2:28" ht="14.25" hidden="1">
      <c r="B92" s="419"/>
      <c r="C92" s="408"/>
      <c r="D92" s="412" t="s">
        <v>2168</v>
      </c>
      <c r="E92" s="412"/>
      <c r="G92" s="420"/>
      <c r="O92" s="417"/>
    </row>
    <row r="93" spans="2:28" ht="14.25" hidden="1">
      <c r="B93" s="421"/>
      <c r="C93" s="422" t="s">
        <v>2169</v>
      </c>
      <c r="D93" s="423" t="s">
        <v>1593</v>
      </c>
      <c r="E93" s="424"/>
      <c r="F93" s="257"/>
      <c r="G93" s="425"/>
      <c r="H93" s="257"/>
      <c r="I93" s="256"/>
      <c r="J93" s="256"/>
      <c r="K93" s="257"/>
      <c r="L93" s="257"/>
      <c r="M93" s="426"/>
      <c r="N93" s="426"/>
      <c r="O93" s="427"/>
    </row>
    <row r="94" spans="2:28" ht="14.25">
      <c r="G94" s="420"/>
    </row>
    <row r="95" spans="2:28" ht="14.25">
      <c r="G95" s="420"/>
      <c r="L95" s="420"/>
    </row>
    <row r="96" spans="2:28" ht="14.25">
      <c r="E96" s="96"/>
      <c r="F96" s="420"/>
      <c r="G96" s="420"/>
      <c r="H96" s="420"/>
      <c r="I96" s="416"/>
      <c r="L96" s="420"/>
    </row>
    <row r="97" spans="2:12" ht="14.25">
      <c r="C97" s="428"/>
      <c r="D97" s="272"/>
      <c r="E97" s="96"/>
      <c r="F97" s="420"/>
      <c r="G97" s="420"/>
      <c r="H97" s="420"/>
      <c r="I97" s="416"/>
      <c r="J97" s="416"/>
      <c r="K97" s="420"/>
      <c r="L97" s="420"/>
    </row>
    <row r="98" spans="2:12" ht="14.25">
      <c r="B98" s="429"/>
      <c r="C98" s="430"/>
      <c r="D98" s="431"/>
      <c r="E98" s="96"/>
      <c r="F98" s="420"/>
      <c r="G98" s="414"/>
      <c r="H98" s="414"/>
      <c r="I98" s="415"/>
      <c r="J98" s="415"/>
      <c r="K98" s="416"/>
      <c r="L98" s="416"/>
    </row>
    <row r="99" spans="2:12" ht="14.25" hidden="1">
      <c r="B99" s="429"/>
      <c r="C99" s="429"/>
      <c r="D99" s="432"/>
      <c r="G99" s="414"/>
      <c r="H99" s="414"/>
      <c r="I99" s="415"/>
      <c r="J99" s="415"/>
      <c r="K99" s="416"/>
      <c r="L99" s="416"/>
    </row>
    <row r="100" spans="2:12" ht="14.25" hidden="1"/>
    <row r="101" spans="2:12" ht="14.25" hidden="1"/>
    <row r="102" spans="2:12" ht="14.25" hidden="1"/>
    <row r="103" spans="2:12" ht="14.25" hidden="1"/>
    <row r="104" spans="2:12" ht="14.25" hidden="1"/>
    <row r="105" spans="2:12" ht="14.25" hidden="1"/>
    <row r="106" spans="2:12" ht="14.25" hidden="1"/>
    <row r="107" spans="2:12" ht="14.25" hidden="1"/>
    <row r="108" spans="2:12" ht="14.25" hidden="1"/>
    <row r="109" spans="2:12" ht="14.25" hidden="1"/>
    <row r="110" spans="2:12" ht="14.25" hidden="1"/>
    <row r="111" spans="2:12" ht="14.25" hidden="1"/>
    <row r="112" spans="2:12" ht="14.25" hidden="1"/>
    <row r="113" ht="14.25" hidden="1"/>
    <row r="114" ht="14.25" hidden="1"/>
    <row r="115" ht="14.25" hidden="1"/>
    <row r="116" ht="14.25" hidden="1"/>
    <row r="117" ht="14.25" hidden="1"/>
    <row r="118" ht="14.25" hidden="1"/>
    <row r="119" ht="14.25" hidden="1"/>
    <row r="120" ht="14.25" hidden="1"/>
    <row r="121" ht="14.25" hidden="1"/>
    <row r="122" ht="14.25" hidden="1"/>
    <row r="123" ht="14.25" hidden="1"/>
    <row r="124" ht="14.25" hidden="1"/>
    <row r="125" ht="14.25" hidden="1"/>
    <row r="126" ht="14.25" hidden="1"/>
    <row r="127" ht="14.25" hidden="1"/>
    <row r="128" ht="14.25" hidden="1"/>
    <row r="129" ht="14.25" hidden="1"/>
    <row r="130" ht="14.25" hidden="1"/>
    <row r="131" ht="14.25" hidden="1"/>
    <row r="132" ht="14.25" hidden="1"/>
    <row r="133" ht="14.25" hidden="1"/>
    <row r="134" ht="14.25" hidden="1"/>
    <row r="135" ht="14.25" hidden="1"/>
    <row r="136" ht="14.25" hidden="1"/>
    <row r="137" ht="14.25" hidden="1"/>
    <row r="138" ht="14.25" hidden="1"/>
    <row r="139" ht="14.25" hidden="1"/>
    <row r="140" ht="14.25" hidden="1"/>
    <row r="141" ht="14.25" hidden="1"/>
    <row r="142" ht="14.25" hidden="1"/>
    <row r="143" ht="14.25" hidden="1"/>
    <row r="144" ht="14.25" hidden="1"/>
    <row r="145" ht="14.25" hidden="1"/>
    <row r="146" ht="14.25" hidden="1"/>
    <row r="147" ht="14.25" hidden="1"/>
    <row r="148" ht="14.25" hidden="1"/>
    <row r="149" ht="14.25" hidden="1"/>
    <row r="150" ht="14.25" hidden="1"/>
    <row r="151" ht="14.25" hidden="1"/>
    <row r="152" ht="14.25" hidden="1"/>
    <row r="153" ht="14.25" hidden="1"/>
    <row r="154" ht="14.25" hidden="1"/>
    <row r="155" ht="14.25" hidden="1"/>
    <row r="156" ht="14.25" hidden="1"/>
    <row r="157" ht="14.25" hidden="1"/>
    <row r="158" ht="14.25" hidden="1"/>
    <row r="159" ht="14.25" hidden="1"/>
    <row r="160" ht="14.25" hidden="1"/>
    <row r="161" ht="14.25" hidden="1"/>
    <row r="162" ht="14.25" hidden="1"/>
    <row r="163" ht="14.25" hidden="1"/>
    <row r="164" ht="14.25" hidden="1"/>
    <row r="165" ht="14.25" hidden="1"/>
    <row r="166" ht="14.25" hidden="1"/>
    <row r="167" ht="14.25" hidden="1"/>
    <row r="168" ht="14.25" hidden="1"/>
    <row r="169" ht="14.25" hidden="1"/>
    <row r="170" ht="14.25" hidden="1"/>
    <row r="171" ht="14.25" hidden="1"/>
    <row r="172" ht="14.25" hidden="1"/>
    <row r="173" ht="14.25" hidden="1"/>
    <row r="174" ht="14.25" hidden="1"/>
    <row r="175" ht="14.25" hidden="1"/>
    <row r="176" ht="14.25" hidden="1"/>
    <row r="177" ht="14.25" hidden="1"/>
    <row r="178" ht="14.25" hidden="1"/>
    <row r="179" ht="14.25" hidden="1"/>
    <row r="180" ht="14.25" hidden="1"/>
    <row r="181" ht="14.25" hidden="1"/>
    <row r="182" ht="14.25" hidden="1"/>
    <row r="183" ht="14.25" hidden="1"/>
    <row r="184" ht="14.25" hidden="1"/>
    <row r="185" ht="14.25" hidden="1"/>
    <row r="186" ht="14.25" hidden="1"/>
    <row r="187" ht="14.25" hidden="1"/>
    <row r="188" ht="14.25" hidden="1"/>
    <row r="189" ht="14.25" hidden="1"/>
    <row r="190" ht="14.25" hidden="1"/>
    <row r="191" ht="14.25" hidden="1"/>
    <row r="192" ht="14.25" hidden="1"/>
    <row r="193" ht="14.25" hidden="1"/>
    <row r="194" ht="14.25" hidden="1"/>
    <row r="195" ht="14.25" hidden="1"/>
    <row r="196" ht="14.25" hidden="1"/>
    <row r="197" ht="14.25" hidden="1"/>
    <row r="198" ht="14.25" hidden="1"/>
    <row r="199" ht="14.25" hidden="1"/>
    <row r="200" ht="14.25" hidden="1"/>
    <row r="201" ht="14.25" hidden="1"/>
    <row r="202" ht="14.25" hidden="1" customHeight="1"/>
    <row r="203" ht="14.25" hidden="1" customHeight="1"/>
    <row r="204" ht="14.25" hidden="1" customHeight="1"/>
    <row r="205" ht="14.25" hidden="1" customHeight="1"/>
    <row r="206" ht="14.25" hidden="1" customHeight="1"/>
    <row r="207" ht="14.25" hidden="1" customHeight="1"/>
    <row r="208" ht="14.25" hidden="1" customHeight="1"/>
    <row r="209" ht="14.25" hidden="1" customHeight="1"/>
    <row r="210" ht="14.25" hidden="1" customHeight="1"/>
    <row r="211" ht="14.25" hidden="1" customHeight="1"/>
    <row r="212" ht="14.25" hidden="1" customHeight="1"/>
  </sheetData>
  <mergeCells count="13">
    <mergeCell ref="B70:G70"/>
    <mergeCell ref="H70:K70"/>
    <mergeCell ref="L70:O70"/>
    <mergeCell ref="Q2:Q5"/>
    <mergeCell ref="K5:L5"/>
    <mergeCell ref="N5:O5"/>
    <mergeCell ref="D13:E13"/>
    <mergeCell ref="D14:E14"/>
    <mergeCell ref="B66:K66"/>
    <mergeCell ref="L66:O66"/>
    <mergeCell ref="B68:G68"/>
    <mergeCell ref="H68:K68"/>
    <mergeCell ref="L68:O68"/>
  </mergeCells>
  <phoneticPr fontId="22"/>
  <conditionalFormatting sqref="I28:I35">
    <cfRule type="expression" dxfId="133" priority="1" stopIfTrue="1">
      <formula>$U$37=$W$38</formula>
    </cfRule>
  </conditionalFormatting>
  <conditionalFormatting sqref="I36">
    <cfRule type="expression" dxfId="132" priority="2" stopIfTrue="1">
      <formula>$U$37=$W$38</formula>
    </cfRule>
  </conditionalFormatting>
  <hyperlinks>
    <hyperlink ref="Q2" location="メイン!A1" display="戻る" xr:uid="{00000000-0004-0000-0000-000000000000}"/>
  </hyperlinks>
  <printOptions horizontalCentered="1"/>
  <pageMargins left="0.59055118110236227" right="0.59055118110236227" top="0.78740157480314965" bottom="0.59055118110236227" header="0.51181102362204722" footer="0.51181102362204722"/>
  <pageSetup paperSize="9" scale="68" orientation="portrait" verticalDpi="4294967293" r:id="rId1"/>
  <headerFooter alignWithMargins="0">
    <oddHeader>&amp;L&amp;F&amp;R&amp;A</oddHeader>
    <oddFooter>&amp;C&amp;P/&amp;N</oddFooter>
  </headerFooter>
  <colBreaks count="1" manualBreakCount="1">
    <brk id="16" max="71"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autoPageBreaks="0" fitToPage="1"/>
  </sheetPr>
  <dimension ref="A1:U329"/>
  <sheetViews>
    <sheetView showGridLines="0" topLeftCell="A28" workbookViewId="0">
      <selection activeCell="J11" sqref="J11"/>
    </sheetView>
  </sheetViews>
  <sheetFormatPr defaultColWidth="0" defaultRowHeight="13.5" zeroHeight="1"/>
  <cols>
    <col min="1" max="1" width="2.625" customWidth="1"/>
    <col min="2" max="3" width="4.625" hidden="1" customWidth="1"/>
    <col min="4" max="4" width="5" style="1474" customWidth="1"/>
    <col min="5" max="5" width="1.5" style="44" customWidth="1"/>
    <col min="6" max="15" width="10.625" style="44" customWidth="1"/>
    <col min="16" max="16" width="1.75" customWidth="1"/>
    <col min="17" max="17" width="10.125" hidden="1" customWidth="1"/>
    <col min="18" max="18" width="16.25" hidden="1" customWidth="1"/>
    <col min="19" max="19" width="6.75" hidden="1" customWidth="1"/>
    <col min="20" max="20" width="10.25" hidden="1" customWidth="1"/>
    <col min="21" max="21" width="13" hidden="1" customWidth="1"/>
    <col min="22" max="16384" width="9" hidden="1"/>
  </cols>
  <sheetData>
    <row r="1" spans="2:15" ht="15.75">
      <c r="D1" s="546"/>
      <c r="E1" s="433"/>
      <c r="F1" s="433"/>
      <c r="G1" s="433"/>
      <c r="H1" s="433"/>
      <c r="I1" s="433"/>
      <c r="J1" s="779"/>
      <c r="K1" s="433"/>
      <c r="L1" s="433"/>
      <c r="M1" s="544" t="s">
        <v>2279</v>
      </c>
      <c r="N1" s="545" t="str">
        <f>メイン!C11</f>
        <v>○○ビル</v>
      </c>
      <c r="O1" s="545"/>
    </row>
    <row r="2" spans="2:15" ht="15.75" hidden="1">
      <c r="D2" s="546"/>
      <c r="E2" s="433"/>
      <c r="F2">
        <v>1</v>
      </c>
      <c r="G2" t="s">
        <v>2182</v>
      </c>
      <c r="H2" t="s">
        <v>2183</v>
      </c>
      <c r="I2" s="433"/>
      <c r="J2" s="779"/>
      <c r="K2" s="433"/>
      <c r="L2" s="433"/>
      <c r="M2" s="2467"/>
      <c r="N2" s="474"/>
      <c r="O2" s="474"/>
    </row>
    <row r="3" spans="2:15" ht="15.75" hidden="1">
      <c r="D3" s="546"/>
      <c r="E3" s="433"/>
      <c r="F3">
        <v>2</v>
      </c>
      <c r="G3" t="s">
        <v>1113</v>
      </c>
      <c r="H3" t="s">
        <v>1114</v>
      </c>
      <c r="I3" s="433"/>
      <c r="J3" s="779"/>
      <c r="K3" t="s">
        <v>1112</v>
      </c>
      <c r="L3" t="s">
        <v>1138</v>
      </c>
      <c r="M3" t="s">
        <v>2177</v>
      </c>
      <c r="N3" t="s">
        <v>2841</v>
      </c>
      <c r="O3" t="str">
        <f>メイン!I37</f>
        <v>基本設計段階</v>
      </c>
    </row>
    <row r="4" spans="2:15" ht="15.75" hidden="1">
      <c r="D4" s="546"/>
      <c r="E4" s="433"/>
      <c r="F4">
        <v>3</v>
      </c>
      <c r="G4" t="s">
        <v>1119</v>
      </c>
      <c r="H4" t="s">
        <v>1120</v>
      </c>
      <c r="I4" s="433"/>
      <c r="J4" s="779"/>
      <c r="K4" s="433"/>
      <c r="L4">
        <v>0</v>
      </c>
      <c r="M4"/>
      <c r="N4" t="s">
        <v>2845</v>
      </c>
      <c r="O4" t="str">
        <f>メイン!I38</f>
        <v>実施設計段階</v>
      </c>
    </row>
    <row r="5" spans="2:15" ht="15.75" hidden="1">
      <c r="D5" s="546"/>
      <c r="E5" s="433"/>
      <c r="F5">
        <v>4</v>
      </c>
      <c r="G5" t="s">
        <v>1015</v>
      </c>
      <c r="H5" t="s">
        <v>1016</v>
      </c>
      <c r="I5" s="433"/>
      <c r="J5" s="779"/>
      <c r="K5" s="433"/>
      <c r="L5">
        <v>1</v>
      </c>
      <c r="M5"/>
      <c r="N5"/>
      <c r="O5" t="str">
        <f>メイン!I39</f>
        <v>竣工段階</v>
      </c>
    </row>
    <row r="6" spans="2:15" ht="15.75" hidden="1">
      <c r="D6" s="546"/>
      <c r="E6" s="433"/>
      <c r="F6">
        <v>5</v>
      </c>
      <c r="G6" t="s">
        <v>1022</v>
      </c>
      <c r="H6" t="s">
        <v>1023</v>
      </c>
      <c r="I6" s="433"/>
      <c r="J6" s="779"/>
      <c r="K6" s="433"/>
      <c r="L6">
        <v>2</v>
      </c>
      <c r="M6" t="s">
        <v>2178</v>
      </c>
      <c r="N6"/>
      <c r="O6"/>
    </row>
    <row r="7" spans="2:15" ht="15.75" hidden="1">
      <c r="D7" s="546"/>
      <c r="E7" s="433"/>
      <c r="F7">
        <v>0</v>
      </c>
      <c r="G7" t="s">
        <v>2187</v>
      </c>
      <c r="H7" t="s">
        <v>2187</v>
      </c>
      <c r="I7" s="433"/>
      <c r="J7" s="779"/>
      <c r="K7" s="433"/>
      <c r="L7"/>
      <c r="M7" t="s">
        <v>2179</v>
      </c>
      <c r="N7"/>
      <c r="O7"/>
    </row>
    <row r="8" spans="2:15" ht="16.5" thickBot="1">
      <c r="D8" s="546"/>
      <c r="E8" s="433"/>
      <c r="F8" s="433"/>
      <c r="G8" s="433"/>
      <c r="H8" s="433"/>
      <c r="I8" s="433"/>
      <c r="J8" s="779"/>
      <c r="K8" s="433"/>
      <c r="L8" s="433"/>
      <c r="M8" s="433"/>
      <c r="N8" s="433"/>
      <c r="O8" s="433"/>
    </row>
    <row r="9" spans="2:15" ht="18.75" thickBot="1">
      <c r="D9" s="780" t="s">
        <v>2176</v>
      </c>
      <c r="E9" s="781"/>
      <c r="F9" s="547"/>
      <c r="G9" s="547"/>
      <c r="I9" s="548"/>
      <c r="J9" s="549" t="str">
        <f>採点Q1!J9</f>
        <v>色欄について、プルダウンメニューから選択、または数値・コメント※を記入。</v>
      </c>
      <c r="K9" s="547"/>
      <c r="L9" s="63"/>
      <c r="M9" s="63"/>
      <c r="N9" s="547"/>
      <c r="O9" s="659" t="str">
        <f>IF(メイン!E39=0,"",メイン!E39)</f>
        <v/>
      </c>
    </row>
    <row r="10" spans="2:15" ht="17.25">
      <c r="D10" s="546"/>
      <c r="E10" s="781"/>
      <c r="F10" s="547"/>
      <c r="G10" s="547"/>
      <c r="H10" s="547"/>
      <c r="I10" s="547"/>
      <c r="J10" s="2743" t="str">
        <f>採点Q1!J10</f>
        <v>※環境配慮の概要は最長30字程度。レベル３を超える場合は必ず記入し、多い場合は配慮シートに記述する。</v>
      </c>
      <c r="K10" s="547"/>
      <c r="L10" s="547"/>
      <c r="M10" s="547"/>
      <c r="N10" s="547"/>
      <c r="O10" s="547"/>
    </row>
    <row r="11" spans="2:15" ht="17.25">
      <c r="D11" s="546">
        <v>1</v>
      </c>
      <c r="E11" s="551" t="s">
        <v>406</v>
      </c>
      <c r="F11" s="552"/>
      <c r="G11" s="547"/>
      <c r="H11" s="547"/>
      <c r="I11" s="547"/>
      <c r="J11" s="782"/>
      <c r="K11" s="547"/>
      <c r="L11" s="547"/>
      <c r="M11" s="547"/>
      <c r="N11" s="547"/>
      <c r="O11" s="547"/>
    </row>
    <row r="12" spans="2:15" ht="15" thickBot="1">
      <c r="D12" s="1475"/>
      <c r="E12" s="552"/>
      <c r="F12" s="558"/>
      <c r="G12" s="559"/>
      <c r="H12" s="559" t="s">
        <v>1141</v>
      </c>
      <c r="I12" s="657"/>
      <c r="J12" s="1770">
        <f>重み!M113</f>
        <v>0.3</v>
      </c>
      <c r="K12" s="560"/>
      <c r="L12" s="560"/>
      <c r="M12" s="560"/>
      <c r="N12" s="560"/>
      <c r="O12" s="649"/>
    </row>
    <row r="13" spans="2:15" ht="27" customHeight="1" thickBot="1">
      <c r="B13" t="s">
        <v>3497</v>
      </c>
      <c r="D13" s="546"/>
      <c r="E13" s="551"/>
      <c r="F13" s="1978">
        <f>G24</f>
        <v>3</v>
      </c>
      <c r="G13" s="679" t="s">
        <v>407</v>
      </c>
      <c r="H13" s="570"/>
      <c r="I13" s="570"/>
      <c r="J13" s="570"/>
      <c r="K13" s="570"/>
      <c r="L13" s="570"/>
      <c r="M13" s="570"/>
      <c r="N13" s="570"/>
      <c r="O13" s="666"/>
    </row>
    <row r="14" spans="2:15" ht="21" customHeight="1">
      <c r="B14">
        <v>0</v>
      </c>
      <c r="D14" s="546"/>
      <c r="E14" s="50"/>
      <c r="F14" s="572" t="str">
        <f>IF(ROUNDDOWN($F$13,0)=$F$2,$H$2,$G$2)</f>
        <v>　レベル　1</v>
      </c>
      <c r="G14" s="574" t="s">
        <v>182</v>
      </c>
      <c r="H14" s="575"/>
      <c r="I14" s="575"/>
      <c r="J14" s="575"/>
      <c r="K14" s="575"/>
      <c r="L14" s="575"/>
      <c r="M14" s="575"/>
      <c r="N14" s="575"/>
      <c r="O14" s="576"/>
    </row>
    <row r="15" spans="2:15" ht="21" customHeight="1">
      <c r="B15">
        <v>4</v>
      </c>
      <c r="D15" s="546"/>
      <c r="E15" s="50"/>
      <c r="F15" s="577" t="str">
        <f>IF(ROUNDDOWN($F$13,0)=$F$3,$H$3,$G$3)</f>
        <v>　レベル　2</v>
      </c>
      <c r="G15" s="580" t="s">
        <v>2180</v>
      </c>
      <c r="H15" s="581"/>
      <c r="I15" s="581"/>
      <c r="J15" s="581"/>
      <c r="K15" s="581"/>
      <c r="L15" s="581"/>
      <c r="M15" s="581"/>
      <c r="N15" s="581"/>
      <c r="O15" s="582"/>
    </row>
    <row r="16" spans="2:15" ht="21" customHeight="1">
      <c r="B16">
        <v>7</v>
      </c>
      <c r="D16" s="546"/>
      <c r="E16" s="50"/>
      <c r="F16" s="577" t="str">
        <f>IF(ROUNDDOWN($F$13,0)=$F$4,$H$4,$G$4)</f>
        <v>■レベル　3</v>
      </c>
      <c r="G16" s="580" t="s">
        <v>2181</v>
      </c>
      <c r="H16" s="581"/>
      <c r="I16" s="581"/>
      <c r="J16" s="581"/>
      <c r="K16" s="581"/>
      <c r="L16" s="581"/>
      <c r="M16" s="581"/>
      <c r="N16" s="581"/>
      <c r="O16" s="582"/>
    </row>
    <row r="17" spans="1:15" ht="21" customHeight="1">
      <c r="B17">
        <v>10</v>
      </c>
      <c r="D17" s="546"/>
      <c r="E17" s="50"/>
      <c r="F17" s="577" t="str">
        <f>IF(ROUNDDOWN($F$13,0)=$F$5,$H$5,$G$5)</f>
        <v>　レベル　4</v>
      </c>
      <c r="G17" s="580" t="s">
        <v>2184</v>
      </c>
      <c r="H17" s="581"/>
      <c r="I17" s="581"/>
      <c r="J17" s="581"/>
      <c r="K17" s="581"/>
      <c r="L17" s="581"/>
      <c r="M17" s="581"/>
      <c r="N17" s="581"/>
      <c r="O17" s="582"/>
    </row>
    <row r="18" spans="1:15" ht="21" customHeight="1">
      <c r="B18">
        <v>13</v>
      </c>
      <c r="D18" s="546"/>
      <c r="E18" s="50"/>
      <c r="F18" s="587" t="str">
        <f>IF(ROUNDDOWN($F$13,0)=$F$6,$H$6,$G$6)</f>
        <v>　レベル　5</v>
      </c>
      <c r="G18" s="591" t="s">
        <v>2185</v>
      </c>
      <c r="H18" s="592"/>
      <c r="I18" s="592"/>
      <c r="J18" s="592"/>
      <c r="K18" s="592"/>
      <c r="L18" s="592"/>
      <c r="M18" s="592"/>
      <c r="N18" s="592"/>
      <c r="O18" s="593"/>
    </row>
    <row r="19" spans="1:15">
      <c r="A19" s="543"/>
      <c r="B19" s="543"/>
      <c r="C19" s="543"/>
      <c r="D19" s="2686"/>
      <c r="E19" s="2687"/>
      <c r="F19" s="887" t="s">
        <v>3402</v>
      </c>
      <c r="G19" s="2423"/>
      <c r="H19" s="2396"/>
      <c r="I19" s="2396"/>
      <c r="J19" s="2397"/>
      <c r="K19" s="2576" t="s">
        <v>3709</v>
      </c>
      <c r="L19" s="2431"/>
      <c r="M19" s="543"/>
      <c r="N19" s="543"/>
      <c r="O19" s="543"/>
    </row>
    <row r="20" spans="1:15">
      <c r="A20" s="543"/>
      <c r="B20" s="543"/>
      <c r="C20" s="543"/>
      <c r="D20" s="543"/>
      <c r="E20" s="543"/>
      <c r="F20" s="2459" t="s">
        <v>3386</v>
      </c>
      <c r="G20" s="2455">
        <f>ROUNDDOWN(H20,2)</f>
        <v>0.34</v>
      </c>
      <c r="H20" s="2685">
        <f>(M21+M22)/M20</f>
        <v>0.34</v>
      </c>
      <c r="I20"/>
      <c r="J20" s="2459" t="s">
        <v>3480</v>
      </c>
      <c r="K20" s="2431"/>
      <c r="L20" s="2459" t="s">
        <v>3485</v>
      </c>
      <c r="M20" s="2689">
        <v>1000</v>
      </c>
      <c r="N20" s="2459" t="s">
        <v>3488</v>
      </c>
      <c r="O20" s="2690">
        <f>メイン!C18</f>
        <v>4000</v>
      </c>
    </row>
    <row r="21" spans="1:15">
      <c r="A21" s="543"/>
      <c r="B21" s="543"/>
      <c r="C21" s="543"/>
      <c r="D21" s="543"/>
      <c r="E21" s="543"/>
      <c r="F21" s="2459" t="s">
        <v>3387</v>
      </c>
      <c r="G21" s="2455">
        <f>ROUNDDOWN(H21,2)</f>
        <v>0.05</v>
      </c>
      <c r="H21" s="2685">
        <f>(O21+O22)/O20</f>
        <v>5.7500000000000002E-2</v>
      </c>
      <c r="I21"/>
      <c r="J21"/>
      <c r="K21" s="2431"/>
      <c r="L21" s="2459" t="s">
        <v>3483</v>
      </c>
      <c r="M21" s="2689">
        <v>300</v>
      </c>
      <c r="N21" s="2459" t="s">
        <v>3486</v>
      </c>
      <c r="O21" s="2689">
        <v>200</v>
      </c>
    </row>
    <row r="22" spans="1:15">
      <c r="A22" s="543"/>
      <c r="B22" s="543"/>
      <c r="C22" s="543"/>
      <c r="D22" s="543"/>
      <c r="E22" s="543"/>
      <c r="F22" s="543"/>
      <c r="G22" s="543"/>
      <c r="H22" s="543"/>
      <c r="I22" s="543"/>
      <c r="J22" s="543"/>
      <c r="K22" s="2431"/>
      <c r="L22" s="2459" t="s">
        <v>3484</v>
      </c>
      <c r="M22" s="2689">
        <v>40</v>
      </c>
      <c r="N22" s="2459" t="s">
        <v>3487</v>
      </c>
      <c r="O22" s="2689">
        <v>30</v>
      </c>
    </row>
    <row r="23" spans="1:15">
      <c r="A23" s="543"/>
      <c r="B23" s="543"/>
      <c r="C23" s="543"/>
      <c r="D23" s="2686"/>
      <c r="E23" s="2687"/>
      <c r="F23" s="550" t="s">
        <v>2070</v>
      </c>
      <c r="G23" s="543"/>
      <c r="H23" s="433"/>
      <c r="I23" s="550"/>
      <c r="J23" s="779"/>
      <c r="K23" s="433"/>
      <c r="L23" s="433"/>
      <c r="M23" s="433"/>
      <c r="N23" s="433"/>
      <c r="O23" s="433"/>
    </row>
    <row r="24" spans="1:15" ht="16.5" thickBot="1">
      <c r="B24" t="s">
        <v>3494</v>
      </c>
      <c r="D24" s="546"/>
      <c r="E24" s="50"/>
      <c r="F24" s="433"/>
      <c r="G24" s="2442">
        <f>IF(G38&gt;=B18,5,IF(G38&gt;=B17,4,IF(G38&gt;=B16,3,IF(G38&gt;=B15,2,1))))</f>
        <v>3</v>
      </c>
      <c r="H24" s="3306" t="s">
        <v>1453</v>
      </c>
      <c r="I24" s="3307"/>
      <c r="J24" s="3306" t="s">
        <v>1452</v>
      </c>
      <c r="K24" s="3307"/>
      <c r="L24" s="3307"/>
      <c r="M24" s="3307"/>
      <c r="N24" s="3308"/>
      <c r="O24" s="751" t="s">
        <v>1454</v>
      </c>
    </row>
    <row r="25" spans="1:15" ht="34.5" customHeight="1">
      <c r="B25">
        <v>2</v>
      </c>
      <c r="C25" s="713" t="s">
        <v>183</v>
      </c>
      <c r="D25" s="546"/>
      <c r="E25" s="433"/>
      <c r="F25" s="2409" t="s">
        <v>3070</v>
      </c>
      <c r="G25" s="2468"/>
      <c r="H25" s="3173" t="s">
        <v>2186</v>
      </c>
      <c r="I25" s="3319"/>
      <c r="J25" s="3304" t="s">
        <v>2847</v>
      </c>
      <c r="K25" s="3304"/>
      <c r="L25" s="3304"/>
      <c r="M25" s="3304"/>
      <c r="N25" s="3305"/>
      <c r="O25" s="784">
        <v>2</v>
      </c>
    </row>
    <row r="26" spans="1:15" ht="27" customHeight="1">
      <c r="B26">
        <v>2</v>
      </c>
      <c r="C26" s="713"/>
      <c r="D26" s="546"/>
      <c r="E26" s="433"/>
      <c r="F26" s="2409" t="s">
        <v>3400</v>
      </c>
      <c r="G26" s="2444"/>
      <c r="H26" s="3174" t="s">
        <v>2188</v>
      </c>
      <c r="I26" s="3318"/>
      <c r="J26" s="3157" t="s">
        <v>2848</v>
      </c>
      <c r="K26" s="3174"/>
      <c r="L26" s="3174"/>
      <c r="M26" s="3174"/>
      <c r="N26" s="3201"/>
      <c r="O26" s="785">
        <v>2</v>
      </c>
    </row>
    <row r="27" spans="1:15" ht="15.75">
      <c r="B27">
        <v>3</v>
      </c>
      <c r="D27" s="546"/>
      <c r="E27" s="433"/>
      <c r="F27" s="2409" t="s">
        <v>3072</v>
      </c>
      <c r="G27" s="3284">
        <v>2</v>
      </c>
      <c r="H27" s="3322" t="s">
        <v>168</v>
      </c>
      <c r="I27" s="3323"/>
      <c r="J27" s="3278" t="s">
        <v>3489</v>
      </c>
      <c r="K27" s="3279"/>
      <c r="L27" s="3279"/>
      <c r="M27" s="3279"/>
      <c r="N27" s="3280"/>
      <c r="O27" s="3320" t="s">
        <v>184</v>
      </c>
    </row>
    <row r="28" spans="1:15" ht="61.5" customHeight="1">
      <c r="D28" s="546"/>
      <c r="E28" s="433"/>
      <c r="F28" s="2409"/>
      <c r="G28" s="3328"/>
      <c r="H28" s="3324"/>
      <c r="I28" s="3325"/>
      <c r="J28" s="3294" t="s">
        <v>3491</v>
      </c>
      <c r="K28" s="3295"/>
      <c r="L28" s="3295"/>
      <c r="M28" s="3295"/>
      <c r="N28" s="2456" t="str">
        <f>F20&amp;"＝"&amp;G20*100&amp;"%"</f>
        <v>外構緑化指数＝34%</v>
      </c>
      <c r="O28" s="3321"/>
    </row>
    <row r="29" spans="1:15" ht="15.75">
      <c r="B29">
        <v>2</v>
      </c>
      <c r="D29" s="546"/>
      <c r="E29" s="433"/>
      <c r="F29" s="2409" t="s">
        <v>3495</v>
      </c>
      <c r="G29" s="3284">
        <v>1</v>
      </c>
      <c r="H29" s="3324"/>
      <c r="I29" s="3325"/>
      <c r="J29" s="3278" t="s">
        <v>3490</v>
      </c>
      <c r="K29" s="3279"/>
      <c r="L29" s="3279"/>
      <c r="M29" s="3279"/>
      <c r="N29" s="3280"/>
      <c r="O29" s="3320" t="s">
        <v>185</v>
      </c>
    </row>
    <row r="30" spans="1:15" ht="48" customHeight="1">
      <c r="D30" s="546"/>
      <c r="E30" s="433"/>
      <c r="F30" s="2409"/>
      <c r="G30" s="3329"/>
      <c r="H30" s="3326"/>
      <c r="I30" s="3327"/>
      <c r="J30" s="3275" t="s">
        <v>3492</v>
      </c>
      <c r="K30" s="3276"/>
      <c r="L30" s="3276"/>
      <c r="M30" s="3276"/>
      <c r="N30" s="2456" t="str">
        <f>F21&amp;"＝"&amp;G21*100&amp;"%"</f>
        <v>建物緑化指数＝5%</v>
      </c>
      <c r="O30" s="3330"/>
    </row>
    <row r="31" spans="1:15" ht="27" customHeight="1">
      <c r="B31">
        <v>1</v>
      </c>
      <c r="D31" s="546"/>
      <c r="E31" s="433"/>
      <c r="F31" s="2409" t="s">
        <v>3496</v>
      </c>
      <c r="G31" s="2445"/>
      <c r="H31" s="3279" t="s">
        <v>949</v>
      </c>
      <c r="I31" s="3301"/>
      <c r="J31" s="3157" t="s">
        <v>2889</v>
      </c>
      <c r="K31" s="3174"/>
      <c r="L31" s="3174"/>
      <c r="M31" s="3174"/>
      <c r="N31" s="3201"/>
      <c r="O31" s="785">
        <v>1</v>
      </c>
    </row>
    <row r="32" spans="1:15" ht="27" customHeight="1">
      <c r="B32">
        <v>1</v>
      </c>
      <c r="D32" s="546"/>
      <c r="E32" s="433"/>
      <c r="F32" s="2409" t="s">
        <v>3075</v>
      </c>
      <c r="G32" s="2445">
        <v>1</v>
      </c>
      <c r="H32" s="3316"/>
      <c r="I32" s="3311"/>
      <c r="J32" s="580" t="s">
        <v>2890</v>
      </c>
      <c r="K32" s="670"/>
      <c r="L32" s="670"/>
      <c r="M32" s="670"/>
      <c r="N32" s="669"/>
      <c r="O32" s="785">
        <v>1</v>
      </c>
    </row>
    <row r="33" spans="2:15" ht="27" customHeight="1">
      <c r="B33">
        <v>1</v>
      </c>
      <c r="D33" s="546"/>
      <c r="E33" s="433"/>
      <c r="F33" s="2409" t="s">
        <v>3076</v>
      </c>
      <c r="G33" s="2445">
        <v>1</v>
      </c>
      <c r="H33" s="3317"/>
      <c r="I33" s="3311"/>
      <c r="J33" s="3157" t="s">
        <v>2891</v>
      </c>
      <c r="K33" s="3174"/>
      <c r="L33" s="3174"/>
      <c r="M33" s="3174"/>
      <c r="N33" s="3201"/>
      <c r="O33" s="785">
        <v>1</v>
      </c>
    </row>
    <row r="34" spans="2:15" ht="27" customHeight="1">
      <c r="B34">
        <v>1</v>
      </c>
      <c r="D34" s="546"/>
      <c r="E34" s="433"/>
      <c r="F34" s="2409" t="s">
        <v>3077</v>
      </c>
      <c r="G34" s="2445"/>
      <c r="H34" s="3302"/>
      <c r="I34" s="3303"/>
      <c r="J34" s="3157" t="s">
        <v>2892</v>
      </c>
      <c r="K34" s="3174"/>
      <c r="L34" s="3174"/>
      <c r="M34" s="3174"/>
      <c r="N34" s="3201"/>
      <c r="O34" s="785">
        <v>1</v>
      </c>
    </row>
    <row r="35" spans="2:15" ht="27" customHeight="1">
      <c r="B35">
        <v>1</v>
      </c>
      <c r="D35" s="546"/>
      <c r="E35" s="433"/>
      <c r="F35" s="2409" t="s">
        <v>3078</v>
      </c>
      <c r="G35" s="2445">
        <v>1</v>
      </c>
      <c r="H35" s="3279" t="s">
        <v>950</v>
      </c>
      <c r="I35" s="3301"/>
      <c r="J35" s="3157" t="s">
        <v>2849</v>
      </c>
      <c r="K35" s="3174"/>
      <c r="L35" s="3174"/>
      <c r="M35" s="3174"/>
      <c r="N35" s="3201"/>
      <c r="O35" s="785">
        <v>1</v>
      </c>
    </row>
    <row r="36" spans="2:15" ht="27" customHeight="1">
      <c r="B36">
        <v>1</v>
      </c>
      <c r="D36" s="546"/>
      <c r="E36" s="433"/>
      <c r="F36" s="2409" t="s">
        <v>3108</v>
      </c>
      <c r="G36" s="2445">
        <v>1</v>
      </c>
      <c r="H36" s="3302"/>
      <c r="I36" s="3303"/>
      <c r="J36" s="3157" t="s">
        <v>2850</v>
      </c>
      <c r="K36" s="3174"/>
      <c r="L36" s="3174"/>
      <c r="M36" s="3174"/>
      <c r="N36" s="3201"/>
      <c r="O36" s="785">
        <v>1</v>
      </c>
    </row>
    <row r="37" spans="2:15" ht="27" customHeight="1" thickBot="1">
      <c r="B37">
        <v>1</v>
      </c>
      <c r="D37" s="546"/>
      <c r="E37" s="433"/>
      <c r="F37" s="2409" t="s">
        <v>3109</v>
      </c>
      <c r="G37" s="2444"/>
      <c r="H37" s="3315" t="s">
        <v>2359</v>
      </c>
      <c r="I37" s="3280"/>
      <c r="J37" s="3278" t="s">
        <v>3712</v>
      </c>
      <c r="K37" s="3279"/>
      <c r="L37" s="3279"/>
      <c r="M37" s="3279"/>
      <c r="N37" s="3280"/>
      <c r="O37" s="2471">
        <v>1</v>
      </c>
    </row>
    <row r="38" spans="2:15" ht="21" customHeight="1">
      <c r="D38" s="546"/>
      <c r="E38" s="433"/>
      <c r="F38" s="2409" t="s">
        <v>3481</v>
      </c>
      <c r="G38" s="2440">
        <f>SUM(G25:G37)</f>
        <v>7</v>
      </c>
      <c r="H38" s="1529" t="s">
        <v>2843</v>
      </c>
      <c r="I38" s="748"/>
      <c r="J38" s="748"/>
      <c r="K38" s="749"/>
      <c r="L38" s="748"/>
      <c r="M38" s="749"/>
      <c r="N38" s="748"/>
      <c r="O38" s="2688">
        <f>SUM(B25:B37)</f>
        <v>16</v>
      </c>
    </row>
    <row r="39" spans="2:15" ht="14.25" customHeight="1"/>
    <row r="40" spans="2:15" ht="14.25" customHeight="1">
      <c r="D40" s="546">
        <v>2</v>
      </c>
      <c r="E40" s="551" t="s">
        <v>186</v>
      </c>
      <c r="F40" s="552"/>
    </row>
    <row r="41" spans="2:15" ht="15" thickBot="1">
      <c r="D41" s="1475"/>
      <c r="E41" s="552"/>
      <c r="F41" s="558"/>
      <c r="G41" s="559"/>
      <c r="H41" s="559" t="s">
        <v>1141</v>
      </c>
      <c r="I41" s="657"/>
      <c r="J41" s="1770">
        <f>重み!M116</f>
        <v>0.4</v>
      </c>
      <c r="K41" s="560"/>
      <c r="L41" s="560"/>
      <c r="M41" s="560"/>
      <c r="N41" s="560"/>
      <c r="O41" s="649"/>
    </row>
    <row r="42" spans="2:15" ht="27" customHeight="1" thickBot="1">
      <c r="B42" t="s">
        <v>3497</v>
      </c>
      <c r="D42" s="546"/>
      <c r="E42" s="551"/>
      <c r="F42" s="1978">
        <f>G51</f>
        <v>3</v>
      </c>
      <c r="G42" s="569" t="s">
        <v>407</v>
      </c>
      <c r="H42" s="570"/>
      <c r="I42" s="570"/>
      <c r="J42" s="570"/>
      <c r="K42" s="570"/>
      <c r="L42" s="570"/>
      <c r="M42" s="570"/>
      <c r="N42" s="570"/>
      <c r="O42" s="571"/>
    </row>
    <row r="43" spans="2:15" ht="21" customHeight="1">
      <c r="B43">
        <v>0</v>
      </c>
      <c r="D43" s="546"/>
      <c r="E43" s="50"/>
      <c r="F43" s="577" t="str">
        <f>IF(ROUNDDOWN($F$42,0)=$F$2,$H$2,$G$2)</f>
        <v>　レベル　1</v>
      </c>
      <c r="G43" s="1329" t="s">
        <v>187</v>
      </c>
      <c r="H43" s="763"/>
      <c r="I43" s="763"/>
      <c r="J43" s="763"/>
      <c r="K43" s="763"/>
      <c r="L43" s="763"/>
      <c r="M43" s="763"/>
      <c r="N43" s="763"/>
      <c r="O43" s="1717"/>
    </row>
    <row r="44" spans="2:15" ht="21" customHeight="1">
      <c r="B44">
        <v>1</v>
      </c>
      <c r="D44" s="546"/>
      <c r="E44" s="50"/>
      <c r="F44" s="577" t="str">
        <f>IF(ROUNDDOWN($F$42,0)=$F$3,$H$3,$G$3)</f>
        <v>　レベル　2</v>
      </c>
      <c r="G44" s="705" t="s">
        <v>1993</v>
      </c>
      <c r="H44" s="690"/>
      <c r="I44" s="690"/>
      <c r="J44" s="690"/>
      <c r="K44" s="690"/>
      <c r="L44" s="690"/>
      <c r="M44" s="690"/>
      <c r="N44" s="690"/>
      <c r="O44" s="586"/>
    </row>
    <row r="45" spans="2:15" ht="21" customHeight="1">
      <c r="B45">
        <v>3</v>
      </c>
      <c r="D45" s="546"/>
      <c r="E45" s="50"/>
      <c r="F45" s="577" t="str">
        <f>IF(ROUNDDOWN($F$42,0)=$F$4,$H$4,$G$4)</f>
        <v>■レベル　3</v>
      </c>
      <c r="G45" s="705" t="s">
        <v>288</v>
      </c>
      <c r="H45" s="690"/>
      <c r="I45" s="690"/>
      <c r="J45" s="690"/>
      <c r="K45" s="690"/>
      <c r="L45" s="690"/>
      <c r="M45" s="690"/>
      <c r="N45" s="690"/>
      <c r="O45" s="586"/>
    </row>
    <row r="46" spans="2:15" ht="21" customHeight="1">
      <c r="B46">
        <v>4</v>
      </c>
      <c r="D46" s="546"/>
      <c r="E46" s="50"/>
      <c r="F46" s="577" t="str">
        <f>IF(ROUNDDOWN($F$42,0)=$F$5,$H$5,$G$5)</f>
        <v>　レベル　4</v>
      </c>
      <c r="G46" s="705" t="s">
        <v>188</v>
      </c>
      <c r="H46" s="690"/>
      <c r="I46" s="690"/>
      <c r="J46" s="690"/>
      <c r="K46" s="690"/>
      <c r="L46" s="690"/>
      <c r="M46" s="690"/>
      <c r="N46" s="690"/>
      <c r="O46" s="586"/>
    </row>
    <row r="47" spans="2:15" ht="21" customHeight="1">
      <c r="B47">
        <v>5</v>
      </c>
      <c r="D47" s="546"/>
      <c r="E47" s="50"/>
      <c r="F47" s="587" t="str">
        <f>IF(ROUNDDOWN($F$42,0)=$F$6,$H$6,$G$6)</f>
        <v>　レベル　5</v>
      </c>
      <c r="G47" s="858" t="s">
        <v>189</v>
      </c>
      <c r="H47" s="685"/>
      <c r="I47" s="685"/>
      <c r="J47" s="685"/>
      <c r="K47" s="685"/>
      <c r="L47" s="685"/>
      <c r="M47" s="685"/>
      <c r="N47" s="685"/>
      <c r="O47" s="590"/>
    </row>
    <row r="48" spans="2:15" ht="15.75">
      <c r="D48" s="546"/>
      <c r="E48" s="50"/>
      <c r="F48" s="887" t="s">
        <v>3402</v>
      </c>
      <c r="G48" s="2423"/>
      <c r="H48" s="2399"/>
      <c r="I48" s="2396"/>
      <c r="J48" s="2397"/>
      <c r="K48" s="2431" t="s">
        <v>3710</v>
      </c>
      <c r="L48"/>
      <c r="M48" s="2400"/>
      <c r="N48"/>
      <c r="O48"/>
    </row>
    <row r="49" spans="2:15" ht="39.75" customHeight="1">
      <c r="D49" s="546"/>
      <c r="E49" s="51"/>
      <c r="F49" s="51"/>
      <c r="G49" s="3339" t="s">
        <v>3498</v>
      </c>
      <c r="H49" s="3340"/>
      <c r="I49" s="3340"/>
      <c r="J49" s="3340"/>
      <c r="K49" s="3340"/>
      <c r="L49" s="3340"/>
      <c r="M49" s="3340"/>
      <c r="N49" s="3340"/>
      <c r="O49" s="3340"/>
    </row>
    <row r="50" spans="2:15" ht="15.75">
      <c r="D50" s="546"/>
      <c r="E50" s="51"/>
      <c r="F50" s="550" t="s">
        <v>2070</v>
      </c>
      <c r="G50"/>
      <c r="H50"/>
      <c r="I50"/>
      <c r="J50"/>
      <c r="K50"/>
      <c r="L50"/>
      <c r="M50"/>
      <c r="N50"/>
      <c r="O50"/>
    </row>
    <row r="51" spans="2:15" ht="25.5" customHeight="1" thickBot="1">
      <c r="B51" t="s">
        <v>3494</v>
      </c>
      <c r="D51" s="546"/>
      <c r="E51" s="50"/>
      <c r="G51" s="2442">
        <f>IF(G58&gt;=B47,5,IF(G58&gt;=B46,4,IF(G58&gt;=B45,3,IF(G58&gt;=B44,2,1))))</f>
        <v>3</v>
      </c>
      <c r="H51" s="3306" t="s">
        <v>1453</v>
      </c>
      <c r="I51" s="3307"/>
      <c r="J51" s="3306" t="s">
        <v>1452</v>
      </c>
      <c r="K51" s="3307"/>
      <c r="L51" s="3307"/>
      <c r="M51" s="3307"/>
      <c r="N51" s="3308"/>
      <c r="O51" s="751" t="s">
        <v>1454</v>
      </c>
    </row>
    <row r="52" spans="2:15" ht="39.75" customHeight="1">
      <c r="B52">
        <v>2</v>
      </c>
      <c r="D52" s="546"/>
      <c r="E52" s="433"/>
      <c r="F52" s="2409" t="s">
        <v>3070</v>
      </c>
      <c r="G52" s="2443">
        <v>2</v>
      </c>
      <c r="H52" s="3252" t="s">
        <v>289</v>
      </c>
      <c r="I52" s="3319"/>
      <c r="J52" s="3304" t="s">
        <v>290</v>
      </c>
      <c r="K52" s="3304"/>
      <c r="L52" s="3304"/>
      <c r="M52" s="3304"/>
      <c r="N52" s="3305"/>
      <c r="O52" s="784">
        <v>2</v>
      </c>
    </row>
    <row r="53" spans="2:15" ht="25.5" customHeight="1">
      <c r="B53">
        <v>1</v>
      </c>
      <c r="D53" s="546"/>
      <c r="E53" s="433"/>
      <c r="F53" s="2409" t="s">
        <v>3400</v>
      </c>
      <c r="G53" s="2445">
        <v>1</v>
      </c>
      <c r="H53" s="3255" t="s">
        <v>190</v>
      </c>
      <c r="I53" s="3314"/>
      <c r="J53" s="705" t="s">
        <v>1994</v>
      </c>
      <c r="K53" s="690"/>
      <c r="L53" s="690"/>
      <c r="M53" s="690"/>
      <c r="N53" s="586"/>
      <c r="O53" s="785">
        <v>1</v>
      </c>
    </row>
    <row r="54" spans="2:15" ht="39.75" customHeight="1">
      <c r="B54">
        <v>1</v>
      </c>
      <c r="D54" s="546"/>
      <c r="E54" s="433"/>
      <c r="F54" s="2409" t="s">
        <v>3072</v>
      </c>
      <c r="G54" s="2445">
        <v>0</v>
      </c>
      <c r="H54" s="3255" t="s">
        <v>1995</v>
      </c>
      <c r="I54" s="3314"/>
      <c r="J54" s="3157" t="s">
        <v>94</v>
      </c>
      <c r="K54" s="3174"/>
      <c r="L54" s="3174"/>
      <c r="M54" s="3174"/>
      <c r="N54" s="3201"/>
      <c r="O54" s="790">
        <v>1</v>
      </c>
    </row>
    <row r="55" spans="2:15" ht="25.5" customHeight="1">
      <c r="B55">
        <v>1</v>
      </c>
      <c r="D55" s="546"/>
      <c r="E55" s="433"/>
      <c r="F55" s="2409" t="s">
        <v>3073</v>
      </c>
      <c r="G55" s="2445">
        <v>0</v>
      </c>
      <c r="H55" s="3255" t="s">
        <v>191</v>
      </c>
      <c r="I55" s="3314"/>
      <c r="J55" s="705" t="s">
        <v>95</v>
      </c>
      <c r="K55" s="690"/>
      <c r="L55" s="690"/>
      <c r="M55" s="690"/>
      <c r="N55" s="586"/>
      <c r="O55" s="790">
        <v>1</v>
      </c>
    </row>
    <row r="56" spans="2:15" ht="39.75" customHeight="1">
      <c r="B56">
        <v>1</v>
      </c>
      <c r="D56" s="546"/>
      <c r="E56" s="433"/>
      <c r="F56" s="2409" t="s">
        <v>3074</v>
      </c>
      <c r="G56" s="2445">
        <v>0</v>
      </c>
      <c r="H56" s="3255" t="s">
        <v>192</v>
      </c>
      <c r="I56" s="3318"/>
      <c r="J56" s="3157" t="s">
        <v>96</v>
      </c>
      <c r="K56" s="3174"/>
      <c r="L56" s="3174"/>
      <c r="M56" s="3174"/>
      <c r="N56" s="3201"/>
      <c r="O56" s="790">
        <v>1</v>
      </c>
    </row>
    <row r="57" spans="2:15" ht="25.5" customHeight="1" thickBot="1">
      <c r="B57">
        <v>1</v>
      </c>
      <c r="D57" s="546"/>
      <c r="E57" s="433"/>
      <c r="F57" s="2409" t="s">
        <v>3075</v>
      </c>
      <c r="G57" s="2444">
        <v>0</v>
      </c>
      <c r="H57" s="3315" t="s">
        <v>3535</v>
      </c>
      <c r="I57" s="3341"/>
      <c r="J57" s="700" t="s">
        <v>3712</v>
      </c>
      <c r="K57" s="786"/>
      <c r="L57" s="786"/>
      <c r="M57" s="786"/>
      <c r="N57" s="787"/>
      <c r="O57" s="2470">
        <v>1</v>
      </c>
    </row>
    <row r="58" spans="2:15" ht="21" customHeight="1">
      <c r="D58" s="546"/>
      <c r="E58" s="433"/>
      <c r="F58" s="2409" t="s">
        <v>3481</v>
      </c>
      <c r="G58" s="2440">
        <f>SUM(G52:G57)</f>
        <v>3</v>
      </c>
      <c r="H58" s="1529" t="s">
        <v>2843</v>
      </c>
      <c r="I58" s="748"/>
      <c r="J58" s="748"/>
      <c r="K58" s="749"/>
      <c r="L58" s="748"/>
      <c r="M58" s="749"/>
      <c r="N58" s="748"/>
      <c r="O58" s="2688">
        <f>SUM(B52:B57)</f>
        <v>7</v>
      </c>
    </row>
    <row r="59" spans="2:15" ht="15.75">
      <c r="D59" s="546"/>
      <c r="E59" s="63"/>
      <c r="F59" s="671"/>
      <c r="G59" s="707"/>
      <c r="H59" s="707"/>
      <c r="I59" s="707"/>
      <c r="J59" s="707"/>
      <c r="K59" s="707"/>
      <c r="L59" s="707"/>
      <c r="M59" s="707"/>
      <c r="N59" s="707"/>
      <c r="O59" s="707"/>
    </row>
    <row r="60" spans="2:15" ht="15.75">
      <c r="D60" s="1476">
        <v>3</v>
      </c>
      <c r="E60" s="551" t="s">
        <v>193</v>
      </c>
      <c r="F60" s="551"/>
      <c r="G60" s="552"/>
      <c r="H60" s="552"/>
      <c r="I60" s="791"/>
      <c r="J60" s="552"/>
      <c r="K60" s="552"/>
      <c r="L60" s="552"/>
      <c r="M60" s="552"/>
      <c r="N60" s="552"/>
      <c r="O60" s="552"/>
    </row>
    <row r="61" spans="2:15" ht="15.75">
      <c r="D61" s="546">
        <v>3.1</v>
      </c>
      <c r="E61" s="551" t="s">
        <v>194</v>
      </c>
      <c r="F61" s="552"/>
      <c r="G61" s="552"/>
      <c r="H61" s="552"/>
      <c r="I61" s="791"/>
      <c r="J61" s="552"/>
      <c r="K61" s="552"/>
      <c r="L61" s="552"/>
      <c r="M61" s="552"/>
      <c r="N61" s="552"/>
      <c r="O61" s="552"/>
    </row>
    <row r="62" spans="2:15" ht="15" thickBot="1">
      <c r="D62" s="1475"/>
      <c r="E62" s="552"/>
      <c r="F62" s="558"/>
      <c r="G62" s="559"/>
      <c r="H62" s="559" t="s">
        <v>1141</v>
      </c>
      <c r="I62" s="657"/>
      <c r="J62" s="1770">
        <f>重み!M118</f>
        <v>0.5</v>
      </c>
      <c r="K62" s="560"/>
      <c r="L62" s="560"/>
      <c r="M62" s="560"/>
      <c r="N62" s="560"/>
      <c r="O62" s="649"/>
    </row>
    <row r="63" spans="2:15" ht="27" customHeight="1" thickBot="1">
      <c r="B63" t="s">
        <v>3497</v>
      </c>
      <c r="C63" s="713" t="s">
        <v>3499</v>
      </c>
      <c r="D63" s="546"/>
      <c r="E63" s="50"/>
      <c r="F63" s="1978">
        <f>G71</f>
        <v>3</v>
      </c>
      <c r="G63" s="569" t="s">
        <v>407</v>
      </c>
      <c r="H63" s="570"/>
      <c r="I63" s="570"/>
      <c r="J63" s="570"/>
      <c r="K63" s="570"/>
      <c r="L63" s="570"/>
      <c r="M63" s="570"/>
      <c r="N63" s="570"/>
      <c r="O63" s="571"/>
    </row>
    <row r="64" spans="2:15" ht="21" customHeight="1">
      <c r="B64">
        <v>0</v>
      </c>
      <c r="D64" s="546"/>
      <c r="E64" s="50"/>
      <c r="F64" s="572" t="str">
        <f>IF(ROUNDDOWN($F$63,0)=$F$2,$H$2,$G$2)</f>
        <v>　レベル　1</v>
      </c>
      <c r="G64" s="574" t="s">
        <v>195</v>
      </c>
      <c r="H64" s="575"/>
      <c r="I64" s="575"/>
      <c r="J64" s="575"/>
      <c r="K64" s="575"/>
      <c r="L64" s="575"/>
      <c r="M64" s="575"/>
      <c r="N64" s="575"/>
      <c r="O64" s="576"/>
    </row>
    <row r="65" spans="2:15" ht="21" customHeight="1">
      <c r="B65">
        <v>1</v>
      </c>
      <c r="D65" s="546"/>
      <c r="E65" s="50"/>
      <c r="F65" s="577" t="str">
        <f>IF(ROUNDDOWN($F$63,0)=$F$3,$H$3,$G$3)</f>
        <v>　レベル　2</v>
      </c>
      <c r="G65" s="580" t="s">
        <v>196</v>
      </c>
      <c r="H65" s="581"/>
      <c r="I65" s="581"/>
      <c r="J65" s="581"/>
      <c r="K65" s="581"/>
      <c r="L65" s="581"/>
      <c r="M65" s="581"/>
      <c r="N65" s="581"/>
      <c r="O65" s="582"/>
    </row>
    <row r="66" spans="2:15" ht="21" customHeight="1">
      <c r="B66">
        <v>2</v>
      </c>
      <c r="D66" s="546"/>
      <c r="E66" s="50"/>
      <c r="F66" s="577" t="str">
        <f>IF(ROUNDDOWN($F$63,0)=$F$4,$H$4,$G$4)</f>
        <v>■レベル　3</v>
      </c>
      <c r="G66" s="580" t="s">
        <v>889</v>
      </c>
      <c r="H66" s="581"/>
      <c r="I66" s="581"/>
      <c r="J66" s="581"/>
      <c r="K66" s="581"/>
      <c r="L66" s="581"/>
      <c r="M66" s="581"/>
      <c r="N66" s="581"/>
      <c r="O66" s="582"/>
    </row>
    <row r="67" spans="2:15" ht="21" customHeight="1">
      <c r="B67">
        <v>4</v>
      </c>
      <c r="D67" s="546"/>
      <c r="E67" s="50"/>
      <c r="F67" s="577" t="str">
        <f>IF(ROUNDDOWN($F$63,0)=$F$5,$H$5,$G$5)</f>
        <v>　レベル　4</v>
      </c>
      <c r="G67" s="580" t="s">
        <v>890</v>
      </c>
      <c r="H67" s="581"/>
      <c r="I67" s="581"/>
      <c r="J67" s="581"/>
      <c r="K67" s="581"/>
      <c r="L67" s="581"/>
      <c r="M67" s="581"/>
      <c r="N67" s="581"/>
      <c r="O67" s="582"/>
    </row>
    <row r="68" spans="2:15" ht="21" customHeight="1">
      <c r="B68">
        <v>5</v>
      </c>
      <c r="D68" s="546"/>
      <c r="E68" s="50"/>
      <c r="F68" s="587" t="str">
        <f>IF(ROUNDDOWN($F$63,0)=$F$6,$H$6,$G$6)</f>
        <v>　レベル　5</v>
      </c>
      <c r="G68" s="591" t="s">
        <v>891</v>
      </c>
      <c r="H68" s="592"/>
      <c r="I68" s="592"/>
      <c r="J68" s="592"/>
      <c r="K68" s="592"/>
      <c r="L68" s="592"/>
      <c r="M68" s="592"/>
      <c r="N68" s="592"/>
      <c r="O68" s="593"/>
    </row>
    <row r="69" spans="2:15" ht="15.75">
      <c r="D69" s="546"/>
      <c r="E69" s="50"/>
      <c r="F69" s="887" t="s">
        <v>3402</v>
      </c>
      <c r="G69" s="2423"/>
      <c r="H69" s="2396"/>
      <c r="I69" s="2396"/>
      <c r="J69" s="2397"/>
      <c r="K69" s="2576" t="s">
        <v>3709</v>
      </c>
      <c r="L69"/>
      <c r="M69"/>
      <c r="N69"/>
      <c r="O69"/>
    </row>
    <row r="70" spans="2:15" ht="15.75">
      <c r="D70" s="546"/>
      <c r="E70" s="50"/>
      <c r="F70" s="550" t="s">
        <v>2070</v>
      </c>
      <c r="H70" s="433"/>
      <c r="I70" s="435"/>
      <c r="J70" s="779"/>
      <c r="K70" s="433"/>
      <c r="L70" s="433"/>
      <c r="M70" s="433"/>
      <c r="N70" s="433"/>
      <c r="O70" s="433"/>
    </row>
    <row r="71" spans="2:15" ht="28.5" customHeight="1" thickBot="1">
      <c r="B71" t="s">
        <v>3494</v>
      </c>
      <c r="D71" s="546"/>
      <c r="E71" s="50"/>
      <c r="F71" s="433"/>
      <c r="G71" s="2442">
        <f>IF(G92&gt;=B68,5,IF(G92&gt;=B67,4,IF(G92&gt;=B66,3,IF(G92&gt;=B65,2,1))))</f>
        <v>3</v>
      </c>
      <c r="H71" s="3306" t="s">
        <v>1453</v>
      </c>
      <c r="I71" s="3307"/>
      <c r="J71" s="3306" t="s">
        <v>1452</v>
      </c>
      <c r="K71" s="3307"/>
      <c r="L71" s="3307"/>
      <c r="M71" s="3307"/>
      <c r="N71" s="3308"/>
      <c r="O71" s="751" t="s">
        <v>1454</v>
      </c>
    </row>
    <row r="72" spans="2:15" ht="15.75">
      <c r="B72">
        <v>1</v>
      </c>
      <c r="D72" s="546"/>
      <c r="E72" s="433"/>
      <c r="F72" s="2409" t="s">
        <v>3070</v>
      </c>
      <c r="G72" s="3292">
        <v>1</v>
      </c>
      <c r="H72" s="3309" t="s">
        <v>2893</v>
      </c>
      <c r="I72" s="3310"/>
      <c r="J72" s="3229" t="s">
        <v>3525</v>
      </c>
      <c r="K72" s="3313"/>
      <c r="L72" s="3313"/>
      <c r="M72" s="3313"/>
      <c r="N72" s="3230"/>
      <c r="O72" s="3289">
        <v>1</v>
      </c>
    </row>
    <row r="73" spans="2:15" ht="27" customHeight="1">
      <c r="D73" s="546"/>
      <c r="E73" s="433"/>
      <c r="F73" s="2409"/>
      <c r="G73" s="3286"/>
      <c r="H73" s="3299"/>
      <c r="I73" s="3311"/>
      <c r="J73" s="3275" t="s">
        <v>3522</v>
      </c>
      <c r="K73" s="3276"/>
      <c r="L73" s="3276"/>
      <c r="M73" s="3276"/>
      <c r="N73" s="3277"/>
      <c r="O73" s="3290"/>
    </row>
    <row r="74" spans="2:15" ht="15.75">
      <c r="B74">
        <v>1</v>
      </c>
      <c r="D74" s="546"/>
      <c r="E74" s="433"/>
      <c r="F74" s="2409" t="s">
        <v>3400</v>
      </c>
      <c r="G74" s="3284"/>
      <c r="H74" s="3299"/>
      <c r="I74" s="3311"/>
      <c r="J74" s="2469" t="s">
        <v>3523</v>
      </c>
      <c r="K74" s="2420"/>
      <c r="L74" s="2420"/>
      <c r="M74" s="2420"/>
      <c r="N74" s="2421"/>
      <c r="O74" s="3291">
        <v>1</v>
      </c>
    </row>
    <row r="75" spans="2:15" ht="33.75" customHeight="1">
      <c r="D75" s="546"/>
      <c r="E75" s="433"/>
      <c r="G75" s="3286"/>
      <c r="H75" s="3312"/>
      <c r="I75" s="3303"/>
      <c r="J75" s="3294" t="s">
        <v>3524</v>
      </c>
      <c r="K75" s="3295"/>
      <c r="L75" s="3295"/>
      <c r="M75" s="3295"/>
      <c r="N75" s="3298"/>
      <c r="O75" s="3290"/>
    </row>
    <row r="76" spans="2:15" ht="15.75" customHeight="1">
      <c r="B76">
        <v>1</v>
      </c>
      <c r="D76" s="546"/>
      <c r="E76" s="433"/>
      <c r="F76" s="2409" t="s">
        <v>3072</v>
      </c>
      <c r="G76" s="3284">
        <v>1</v>
      </c>
      <c r="H76" s="3334" t="s">
        <v>2894</v>
      </c>
      <c r="I76" s="3345"/>
      <c r="J76" s="3278" t="s">
        <v>548</v>
      </c>
      <c r="K76" s="3279"/>
      <c r="L76" s="3279"/>
      <c r="M76" s="3279"/>
      <c r="N76" s="3280"/>
      <c r="O76" s="3291">
        <v>1</v>
      </c>
    </row>
    <row r="77" spans="2:15" ht="42.75" customHeight="1">
      <c r="D77" s="546"/>
      <c r="E77" s="433"/>
      <c r="F77" s="433"/>
      <c r="G77" s="3333"/>
      <c r="H77" s="3299"/>
      <c r="I77" s="3346"/>
      <c r="J77" s="3294" t="s">
        <v>549</v>
      </c>
      <c r="K77" s="3295"/>
      <c r="L77" s="3295"/>
      <c r="M77" s="3295"/>
      <c r="N77" s="3298"/>
      <c r="O77" s="3338"/>
    </row>
    <row r="78" spans="2:15" ht="31.5" customHeight="1">
      <c r="D78" s="546"/>
      <c r="E78" s="433"/>
      <c r="F78" s="433"/>
      <c r="G78" s="3286"/>
      <c r="H78" s="3299"/>
      <c r="I78" s="3346"/>
      <c r="J78" s="3275" t="s">
        <v>550</v>
      </c>
      <c r="K78" s="3276"/>
      <c r="L78" s="3276"/>
      <c r="M78" s="3276"/>
      <c r="N78" s="3277"/>
      <c r="O78" s="3290"/>
    </row>
    <row r="79" spans="2:15" ht="15.75">
      <c r="B79">
        <v>1</v>
      </c>
      <c r="D79" s="546"/>
      <c r="E79" s="433"/>
      <c r="F79" s="2409" t="s">
        <v>3073</v>
      </c>
      <c r="G79" s="3284"/>
      <c r="H79" s="3299"/>
      <c r="I79" s="3346"/>
      <c r="J79" s="700" t="s">
        <v>3534</v>
      </c>
      <c r="K79" s="2472"/>
      <c r="L79" s="2472"/>
      <c r="M79" s="2472"/>
      <c r="N79" s="2473"/>
      <c r="O79" s="3291">
        <v>1</v>
      </c>
    </row>
    <row r="80" spans="2:15" ht="40.5" customHeight="1">
      <c r="G80" s="3286"/>
      <c r="H80" s="3299"/>
      <c r="I80" s="3346"/>
      <c r="J80" s="3275" t="s">
        <v>3533</v>
      </c>
      <c r="K80" s="3276"/>
      <c r="L80" s="3276"/>
      <c r="M80" s="3276"/>
      <c r="N80" s="3277"/>
      <c r="O80" s="3290"/>
    </row>
    <row r="81" spans="2:15" ht="15.75">
      <c r="B81">
        <v>1</v>
      </c>
      <c r="D81" s="546"/>
      <c r="E81" s="433"/>
      <c r="F81" s="2409" t="s">
        <v>3074</v>
      </c>
      <c r="G81" s="3284"/>
      <c r="H81" s="3334" t="s">
        <v>2895</v>
      </c>
      <c r="I81" s="3335"/>
      <c r="J81" s="3278" t="s">
        <v>551</v>
      </c>
      <c r="K81" s="3279"/>
      <c r="L81" s="3279"/>
      <c r="M81" s="3279"/>
      <c r="N81" s="3280"/>
      <c r="O81" s="3291">
        <v>1</v>
      </c>
    </row>
    <row r="82" spans="2:15" ht="48.75" customHeight="1">
      <c r="D82" s="546"/>
      <c r="E82" s="433"/>
      <c r="G82" s="3333"/>
      <c r="H82" s="3299"/>
      <c r="I82" s="3300"/>
      <c r="J82" s="3294" t="s">
        <v>994</v>
      </c>
      <c r="K82" s="3295"/>
      <c r="L82" s="3295"/>
      <c r="M82" s="3295"/>
      <c r="N82" s="3298"/>
      <c r="O82" s="3338"/>
    </row>
    <row r="83" spans="2:15" ht="40.5" customHeight="1">
      <c r="D83" s="546"/>
      <c r="E83" s="433"/>
      <c r="F83" s="2409"/>
      <c r="G83" s="3286"/>
      <c r="H83" s="3336"/>
      <c r="I83" s="3337"/>
      <c r="J83" s="3275" t="s">
        <v>995</v>
      </c>
      <c r="K83" s="3276"/>
      <c r="L83" s="3276"/>
      <c r="M83" s="3276"/>
      <c r="N83" s="3277"/>
      <c r="O83" s="3290"/>
    </row>
    <row r="84" spans="2:15" ht="15.75">
      <c r="B84">
        <v>1</v>
      </c>
      <c r="D84" s="546"/>
      <c r="E84" s="433"/>
      <c r="F84" s="2409" t="s">
        <v>3075</v>
      </c>
      <c r="G84" s="3284"/>
      <c r="H84" s="3334" t="s">
        <v>1771</v>
      </c>
      <c r="I84" s="3335"/>
      <c r="J84" s="3278" t="s">
        <v>996</v>
      </c>
      <c r="K84" s="3279"/>
      <c r="L84" s="3279"/>
      <c r="M84" s="3279"/>
      <c r="N84" s="3280"/>
      <c r="O84" s="3342">
        <v>1</v>
      </c>
    </row>
    <row r="85" spans="2:15" ht="48" customHeight="1">
      <c r="D85" s="546"/>
      <c r="E85" s="433"/>
      <c r="F85" s="2409"/>
      <c r="G85" s="3333"/>
      <c r="H85" s="3299"/>
      <c r="I85" s="3300"/>
      <c r="J85" s="3294" t="s">
        <v>997</v>
      </c>
      <c r="K85" s="3295"/>
      <c r="L85" s="3295"/>
      <c r="M85" s="3295"/>
      <c r="N85" s="3298"/>
      <c r="O85" s="3343"/>
    </row>
    <row r="86" spans="2:15" ht="38.25" customHeight="1">
      <c r="D86" s="546"/>
      <c r="E86" s="433"/>
      <c r="F86" s="2409"/>
      <c r="G86" s="3333"/>
      <c r="H86" s="3299"/>
      <c r="I86" s="3300"/>
      <c r="J86" s="3294" t="s">
        <v>998</v>
      </c>
      <c r="K86" s="3295"/>
      <c r="L86" s="3295"/>
      <c r="M86" s="3295"/>
      <c r="N86" s="3298"/>
      <c r="O86" s="3343"/>
    </row>
    <row r="87" spans="2:15" ht="39.75" customHeight="1">
      <c r="D87" s="546"/>
      <c r="E87" s="433"/>
      <c r="F87" s="2409"/>
      <c r="G87" s="3333"/>
      <c r="H87" s="3336"/>
      <c r="I87" s="3337"/>
      <c r="J87" s="3275" t="s">
        <v>999</v>
      </c>
      <c r="K87" s="3276"/>
      <c r="L87" s="3276"/>
      <c r="M87" s="3276"/>
      <c r="N87" s="3277"/>
      <c r="O87" s="3344"/>
    </row>
    <row r="88" spans="2:15" ht="15.75" hidden="1" customHeight="1">
      <c r="B88" s="713" t="s">
        <v>1772</v>
      </c>
      <c r="D88" s="546"/>
      <c r="E88" s="433"/>
      <c r="F88" s="2409"/>
      <c r="G88" s="2445">
        <v>0</v>
      </c>
      <c r="H88" s="3296" t="s">
        <v>1773</v>
      </c>
      <c r="I88" s="3297"/>
      <c r="J88" s="3157" t="s">
        <v>1774</v>
      </c>
      <c r="K88" s="3174"/>
      <c r="L88" s="3174"/>
      <c r="M88" s="3174"/>
      <c r="N88" s="3201"/>
      <c r="O88" s="793">
        <v>1</v>
      </c>
    </row>
    <row r="89" spans="2:15" ht="15.75">
      <c r="B89">
        <v>1</v>
      </c>
      <c r="D89" s="546"/>
      <c r="E89" s="433"/>
      <c r="F89" s="2409" t="s">
        <v>3501</v>
      </c>
      <c r="G89" s="3284"/>
      <c r="H89" s="3334" t="s">
        <v>1775</v>
      </c>
      <c r="I89" s="3335"/>
      <c r="J89" s="3278" t="s">
        <v>3520</v>
      </c>
      <c r="K89" s="3279"/>
      <c r="L89" s="3279"/>
      <c r="M89" s="3279"/>
      <c r="N89" s="3280"/>
      <c r="O89" s="3287">
        <v>1</v>
      </c>
    </row>
    <row r="90" spans="2:15" ht="61.5" customHeight="1">
      <c r="D90" s="546"/>
      <c r="E90" s="433"/>
      <c r="F90" s="2409"/>
      <c r="G90" s="3286"/>
      <c r="H90" s="3336"/>
      <c r="I90" s="3337"/>
      <c r="J90" s="3275" t="s">
        <v>3521</v>
      </c>
      <c r="K90" s="3276"/>
      <c r="L90" s="3276"/>
      <c r="M90" s="3276"/>
      <c r="N90" s="3277"/>
      <c r="O90" s="3288"/>
    </row>
    <row r="91" spans="2:15" ht="21.75" customHeight="1" thickBot="1">
      <c r="B91">
        <v>1</v>
      </c>
      <c r="D91" s="546"/>
      <c r="E91" s="433"/>
      <c r="F91" s="2409" t="s">
        <v>3500</v>
      </c>
      <c r="G91" s="2444"/>
      <c r="H91" s="3299" t="s">
        <v>2277</v>
      </c>
      <c r="I91" s="3300"/>
      <c r="J91" s="3331" t="s">
        <v>3713</v>
      </c>
      <c r="K91" s="3316"/>
      <c r="L91" s="3316"/>
      <c r="M91" s="3316"/>
      <c r="N91" s="3332"/>
      <c r="O91" s="1904">
        <v>1</v>
      </c>
    </row>
    <row r="92" spans="2:15" ht="21" customHeight="1">
      <c r="D92" s="546"/>
      <c r="E92" s="433"/>
      <c r="F92" s="2409" t="s">
        <v>3584</v>
      </c>
      <c r="G92" s="2440">
        <f>SUM(G72:G91)</f>
        <v>2</v>
      </c>
      <c r="H92" s="1529" t="s">
        <v>2843</v>
      </c>
      <c r="I92" s="749"/>
      <c r="J92" s="748"/>
      <c r="K92" s="749"/>
      <c r="L92" s="748"/>
      <c r="M92" s="749"/>
      <c r="N92" s="748"/>
      <c r="O92" s="2688">
        <f>SUM(B72:B91)</f>
        <v>8</v>
      </c>
    </row>
    <row r="93" spans="2:15" ht="15.75">
      <c r="D93" s="546"/>
      <c r="E93" s="433"/>
      <c r="F93" s="433"/>
      <c r="G93" s="433"/>
      <c r="H93" s="433"/>
      <c r="I93" s="433"/>
      <c r="J93" s="779"/>
      <c r="K93" s="433"/>
      <c r="L93" s="433"/>
      <c r="M93" s="433"/>
      <c r="N93" s="433"/>
      <c r="O93" s="433"/>
    </row>
    <row r="94" spans="2:15" ht="21.75" customHeight="1">
      <c r="D94" s="546">
        <v>3.2</v>
      </c>
      <c r="E94" s="551" t="s">
        <v>2164</v>
      </c>
      <c r="F94" s="552"/>
      <c r="G94" s="433"/>
      <c r="H94" s="433"/>
      <c r="I94" s="433"/>
      <c r="J94" s="779"/>
      <c r="K94" s="433"/>
      <c r="L94" s="433"/>
      <c r="M94" s="433"/>
      <c r="N94" s="433"/>
      <c r="O94" s="433"/>
    </row>
    <row r="95" spans="2:15" ht="14.25" thickBot="1">
      <c r="D95" s="63"/>
      <c r="E95" s="433"/>
      <c r="F95" s="558"/>
      <c r="G95" s="559"/>
      <c r="H95" s="559"/>
      <c r="I95" s="657" t="s">
        <v>1141</v>
      </c>
      <c r="J95" s="1770">
        <f>重み!M119</f>
        <v>0.5</v>
      </c>
      <c r="K95" s="560"/>
      <c r="L95" s="560"/>
      <c r="M95" s="560"/>
      <c r="N95" s="560"/>
      <c r="O95" s="649"/>
    </row>
    <row r="96" spans="2:15" ht="27" customHeight="1" thickBot="1">
      <c r="B96" t="s">
        <v>3497</v>
      </c>
      <c r="D96" s="546"/>
      <c r="E96" s="50"/>
      <c r="F96" s="1978">
        <f>G117</f>
        <v>3</v>
      </c>
      <c r="G96" s="569" t="s">
        <v>407</v>
      </c>
      <c r="H96" s="570"/>
      <c r="I96" s="570"/>
      <c r="J96" s="570"/>
      <c r="K96" s="570"/>
      <c r="L96" s="570"/>
      <c r="M96" s="570"/>
      <c r="N96" s="570"/>
      <c r="O96" s="571"/>
    </row>
    <row r="97" spans="2:15" ht="21" customHeight="1">
      <c r="B97">
        <v>0</v>
      </c>
      <c r="D97" s="546"/>
      <c r="E97" s="50"/>
      <c r="F97" s="572" t="str">
        <f>IF(ROUNDDOWN($F$96,0)=$F$2,$H$2,$G$2)</f>
        <v>　レベル　1</v>
      </c>
      <c r="G97" s="3153" t="s">
        <v>1776</v>
      </c>
      <c r="H97" s="3173"/>
      <c r="I97" s="3173"/>
      <c r="J97" s="3173"/>
      <c r="K97" s="3173"/>
      <c r="L97" s="3173"/>
      <c r="M97" s="3173"/>
      <c r="N97" s="3173"/>
      <c r="O97" s="3159"/>
    </row>
    <row r="98" spans="2:15" ht="21" customHeight="1">
      <c r="B98">
        <v>1</v>
      </c>
      <c r="D98" s="546"/>
      <c r="E98" s="50"/>
      <c r="F98" s="577" t="str">
        <f>IF(ROUNDDOWN($F$96,0)=$F$3,$H$3,$G$3)</f>
        <v>　レベル　2</v>
      </c>
      <c r="G98" s="3157" t="s">
        <v>1777</v>
      </c>
      <c r="H98" s="3174"/>
      <c r="I98" s="3174"/>
      <c r="J98" s="3174"/>
      <c r="K98" s="3174"/>
      <c r="L98" s="3174"/>
      <c r="M98" s="3174"/>
      <c r="N98" s="3174"/>
      <c r="O98" s="3201"/>
    </row>
    <row r="99" spans="2:15" ht="21" customHeight="1">
      <c r="B99">
        <v>6</v>
      </c>
      <c r="D99" s="546"/>
      <c r="E99" s="50"/>
      <c r="F99" s="577" t="str">
        <f>IF(ROUNDDOWN($F$96,0)=$F$4,$H$4,$G$4)</f>
        <v>■レベル　3</v>
      </c>
      <c r="G99" s="3157" t="s">
        <v>1778</v>
      </c>
      <c r="H99" s="3174"/>
      <c r="I99" s="3174"/>
      <c r="J99" s="3174"/>
      <c r="K99" s="3174"/>
      <c r="L99" s="3174"/>
      <c r="M99" s="3174"/>
      <c r="N99" s="3174"/>
      <c r="O99" s="3201"/>
    </row>
    <row r="100" spans="2:15" ht="21" customHeight="1">
      <c r="B100">
        <v>12</v>
      </c>
      <c r="D100" s="546"/>
      <c r="E100" s="50"/>
      <c r="F100" s="577" t="str">
        <f>IF(ROUNDDOWN($F$96,0)=$F$5,$H$5,$G$5)</f>
        <v>　レベル　4</v>
      </c>
      <c r="G100" s="3157" t="s">
        <v>1779</v>
      </c>
      <c r="H100" s="3174"/>
      <c r="I100" s="3174"/>
      <c r="J100" s="3174"/>
      <c r="K100" s="3174"/>
      <c r="L100" s="3174"/>
      <c r="M100" s="3174"/>
      <c r="N100" s="3174"/>
      <c r="O100" s="3201"/>
    </row>
    <row r="101" spans="2:15" ht="15.75">
      <c r="B101">
        <v>18</v>
      </c>
      <c r="D101" s="546"/>
      <c r="E101" s="50"/>
      <c r="F101" s="587" t="str">
        <f>IF(ROUNDDOWN($F$96,0)=$F$6,$H$6,$G$6)</f>
        <v>　レベル　5</v>
      </c>
      <c r="G101" s="3155" t="s">
        <v>1104</v>
      </c>
      <c r="H101" s="3179"/>
      <c r="I101" s="3179"/>
      <c r="J101" s="3179"/>
      <c r="K101" s="3179"/>
      <c r="L101" s="3179"/>
      <c r="M101" s="3179"/>
      <c r="N101" s="3179"/>
      <c r="O101" s="3185"/>
    </row>
    <row r="102" spans="2:15" ht="15.75">
      <c r="D102" s="546"/>
      <c r="E102" s="50"/>
      <c r="F102" s="887" t="s">
        <v>3402</v>
      </c>
      <c r="G102" s="2423"/>
      <c r="H102" s="2396"/>
      <c r="I102" s="2396"/>
      <c r="J102" s="2397"/>
      <c r="K102" s="2576" t="s">
        <v>3709</v>
      </c>
      <c r="L102"/>
      <c r="M102"/>
      <c r="N102"/>
      <c r="O102"/>
    </row>
    <row r="103" spans="2:15">
      <c r="D103"/>
      <c r="E103"/>
      <c r="F103" s="2431" t="s">
        <v>3532</v>
      </c>
      <c r="G103"/>
      <c r="H103" s="2455">
        <f>1000/5000</f>
        <v>0.2</v>
      </c>
      <c r="I103"/>
      <c r="J103"/>
      <c r="K103"/>
      <c r="L103"/>
      <c r="M103"/>
      <c r="N103"/>
      <c r="O103"/>
    </row>
    <row r="104" spans="2:15">
      <c r="D104"/>
      <c r="E104"/>
      <c r="F104" s="2431"/>
      <c r="G104"/>
      <c r="H104" s="543"/>
      <c r="I104" s="2691" t="s">
        <v>3479</v>
      </c>
      <c r="J104" s="2691" t="s">
        <v>3390</v>
      </c>
      <c r="K104" s="2691" t="s">
        <v>3391</v>
      </c>
      <c r="L104" s="2691" t="s">
        <v>3463</v>
      </c>
      <c r="M104" s="2692" t="s">
        <v>3527</v>
      </c>
      <c r="N104" s="2692" t="s">
        <v>3528</v>
      </c>
      <c r="O104" s="2691" t="s">
        <v>3392</v>
      </c>
    </row>
    <row r="105" spans="2:15">
      <c r="D105"/>
      <c r="E105"/>
      <c r="F105" s="2431" t="s">
        <v>3530</v>
      </c>
      <c r="G105"/>
      <c r="H105" s="2455">
        <f>ROUNDDOWN(I105,2)</f>
        <v>0.1</v>
      </c>
      <c r="I105" s="2562">
        <f>M105+N105</f>
        <v>0.1</v>
      </c>
      <c r="J105" s="2562"/>
      <c r="K105" s="2562"/>
      <c r="L105" s="2562"/>
      <c r="M105" s="2562">
        <f>M106</f>
        <v>0.06</v>
      </c>
      <c r="N105" s="2562">
        <f>N110/$I110</f>
        <v>0.04</v>
      </c>
      <c r="O105" s="2562"/>
    </row>
    <row r="106" spans="2:15">
      <c r="D106"/>
      <c r="E106"/>
      <c r="F106" s="2431" t="s">
        <v>3476</v>
      </c>
      <c r="G106"/>
      <c r="H106" s="2455">
        <f t="shared" ref="H106:H108" si="0">ROUNDDOWN(I106,2)</f>
        <v>0.13</v>
      </c>
      <c r="I106" s="2562">
        <f>J106+2*K106+1.5*M106</f>
        <v>0.13</v>
      </c>
      <c r="J106" s="2562">
        <f>J110/$I110</f>
        <v>0.04</v>
      </c>
      <c r="K106" s="2562">
        <f>K110/$I110</f>
        <v>0</v>
      </c>
      <c r="L106" s="2562"/>
      <c r="M106" s="2562">
        <f>M110/$I110</f>
        <v>0.06</v>
      </c>
      <c r="N106" s="2562"/>
      <c r="O106" s="2562"/>
    </row>
    <row r="107" spans="2:15">
      <c r="D107"/>
      <c r="E107"/>
      <c r="F107" s="2431" t="s">
        <v>3531</v>
      </c>
      <c r="G107"/>
      <c r="H107" s="2455">
        <f t="shared" si="0"/>
        <v>0.06</v>
      </c>
      <c r="I107" s="2562">
        <f>O107</f>
        <v>0.06</v>
      </c>
      <c r="J107" s="2562"/>
      <c r="K107" s="2562"/>
      <c r="L107" s="2562"/>
      <c r="M107" s="2562"/>
      <c r="N107" s="2562"/>
      <c r="O107" s="2562">
        <f>O110/$I110</f>
        <v>0.06</v>
      </c>
    </row>
    <row r="108" spans="2:15">
      <c r="D108"/>
      <c r="E108"/>
      <c r="F108" s="2431" t="s">
        <v>3478</v>
      </c>
      <c r="G108"/>
      <c r="H108" s="2455">
        <f t="shared" si="0"/>
        <v>0</v>
      </c>
      <c r="I108" s="2562">
        <f>J108+L108</f>
        <v>6.6E-3</v>
      </c>
      <c r="J108" s="2562">
        <f>J112/$I112</f>
        <v>5.9999999999999995E-4</v>
      </c>
      <c r="K108" s="2562"/>
      <c r="L108" s="2562">
        <f>L112/$I112</f>
        <v>6.0000000000000001E-3</v>
      </c>
      <c r="M108" s="2562"/>
      <c r="N108" s="2562"/>
      <c r="O108" s="2562"/>
    </row>
    <row r="109" spans="2:15">
      <c r="D109"/>
      <c r="E109"/>
      <c r="F109"/>
      <c r="G109"/>
      <c r="H109"/>
      <c r="I109" s="2692" t="s">
        <v>3467</v>
      </c>
      <c r="J109" s="2692" t="s">
        <v>3468</v>
      </c>
      <c r="K109" s="2692" t="s">
        <v>3472</v>
      </c>
      <c r="L109" s="2692" t="s">
        <v>3470</v>
      </c>
      <c r="M109" s="2692" t="s">
        <v>3469</v>
      </c>
      <c r="N109" s="2692" t="s">
        <v>3526</v>
      </c>
      <c r="O109" s="2692" t="s">
        <v>3529</v>
      </c>
    </row>
    <row r="110" spans="2:15">
      <c r="D110"/>
      <c r="E110"/>
      <c r="F110"/>
      <c r="G110" s="2431" t="s">
        <v>3480</v>
      </c>
      <c r="H110" s="2459" t="s">
        <v>3464</v>
      </c>
      <c r="I110" s="2693">
        <f>メイン!C17</f>
        <v>5000</v>
      </c>
      <c r="J110" s="2703">
        <v>200</v>
      </c>
      <c r="K110" s="2703"/>
      <c r="L110" s="2693"/>
      <c r="M110" s="2693">
        <f>M21</f>
        <v>300</v>
      </c>
      <c r="N110" s="2703">
        <v>200</v>
      </c>
      <c r="O110" s="2703">
        <v>300</v>
      </c>
    </row>
    <row r="111" spans="2:15" hidden="1">
      <c r="D111"/>
      <c r="E111"/>
      <c r="F111"/>
      <c r="G111"/>
      <c r="H111" s="2459"/>
      <c r="I111" s="2694"/>
      <c r="J111" s="2695"/>
      <c r="K111" s="2694"/>
      <c r="L111" s="2694"/>
      <c r="M111" s="2694"/>
      <c r="N111" s="2694"/>
      <c r="O111" s="2694"/>
    </row>
    <row r="112" spans="2:15">
      <c r="D112"/>
      <c r="E112"/>
      <c r="F112"/>
      <c r="G112"/>
      <c r="H112" s="2459" t="s">
        <v>3466</v>
      </c>
      <c r="I112" s="2703">
        <v>50000</v>
      </c>
      <c r="J112" s="2693">
        <f>O22</f>
        <v>30</v>
      </c>
      <c r="K112" s="2693"/>
      <c r="L112" s="2703">
        <v>300</v>
      </c>
      <c r="M112" s="2693"/>
      <c r="N112" s="2693"/>
      <c r="O112" s="2693"/>
    </row>
    <row r="113" spans="2:15" hidden="1">
      <c r="D113"/>
      <c r="E113"/>
      <c r="F113"/>
      <c r="G113"/>
      <c r="H113"/>
      <c r="I113"/>
      <c r="J113"/>
      <c r="K113"/>
      <c r="L113"/>
      <c r="M113"/>
      <c r="N113"/>
      <c r="O113"/>
    </row>
    <row r="114" spans="2:15" hidden="1">
      <c r="D114"/>
      <c r="E114"/>
      <c r="F114"/>
      <c r="G114"/>
      <c r="H114"/>
      <c r="I114"/>
      <c r="J114"/>
      <c r="K114"/>
      <c r="L114"/>
      <c r="M114"/>
      <c r="N114"/>
      <c r="O114"/>
    </row>
    <row r="115" spans="2:15" hidden="1">
      <c r="D115"/>
      <c r="E115"/>
      <c r="F115"/>
      <c r="G115"/>
      <c r="H115"/>
      <c r="I115"/>
      <c r="J115"/>
      <c r="K115"/>
      <c r="L115"/>
      <c r="M115"/>
      <c r="N115"/>
      <c r="O115"/>
    </row>
    <row r="116" spans="2:15">
      <c r="D116" s="63"/>
      <c r="E116" s="433"/>
      <c r="F116" s="550" t="s">
        <v>344</v>
      </c>
      <c r="H116" s="433"/>
      <c r="I116"/>
      <c r="J116"/>
      <c r="K116"/>
      <c r="L116"/>
      <c r="M116"/>
      <c r="N116"/>
      <c r="O116"/>
    </row>
    <row r="117" spans="2:15" ht="25.5" customHeight="1" thickBot="1">
      <c r="B117" t="s">
        <v>3494</v>
      </c>
      <c r="D117" s="546"/>
      <c r="E117" s="433"/>
      <c r="F117"/>
      <c r="G117" s="2442">
        <f>IF(G135&gt;=B101,5,IF(G135&gt;=B100,4,IF(G135&gt;=B99,3,IF(G135&gt;=B98,2,1))))</f>
        <v>3</v>
      </c>
      <c r="H117" s="3306" t="s">
        <v>1453</v>
      </c>
      <c r="I117" s="3307"/>
      <c r="J117" s="3306" t="s">
        <v>1452</v>
      </c>
      <c r="K117" s="3307"/>
      <c r="L117" s="3307"/>
      <c r="M117" s="3307"/>
      <c r="N117" s="3308"/>
      <c r="O117" s="751" t="s">
        <v>1454</v>
      </c>
    </row>
    <row r="118" spans="2:15" ht="36" customHeight="1">
      <c r="B118">
        <v>2</v>
      </c>
      <c r="F118" s="2409" t="s">
        <v>3070</v>
      </c>
      <c r="G118" s="2443">
        <v>2</v>
      </c>
      <c r="H118" s="3334" t="s">
        <v>3052</v>
      </c>
      <c r="I118" s="3335"/>
      <c r="J118" s="3153" t="s">
        <v>3053</v>
      </c>
      <c r="K118" s="3173"/>
      <c r="L118" s="3173"/>
      <c r="M118" s="3173"/>
      <c r="N118" s="3159"/>
      <c r="O118" s="792">
        <v>2</v>
      </c>
    </row>
    <row r="119" spans="2:15" ht="26.25" customHeight="1">
      <c r="B119">
        <v>3</v>
      </c>
      <c r="F119" s="2409" t="s">
        <v>3400</v>
      </c>
      <c r="G119" s="3284"/>
      <c r="H119" s="3299"/>
      <c r="I119" s="3300"/>
      <c r="J119" s="3278" t="s">
        <v>3054</v>
      </c>
      <c r="K119" s="3279"/>
      <c r="L119" s="3279"/>
      <c r="M119" s="3279"/>
      <c r="N119" s="3280"/>
      <c r="O119" s="3293" t="s">
        <v>184</v>
      </c>
    </row>
    <row r="120" spans="2:15" ht="47.25" customHeight="1">
      <c r="G120" s="3286"/>
      <c r="H120" s="3299"/>
      <c r="I120" s="3300"/>
      <c r="J120" s="3294" t="s">
        <v>3511</v>
      </c>
      <c r="K120" s="3295"/>
      <c r="L120" s="3295"/>
      <c r="M120" s="3295"/>
      <c r="N120" s="2456" t="str">
        <f>F103&amp;"＝"&amp;H103*100&amp;"%"</f>
        <v>　空地率＝20%</v>
      </c>
      <c r="O120" s="3293"/>
    </row>
    <row r="121" spans="2:15" ht="34.5" customHeight="1">
      <c r="B121">
        <v>3</v>
      </c>
      <c r="F121" s="2409" t="s">
        <v>3072</v>
      </c>
      <c r="G121" s="3284">
        <v>1</v>
      </c>
      <c r="H121" s="3334" t="s">
        <v>3791</v>
      </c>
      <c r="I121" s="3335"/>
      <c r="J121" s="3278" t="s">
        <v>3055</v>
      </c>
      <c r="K121" s="3279"/>
      <c r="L121" s="3279"/>
      <c r="M121" s="3279"/>
      <c r="N121" s="3280"/>
      <c r="O121" s="3293" t="s">
        <v>184</v>
      </c>
    </row>
    <row r="122" spans="2:15" ht="51" customHeight="1">
      <c r="F122" s="433"/>
      <c r="G122" s="3286"/>
      <c r="H122" s="3336"/>
      <c r="I122" s="3337"/>
      <c r="J122" s="3294" t="s">
        <v>3512</v>
      </c>
      <c r="K122" s="3295"/>
      <c r="L122" s="3295"/>
      <c r="M122" s="3295"/>
      <c r="N122" s="2456" t="str">
        <f>$I$104&amp;"＝"&amp;H105*100&amp;"%"</f>
        <v>対策面積率＝10%</v>
      </c>
      <c r="O122" s="3293"/>
    </row>
    <row r="123" spans="2:15" ht="30" customHeight="1">
      <c r="B123">
        <v>3</v>
      </c>
      <c r="F123" s="2409" t="s">
        <v>3073</v>
      </c>
      <c r="G123" s="3284">
        <v>1</v>
      </c>
      <c r="H123" s="3334" t="s">
        <v>3792</v>
      </c>
      <c r="I123" s="3335"/>
      <c r="J123" s="3278" t="s">
        <v>3056</v>
      </c>
      <c r="K123" s="3279"/>
      <c r="L123" s="3279"/>
      <c r="M123" s="3279"/>
      <c r="N123" s="3280"/>
      <c r="O123" s="3293" t="s">
        <v>184</v>
      </c>
    </row>
    <row r="124" spans="2:15" ht="52.5" customHeight="1">
      <c r="G124" s="3286"/>
      <c r="H124" s="3299"/>
      <c r="I124" s="3300"/>
      <c r="J124" s="3294" t="s">
        <v>3513</v>
      </c>
      <c r="K124" s="3295"/>
      <c r="L124" s="3295"/>
      <c r="M124" s="3295"/>
      <c r="N124" s="2456" t="str">
        <f>$I$104&amp;"＝"&amp;H106*100&amp;"%"</f>
        <v>対策面積率＝13%</v>
      </c>
      <c r="O124" s="3293"/>
    </row>
    <row r="125" spans="2:15">
      <c r="B125">
        <v>3</v>
      </c>
      <c r="F125" s="2409" t="s">
        <v>3074</v>
      </c>
      <c r="G125" s="3284"/>
      <c r="H125" s="3299"/>
      <c r="I125" s="3300"/>
      <c r="J125" s="3278" t="s">
        <v>3057</v>
      </c>
      <c r="K125" s="3279"/>
      <c r="L125" s="3279"/>
      <c r="M125" s="3279"/>
      <c r="N125" s="3280"/>
      <c r="O125" s="3293" t="s">
        <v>184</v>
      </c>
    </row>
    <row r="126" spans="2:15" ht="53.25" customHeight="1">
      <c r="D126" s="546"/>
      <c r="F126" s="2409"/>
      <c r="G126" s="3286"/>
      <c r="H126" s="3336"/>
      <c r="I126" s="3337"/>
      <c r="J126" s="3294" t="s">
        <v>3510</v>
      </c>
      <c r="K126" s="3295"/>
      <c r="L126" s="3295"/>
      <c r="M126" s="3295"/>
      <c r="N126" s="2456" t="str">
        <f>$I$104&amp;"＝"&amp;H107*100&amp;"%"</f>
        <v>対策面積率＝6%</v>
      </c>
      <c r="O126" s="3293"/>
    </row>
    <row r="127" spans="2:15" ht="15.75">
      <c r="B127">
        <v>3</v>
      </c>
      <c r="D127" s="546"/>
      <c r="F127" s="2409" t="s">
        <v>3075</v>
      </c>
      <c r="G127" s="3284">
        <v>2</v>
      </c>
      <c r="H127" s="3334" t="s">
        <v>3793</v>
      </c>
      <c r="I127" s="3335"/>
      <c r="J127" s="3278" t="s">
        <v>2851</v>
      </c>
      <c r="K127" s="3279"/>
      <c r="L127" s="3279"/>
      <c r="M127" s="3279"/>
      <c r="N127" s="3280"/>
      <c r="O127" s="3293" t="s">
        <v>1105</v>
      </c>
    </row>
    <row r="128" spans="2:15" ht="29.25" customHeight="1">
      <c r="D128" s="546"/>
      <c r="F128"/>
      <c r="G128" s="3286"/>
      <c r="H128" s="3299"/>
      <c r="I128" s="3300"/>
      <c r="J128" s="3275" t="s">
        <v>3514</v>
      </c>
      <c r="K128" s="3276"/>
      <c r="L128" s="3276"/>
      <c r="M128" s="3276"/>
      <c r="N128" s="3277"/>
      <c r="O128" s="3293"/>
    </row>
    <row r="129" spans="2:15" ht="15.75">
      <c r="B129">
        <v>3</v>
      </c>
      <c r="D129" s="546"/>
      <c r="F129" s="2409" t="s">
        <v>3076</v>
      </c>
      <c r="G129" s="3284"/>
      <c r="H129" s="3299"/>
      <c r="I129" s="3300"/>
      <c r="J129" s="3278" t="s">
        <v>2852</v>
      </c>
      <c r="K129" s="3279"/>
      <c r="L129" s="3279"/>
      <c r="M129" s="3279"/>
      <c r="N129" s="3280"/>
      <c r="O129" s="3293" t="s">
        <v>184</v>
      </c>
    </row>
    <row r="130" spans="2:15" ht="49.5" customHeight="1">
      <c r="D130" s="546"/>
      <c r="F130"/>
      <c r="G130" s="3286"/>
      <c r="H130" s="3336"/>
      <c r="I130" s="3337"/>
      <c r="J130" s="3294" t="s">
        <v>3515</v>
      </c>
      <c r="K130" s="3295"/>
      <c r="L130" s="3295"/>
      <c r="M130" s="3295"/>
      <c r="N130" s="2456" t="str">
        <f>$I$104&amp;"＝"&amp;H108*100&amp;"%"</f>
        <v>対策面積率＝0%</v>
      </c>
      <c r="O130" s="3293"/>
    </row>
    <row r="131" spans="2:15" ht="30.75" customHeight="1">
      <c r="B131">
        <v>2</v>
      </c>
      <c r="D131" s="546"/>
      <c r="F131" s="2409" t="s">
        <v>3077</v>
      </c>
      <c r="G131" s="3284">
        <v>2</v>
      </c>
      <c r="H131" s="3334" t="s">
        <v>3794</v>
      </c>
      <c r="I131" s="3335"/>
      <c r="J131" s="3278" t="s">
        <v>3516</v>
      </c>
      <c r="K131" s="3279"/>
      <c r="L131" s="3279"/>
      <c r="M131" s="3279"/>
      <c r="N131" s="3280"/>
      <c r="O131" s="3281" t="s">
        <v>98</v>
      </c>
    </row>
    <row r="132" spans="2:15" ht="49.5" customHeight="1">
      <c r="D132" s="546"/>
      <c r="F132"/>
      <c r="G132" s="3286"/>
      <c r="H132" s="3299"/>
      <c r="I132" s="3300"/>
      <c r="J132" s="3275" t="s">
        <v>3519</v>
      </c>
      <c r="K132" s="3276"/>
      <c r="L132" s="3276"/>
      <c r="M132" s="3276"/>
      <c r="N132" s="3277"/>
      <c r="O132" s="3282"/>
    </row>
    <row r="133" spans="2:15" ht="27.75" customHeight="1">
      <c r="B133">
        <v>2</v>
      </c>
      <c r="D133" s="546"/>
      <c r="F133" s="2409" t="s">
        <v>3078</v>
      </c>
      <c r="G133" s="3284"/>
      <c r="H133" s="3299"/>
      <c r="I133" s="3300"/>
      <c r="J133" s="3278" t="s">
        <v>3517</v>
      </c>
      <c r="K133" s="3279"/>
      <c r="L133" s="3279"/>
      <c r="M133" s="3279"/>
      <c r="N133" s="3280"/>
      <c r="O133" s="3281" t="s">
        <v>98</v>
      </c>
    </row>
    <row r="134" spans="2:15" ht="53.25" customHeight="1" thickBot="1">
      <c r="D134" s="546"/>
      <c r="F134" s="2409"/>
      <c r="G134" s="3285"/>
      <c r="H134" s="3336"/>
      <c r="I134" s="3337"/>
      <c r="J134" s="3275" t="s">
        <v>3518</v>
      </c>
      <c r="K134" s="3276"/>
      <c r="L134" s="3276"/>
      <c r="M134" s="3276"/>
      <c r="N134" s="3277"/>
      <c r="O134" s="3283"/>
    </row>
    <row r="135" spans="2:15" ht="21" customHeight="1">
      <c r="E135" s="433"/>
      <c r="F135" s="2409" t="s">
        <v>3481</v>
      </c>
      <c r="G135" s="2440">
        <f>SUM(G118:G134)</f>
        <v>8</v>
      </c>
      <c r="H135" s="1529" t="s">
        <v>2843</v>
      </c>
      <c r="I135" s="748"/>
      <c r="J135" s="748"/>
      <c r="K135" s="749"/>
      <c r="L135" s="748"/>
      <c r="M135" s="749"/>
      <c r="N135" s="748"/>
      <c r="O135" s="2688">
        <f>SUM(B118:B134)</f>
        <v>24</v>
      </c>
    </row>
    <row r="136" spans="2:15"/>
    <row r="137" spans="2:15" ht="13.5" hidden="1" customHeight="1"/>
    <row r="138" spans="2:15" ht="13.5" hidden="1" customHeight="1"/>
    <row r="139" spans="2:15" ht="13.5" hidden="1" customHeight="1"/>
    <row r="140" spans="2:15" ht="13.5" hidden="1" customHeight="1"/>
    <row r="300"/>
    <row r="301"/>
    <row r="302"/>
    <row r="303"/>
    <row r="304"/>
    <row r="305"/>
    <row r="306"/>
    <row r="307"/>
    <row r="308"/>
    <row r="309"/>
    <row r="310"/>
    <row r="311"/>
    <row r="312"/>
    <row r="313"/>
    <row r="314"/>
    <row r="315"/>
    <row r="316"/>
    <row r="317"/>
    <row r="318"/>
    <row r="319"/>
    <row r="320"/>
    <row r="321"/>
    <row r="322"/>
    <row r="323"/>
    <row r="324"/>
    <row r="325"/>
    <row r="326"/>
    <row r="327"/>
    <row r="328"/>
    <row r="329"/>
  </sheetData>
  <sheetProtection algorithmName="SHA-512" hashValue="0J4RtwO3R0T2yvIHq9G5i9qOLn5cfZMHS9s+9oIbQY3NHhPPtMvC5fBKcdp+c70w0LofHq0p9/wHz2yHER53+w==" saltValue="nN/MwA02Sp6PuernjW9RMw==" spinCount="100000" sheet="1" objects="1" scenarios="1"/>
  <mergeCells count="122">
    <mergeCell ref="J119:N119"/>
    <mergeCell ref="G97:O97"/>
    <mergeCell ref="G123:G124"/>
    <mergeCell ref="J125:N125"/>
    <mergeCell ref="G119:G120"/>
    <mergeCell ref="O123:O124"/>
    <mergeCell ref="J126:M126"/>
    <mergeCell ref="J130:M130"/>
    <mergeCell ref="H53:I53"/>
    <mergeCell ref="H57:I57"/>
    <mergeCell ref="J84:N84"/>
    <mergeCell ref="O84:O87"/>
    <mergeCell ref="J123:N123"/>
    <mergeCell ref="J56:N56"/>
    <mergeCell ref="J86:N86"/>
    <mergeCell ref="J87:N87"/>
    <mergeCell ref="G79:G80"/>
    <mergeCell ref="O79:O80"/>
    <mergeCell ref="H76:I80"/>
    <mergeCell ref="J122:M122"/>
    <mergeCell ref="J120:M120"/>
    <mergeCell ref="H117:I117"/>
    <mergeCell ref="J117:N117"/>
    <mergeCell ref="J118:N118"/>
    <mergeCell ref="H121:I122"/>
    <mergeCell ref="G74:G75"/>
    <mergeCell ref="H51:I51"/>
    <mergeCell ref="J51:N51"/>
    <mergeCell ref="G49:O49"/>
    <mergeCell ref="H131:I134"/>
    <mergeCell ref="J131:N131"/>
    <mergeCell ref="J134:N134"/>
    <mergeCell ref="H118:I120"/>
    <mergeCell ref="H123:I126"/>
    <mergeCell ref="G125:G126"/>
    <mergeCell ref="O125:O126"/>
    <mergeCell ref="G127:G128"/>
    <mergeCell ref="H127:I130"/>
    <mergeCell ref="J127:N127"/>
    <mergeCell ref="O127:O128"/>
    <mergeCell ref="J128:N128"/>
    <mergeCell ref="G129:G130"/>
    <mergeCell ref="J129:N129"/>
    <mergeCell ref="O129:O130"/>
    <mergeCell ref="G121:G122"/>
    <mergeCell ref="J54:N54"/>
    <mergeCell ref="H55:I55"/>
    <mergeCell ref="H52:I52"/>
    <mergeCell ref="J91:N91"/>
    <mergeCell ref="G81:G83"/>
    <mergeCell ref="H81:I83"/>
    <mergeCell ref="J81:N81"/>
    <mergeCell ref="G76:G78"/>
    <mergeCell ref="J76:N76"/>
    <mergeCell ref="O81:O83"/>
    <mergeCell ref="J82:N82"/>
    <mergeCell ref="J83:N83"/>
    <mergeCell ref="G84:G87"/>
    <mergeCell ref="H84:I87"/>
    <mergeCell ref="G89:G90"/>
    <mergeCell ref="H89:I90"/>
    <mergeCell ref="J89:N89"/>
    <mergeCell ref="J90:N90"/>
    <mergeCell ref="O76:O78"/>
    <mergeCell ref="J77:N77"/>
    <mergeCell ref="J78:N78"/>
    <mergeCell ref="H24:I24"/>
    <mergeCell ref="J24:N24"/>
    <mergeCell ref="H25:I25"/>
    <mergeCell ref="H26:I26"/>
    <mergeCell ref="O27:O28"/>
    <mergeCell ref="J25:N25"/>
    <mergeCell ref="J26:N26"/>
    <mergeCell ref="H27:I30"/>
    <mergeCell ref="G27:G28"/>
    <mergeCell ref="G29:G30"/>
    <mergeCell ref="J29:N29"/>
    <mergeCell ref="J27:N27"/>
    <mergeCell ref="O29:O30"/>
    <mergeCell ref="J28:M28"/>
    <mergeCell ref="J30:M30"/>
    <mergeCell ref="J31:N31"/>
    <mergeCell ref="H35:I36"/>
    <mergeCell ref="J34:N34"/>
    <mergeCell ref="J37:N37"/>
    <mergeCell ref="J52:N52"/>
    <mergeCell ref="H71:I71"/>
    <mergeCell ref="J71:N71"/>
    <mergeCell ref="H72:I75"/>
    <mergeCell ref="J72:N72"/>
    <mergeCell ref="J75:N75"/>
    <mergeCell ref="J36:N36"/>
    <mergeCell ref="H54:I54"/>
    <mergeCell ref="J33:N33"/>
    <mergeCell ref="H37:I37"/>
    <mergeCell ref="H31:I34"/>
    <mergeCell ref="J35:N35"/>
    <mergeCell ref="H56:I56"/>
    <mergeCell ref="J132:N132"/>
    <mergeCell ref="J133:N133"/>
    <mergeCell ref="O131:O132"/>
    <mergeCell ref="O133:O134"/>
    <mergeCell ref="G133:G134"/>
    <mergeCell ref="G131:G132"/>
    <mergeCell ref="O89:O90"/>
    <mergeCell ref="J73:N73"/>
    <mergeCell ref="O72:O73"/>
    <mergeCell ref="O74:O75"/>
    <mergeCell ref="G72:G73"/>
    <mergeCell ref="G98:O98"/>
    <mergeCell ref="G99:O99"/>
    <mergeCell ref="G100:O100"/>
    <mergeCell ref="G101:O101"/>
    <mergeCell ref="O119:O120"/>
    <mergeCell ref="O121:O122"/>
    <mergeCell ref="J124:M124"/>
    <mergeCell ref="J80:N80"/>
    <mergeCell ref="H88:I88"/>
    <mergeCell ref="J88:N88"/>
    <mergeCell ref="J85:N85"/>
    <mergeCell ref="J121:N121"/>
    <mergeCell ref="H91:I91"/>
  </mergeCells>
  <phoneticPr fontId="22"/>
  <printOptions horizontalCentered="1"/>
  <pageMargins left="0.59055118110236227" right="0.59055118110236227" top="0.78740157480314965" bottom="0.59055118110236227" header="0.51181102362204722" footer="0.51181102362204722"/>
  <pageSetup paperSize="9" scale="78" fitToHeight="0" orientation="portrait" verticalDpi="4294967293" r:id="rId1"/>
  <headerFooter alignWithMargins="0">
    <oddHeader>&amp;L&amp;F&amp;R&amp;A</oddHeader>
    <oddFooter>&amp;C&amp;P/&amp;N</oddFooter>
  </headerFooter>
  <rowBreaks count="3" manualBreakCount="3">
    <brk id="39" max="16383" man="1"/>
    <brk id="59" max="16383" man="1"/>
    <brk id="93" max="1638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autoPageBreaks="0" fitToPage="1"/>
  </sheetPr>
  <dimension ref="A1:IV330"/>
  <sheetViews>
    <sheetView showGridLines="0" topLeftCell="A38" zoomScaleNormal="100" workbookViewId="0"/>
  </sheetViews>
  <sheetFormatPr defaultColWidth="0" defaultRowHeight="13.5" zeroHeight="1"/>
  <cols>
    <col min="1" max="1" width="2.5" customWidth="1"/>
    <col min="2" max="2" width="11" hidden="1" customWidth="1"/>
    <col min="3" max="3" width="6" hidden="1" customWidth="1"/>
    <col min="4" max="4" width="5" style="1479" customWidth="1"/>
    <col min="5" max="5" width="1.375" style="1281" customWidth="1"/>
    <col min="6" max="15" width="10.625" style="1281" customWidth="1"/>
    <col min="16" max="16" width="1.625" customWidth="1"/>
    <col min="17" max="35" width="11.375" hidden="1" customWidth="1"/>
    <col min="36" max="16384" width="9" hidden="1"/>
  </cols>
  <sheetData>
    <row r="1" spans="2:15" ht="15.75">
      <c r="D1" s="542"/>
      <c r="E1" s="543"/>
      <c r="F1" s="543"/>
      <c r="G1" s="543"/>
      <c r="H1" s="543"/>
      <c r="I1" s="543"/>
      <c r="J1" s="543"/>
      <c r="K1" s="543"/>
      <c r="L1" s="543"/>
      <c r="M1" s="544" t="s">
        <v>2279</v>
      </c>
      <c r="N1" s="545" t="str">
        <f>メイン!C11</f>
        <v>○○ビル</v>
      </c>
      <c r="O1" s="545"/>
    </row>
    <row r="2" spans="2:15" ht="18.75" hidden="1" customHeight="1">
      <c r="D2" s="546"/>
      <c r="E2" s="433"/>
      <c r="F2">
        <v>1</v>
      </c>
      <c r="G2" t="s">
        <v>2118</v>
      </c>
      <c r="H2" t="s">
        <v>1398</v>
      </c>
      <c r="I2" s="433"/>
      <c r="J2" s="433"/>
      <c r="K2" s="433"/>
      <c r="L2" s="433"/>
      <c r="M2" s="433"/>
      <c r="N2" s="433"/>
      <c r="O2" s="433"/>
    </row>
    <row r="3" spans="2:15" ht="18.75" hidden="1" customHeight="1">
      <c r="D3" s="546"/>
      <c r="E3" s="433"/>
      <c r="F3">
        <v>2</v>
      </c>
      <c r="G3" t="s">
        <v>1113</v>
      </c>
      <c r="H3" t="s">
        <v>1114</v>
      </c>
      <c r="I3" s="433"/>
      <c r="J3" s="433"/>
      <c r="K3" t="s">
        <v>1112</v>
      </c>
      <c r="L3" t="s">
        <v>1138</v>
      </c>
      <c r="M3" t="s">
        <v>1634</v>
      </c>
      <c r="N3" t="s">
        <v>2857</v>
      </c>
      <c r="O3" t="str">
        <f>メイン!I37</f>
        <v>基本設計段階</v>
      </c>
    </row>
    <row r="4" spans="2:15" ht="18.75" hidden="1" customHeight="1">
      <c r="D4" s="546"/>
      <c r="E4" s="433"/>
      <c r="F4">
        <v>3</v>
      </c>
      <c r="G4" t="s">
        <v>1119</v>
      </c>
      <c r="H4" t="s">
        <v>1120</v>
      </c>
      <c r="I4" s="433"/>
      <c r="J4" s="433"/>
      <c r="K4" s="433"/>
      <c r="L4"/>
      <c r="M4"/>
      <c r="N4" t="s">
        <v>2844</v>
      </c>
      <c r="O4" t="str">
        <f>メイン!I38</f>
        <v>実施設計段階</v>
      </c>
    </row>
    <row r="5" spans="2:15" ht="18.75" hidden="1" customHeight="1">
      <c r="D5" s="546"/>
      <c r="E5" s="433"/>
      <c r="F5">
        <v>4</v>
      </c>
      <c r="G5" t="s">
        <v>1015</v>
      </c>
      <c r="H5" t="s">
        <v>1016</v>
      </c>
      <c r="I5" s="433"/>
      <c r="J5" s="433"/>
      <c r="K5" s="433"/>
      <c r="L5"/>
      <c r="M5"/>
      <c r="N5"/>
      <c r="O5" t="str">
        <f>メイン!I39</f>
        <v>竣工段階</v>
      </c>
    </row>
    <row r="6" spans="2:15" ht="18.75" hidden="1" customHeight="1">
      <c r="D6" s="546"/>
      <c r="E6" s="433"/>
      <c r="F6">
        <v>5</v>
      </c>
      <c r="G6" t="s">
        <v>1022</v>
      </c>
      <c r="H6" t="s">
        <v>1023</v>
      </c>
      <c r="I6" s="433"/>
      <c r="J6" s="433"/>
      <c r="K6" s="433"/>
      <c r="L6" s="433"/>
      <c r="M6" s="433"/>
      <c r="N6" s="433"/>
      <c r="O6" s="433"/>
    </row>
    <row r="7" spans="2:15" ht="18.75" hidden="1" customHeight="1">
      <c r="D7" s="546"/>
      <c r="E7" s="433"/>
      <c r="F7">
        <v>0</v>
      </c>
      <c r="G7" t="s">
        <v>1399</v>
      </c>
      <c r="H7" t="s">
        <v>1399</v>
      </c>
      <c r="I7" s="433"/>
      <c r="J7" s="433"/>
      <c r="K7" s="433"/>
      <c r="L7" s="433"/>
      <c r="M7" s="433"/>
      <c r="N7" s="433"/>
      <c r="O7" s="433"/>
    </row>
    <row r="8" spans="2:15" ht="18.75" customHeight="1" thickBot="1">
      <c r="D8" s="546"/>
      <c r="E8" s="433"/>
      <c r="F8" s="433"/>
      <c r="G8" s="433"/>
      <c r="H8" s="433"/>
      <c r="I8" s="433"/>
      <c r="J8" s="433"/>
      <c r="K8" s="433"/>
      <c r="L8" s="433"/>
      <c r="M8" s="433"/>
      <c r="N8" s="433"/>
      <c r="O8" s="433"/>
    </row>
    <row r="9" spans="2:15" ht="18.75" thickBot="1">
      <c r="D9" s="834" t="s">
        <v>1842</v>
      </c>
      <c r="E9" s="433"/>
      <c r="F9" s="433"/>
      <c r="G9" s="433"/>
      <c r="I9" s="548"/>
      <c r="J9" s="549" t="str">
        <f>採点Q1!J9</f>
        <v>色欄について、プルダウンメニューから選択、または数値・コメント※を記入。</v>
      </c>
      <c r="K9" s="543"/>
      <c r="L9" s="433"/>
      <c r="M9" s="433"/>
      <c r="N9" s="433"/>
      <c r="O9" s="557" t="str">
        <f>IF(メイン!E39=0,"",メイン!E39)</f>
        <v/>
      </c>
    </row>
    <row r="10" spans="2:15" ht="15.75">
      <c r="D10" s="546"/>
      <c r="E10" s="433"/>
      <c r="F10" s="433"/>
      <c r="G10" s="433"/>
      <c r="H10" s="433"/>
      <c r="I10" s="433"/>
      <c r="J10" s="2743" t="str">
        <f>採点Q1!J10</f>
        <v>※環境配慮の概要は最長30字程度。レベル３を超える場合は必ず記入し、多い場合は配慮シートに記述する。</v>
      </c>
      <c r="K10" s="433"/>
      <c r="L10" s="433"/>
      <c r="M10" s="63"/>
      <c r="N10" s="433"/>
      <c r="O10" s="433"/>
    </row>
    <row r="11" spans="2:15" ht="15.75">
      <c r="D11" s="542">
        <v>1</v>
      </c>
      <c r="E11" s="551" t="s">
        <v>1822</v>
      </c>
      <c r="F11" s="551"/>
      <c r="G11"/>
      <c r="H11"/>
      <c r="I11"/>
      <c r="J11" t="str">
        <f>IF(OR(F21=0,AND(K21=0,O21=0)),$L$3,"")</f>
        <v/>
      </c>
      <c r="K11"/>
      <c r="L11"/>
      <c r="M11"/>
      <c r="N11"/>
      <c r="O11"/>
    </row>
    <row r="12" spans="2:15" ht="15" hidden="1" thickBot="1">
      <c r="B12" t="s">
        <v>1106</v>
      </c>
      <c r="D12" s="1477"/>
      <c r="E12" s="795"/>
      <c r="F12" s="673"/>
      <c r="G12" s="559"/>
      <c r="H12" s="560"/>
      <c r="I12" s="561" t="s">
        <v>1141</v>
      </c>
      <c r="J12" s="562">
        <f>重み!M113</f>
        <v>0.3</v>
      </c>
      <c r="K12" s="674"/>
      <c r="L12" s="674"/>
      <c r="M12" s="674"/>
      <c r="N12" s="674"/>
      <c r="O12" s="676"/>
    </row>
    <row r="13" spans="2:15" ht="15" hidden="1" thickBot="1">
      <c r="B13" s="757">
        <v>0</v>
      </c>
      <c r="D13" s="1477"/>
      <c r="E13" s="795"/>
      <c r="F13" s="565">
        <v>3</v>
      </c>
      <c r="G13" s="570" t="s">
        <v>1639</v>
      </c>
      <c r="H13" s="570"/>
      <c r="I13" s="570"/>
      <c r="J13" s="570"/>
      <c r="K13" s="570"/>
      <c r="L13" s="570"/>
      <c r="M13" s="661"/>
      <c r="N13" s="796"/>
      <c r="O13" s="571"/>
    </row>
    <row r="14" spans="2:15" ht="14.25" hidden="1">
      <c r="B14" s="1" t="s">
        <v>826</v>
      </c>
      <c r="C14" s="1">
        <v>1</v>
      </c>
      <c r="D14" s="1477"/>
      <c r="E14" s="795"/>
      <c r="F14" s="797"/>
      <c r="G14" s="798" t="s">
        <v>1107</v>
      </c>
      <c r="H14" s="798"/>
      <c r="I14" s="3382" t="s">
        <v>255</v>
      </c>
      <c r="J14" s="3383"/>
      <c r="K14" s="3382" t="s">
        <v>256</v>
      </c>
      <c r="L14" s="3383"/>
      <c r="M14" s="799"/>
      <c r="N14" s="800"/>
      <c r="O14" s="783"/>
    </row>
    <row r="15" spans="2:15" ht="14.25" hidden="1">
      <c r="B15" s="1">
        <v>2</v>
      </c>
      <c r="C15" s="1">
        <v>3</v>
      </c>
      <c r="D15" s="1477"/>
      <c r="E15" s="795"/>
      <c r="F15" s="801" t="str">
        <f>IF(F13=$F$7,$G$2,IF(ROUNDDOWN(F13,0)=$F$2,$H$2,$G$2))</f>
        <v>　レベル　1</v>
      </c>
      <c r="G15" s="580" t="s">
        <v>1818</v>
      </c>
      <c r="H15" s="575"/>
      <c r="I15" s="580" t="s">
        <v>1818</v>
      </c>
      <c r="J15" s="575"/>
      <c r="K15" s="580" t="s">
        <v>1818</v>
      </c>
      <c r="L15" s="575"/>
      <c r="M15" s="3153"/>
      <c r="N15" s="3384"/>
      <c r="O15" s="3385"/>
    </row>
    <row r="16" spans="2:15" ht="14.25" hidden="1">
      <c r="B16" s="1">
        <v>3</v>
      </c>
      <c r="C16" s="1">
        <v>3</v>
      </c>
      <c r="D16" s="1477"/>
      <c r="E16" s="795"/>
      <c r="F16" s="802" t="str">
        <f>IF(F13=$F$7,$G$3,IF(ROUNDDOWN(F13,0)=$F$3,$H$3,$G$3))</f>
        <v>　レベル　2</v>
      </c>
      <c r="G16" s="580" t="s">
        <v>1843</v>
      </c>
      <c r="H16" s="581"/>
      <c r="I16" s="580" t="s">
        <v>1843</v>
      </c>
      <c r="J16" s="581"/>
      <c r="K16" s="580" t="s">
        <v>1843</v>
      </c>
      <c r="L16" s="581"/>
      <c r="M16" s="3157"/>
      <c r="N16" s="3386"/>
      <c r="O16" s="3387"/>
    </row>
    <row r="17" spans="2:256" ht="14.25" hidden="1">
      <c r="B17" s="1">
        <v>4</v>
      </c>
      <c r="C17" s="1">
        <v>4</v>
      </c>
      <c r="D17" s="1477"/>
      <c r="E17" s="795"/>
      <c r="F17" s="802" t="str">
        <f>IF(F13=$F$7,$G$4,IF(ROUNDDOWN(F13,0)=$F$4,$H$4,$G$4))</f>
        <v>■レベル　3</v>
      </c>
      <c r="G17" s="3157" t="s">
        <v>1108</v>
      </c>
      <c r="H17" s="3381"/>
      <c r="I17" s="3157" t="s">
        <v>1109</v>
      </c>
      <c r="J17" s="3381"/>
      <c r="K17" s="3157" t="s">
        <v>280</v>
      </c>
      <c r="L17" s="3381"/>
      <c r="M17" s="3157"/>
      <c r="N17" s="3386"/>
      <c r="O17" s="3387"/>
    </row>
    <row r="18" spans="2:256" ht="14.25" hidden="1">
      <c r="B18" s="1">
        <v>5</v>
      </c>
      <c r="C18" s="1">
        <v>5</v>
      </c>
      <c r="D18" s="1477"/>
      <c r="E18" s="795"/>
      <c r="F18" s="802" t="str">
        <f>IF(F13=$F$7,$G$5,IF(ROUNDDOWN(F13,0)=$F$5,$H$5,$G$5))</f>
        <v>　レベル　4</v>
      </c>
      <c r="G18" s="3157" t="s">
        <v>281</v>
      </c>
      <c r="H18" s="3381"/>
      <c r="I18" s="3157" t="s">
        <v>867</v>
      </c>
      <c r="J18" s="3381"/>
      <c r="K18" s="3157" t="s">
        <v>868</v>
      </c>
      <c r="L18" s="3381"/>
      <c r="M18" s="3157"/>
      <c r="N18" s="3174"/>
      <c r="O18" s="3201"/>
    </row>
    <row r="19" spans="2:256" ht="14.25" hidden="1">
      <c r="B19" s="594">
        <v>0</v>
      </c>
      <c r="C19" s="594">
        <v>0</v>
      </c>
      <c r="D19" s="1477"/>
      <c r="E19" s="795"/>
      <c r="F19" s="803" t="str">
        <f>IF(F13=$F$7,$G$6,IF(ROUNDDOWN(F13,0)=$F$6,$H$6,$G$6))</f>
        <v>　レベル　5</v>
      </c>
      <c r="G19" s="3157" t="s">
        <v>869</v>
      </c>
      <c r="H19" s="3381"/>
      <c r="I19" s="3157" t="s">
        <v>869</v>
      </c>
      <c r="J19" s="3381"/>
      <c r="K19" s="3157" t="s">
        <v>870</v>
      </c>
      <c r="L19" s="3381"/>
      <c r="M19" s="3155"/>
      <c r="N19" s="3388"/>
      <c r="O19" s="3389"/>
    </row>
    <row r="20" spans="2:256" ht="14.25">
      <c r="D20" s="1477"/>
      <c r="E20" s="795"/>
      <c r="F20" s="1353" t="s">
        <v>2174</v>
      </c>
      <c r="G20" s="673"/>
      <c r="H20" s="560"/>
      <c r="I20" s="561" t="s">
        <v>1141</v>
      </c>
      <c r="J20" s="562">
        <f>重み!M123</f>
        <v>0.2</v>
      </c>
      <c r="K20" s="674"/>
      <c r="L20" s="674"/>
      <c r="M20" s="1593"/>
      <c r="N20" s="1594"/>
      <c r="O20" s="1595"/>
    </row>
    <row r="21" spans="2:256" ht="15">
      <c r="D21" s="1478"/>
      <c r="E21" s="543"/>
      <c r="F21" s="3350">
        <f>ROUNDDOWN(計画書!H18,1)</f>
        <v>3</v>
      </c>
      <c r="G21" s="3350">
        <f>計画書!J15</f>
        <v>3.0000000000000018</v>
      </c>
      <c r="H21" s="796" t="s">
        <v>2163</v>
      </c>
      <c r="I21" s="796"/>
      <c r="J21" s="796"/>
      <c r="K21" s="2750">
        <f>計画書!G15</f>
        <v>54000</v>
      </c>
      <c r="L21" s="3374">
        <f>計画書!J16</f>
        <v>2</v>
      </c>
      <c r="M21" s="2751"/>
      <c r="N21" s="2752"/>
      <c r="O21" s="2753">
        <f>メイン!C64</f>
        <v>0</v>
      </c>
    </row>
    <row r="22" spans="2:256" ht="15.75" customHeight="1">
      <c r="D22" s="1478"/>
      <c r="E22" s="543"/>
      <c r="F22" s="3351"/>
      <c r="G22" s="3351"/>
      <c r="H22" s="2754" t="s">
        <v>2094</v>
      </c>
      <c r="I22" s="2754"/>
      <c r="J22" s="2755" t="s">
        <v>62</v>
      </c>
      <c r="K22" s="2756"/>
      <c r="L22" s="3375"/>
      <c r="M22" s="2757" t="s">
        <v>1575</v>
      </c>
      <c r="N22" s="2758"/>
      <c r="O22" s="2759"/>
    </row>
    <row r="23" spans="2:256" ht="27" customHeight="1">
      <c r="B23" s="1">
        <v>1</v>
      </c>
      <c r="C23" s="1">
        <v>1</v>
      </c>
      <c r="D23" s="1478"/>
      <c r="E23" s="543"/>
      <c r="F23" s="2760" t="str">
        <f>IF(F21=$F$7,$G$2,IF(ROUNDDOWN(F21,0)=$F$2,$H$2,$G$2))</f>
        <v>　レベル　1</v>
      </c>
      <c r="G23" s="2760" t="str">
        <f>IF(G21=$F$7,$G$2,IF(ROUNDDOWN(G21,0)=$F$2,$H$2,$G$2))</f>
        <v>　レベル　1</v>
      </c>
      <c r="H23" s="3361" t="s">
        <v>2719</v>
      </c>
      <c r="I23" s="3362"/>
      <c r="J23" s="3361" t="s">
        <v>2720</v>
      </c>
      <c r="K23" s="3362"/>
      <c r="L23" s="2760" t="str">
        <f>IF(L21=$F$7,$G$2,IF(ROUNDDOWN(L21,0)=$F$2,$H$2,$G$2))</f>
        <v>　レベル　1</v>
      </c>
      <c r="M23" s="3401" t="s">
        <v>2875</v>
      </c>
      <c r="N23" s="3402"/>
      <c r="O23" s="3403"/>
    </row>
    <row r="24" spans="2:256" ht="27" customHeight="1">
      <c r="B24" s="1">
        <v>2</v>
      </c>
      <c r="C24" s="1">
        <v>2</v>
      </c>
      <c r="D24" s="1478"/>
      <c r="E24" s="543"/>
      <c r="F24" s="2761" t="str">
        <f>IF(F21=$F$7,$G$3,IF(ROUNDDOWN(F21,0)=$F$3,$H$3,$G$3))</f>
        <v>　レベル　2</v>
      </c>
      <c r="G24" s="2761" t="str">
        <f>IF(G21=$F$7,$G$3,IF(ROUNDDOWN(G21,0)=$F$3,$H$3,$G$3))</f>
        <v>　レベル　2</v>
      </c>
      <c r="H24" s="3363"/>
      <c r="I24" s="3364"/>
      <c r="J24" s="3363"/>
      <c r="K24" s="3364"/>
      <c r="L24" s="2761" t="str">
        <f>IF(L21=$F$7,$G$3,IF(ROUNDDOWN(L21,0)=$F$3,$H$3,$G$3))</f>
        <v>■レベル　2</v>
      </c>
      <c r="M24" s="3175" t="s">
        <v>2876</v>
      </c>
      <c r="N24" s="3245"/>
      <c r="O24" s="3244"/>
    </row>
    <row r="25" spans="2:256" ht="27" customHeight="1">
      <c r="B25" s="1">
        <v>3</v>
      </c>
      <c r="C25" s="1">
        <v>3</v>
      </c>
      <c r="D25" s="1478"/>
      <c r="E25" s="543"/>
      <c r="F25" s="2761" t="str">
        <f>IF(F21=$F$7,$G$4,IF(ROUNDDOWN(F21,0)=$F$4,$H$4,$G$4))</f>
        <v>■レベル　3</v>
      </c>
      <c r="G25" s="2761" t="str">
        <f>IF(G21=$F$7,$G$4,IF(ROUNDDOWN(G21,0)=$F$4,$H$4,$G$4))</f>
        <v>■レベル　3</v>
      </c>
      <c r="H25" s="3363"/>
      <c r="I25" s="3364"/>
      <c r="J25" s="3363"/>
      <c r="K25" s="3364"/>
      <c r="L25" s="2761" t="str">
        <f>IF(L21=$F$7,$G$4,IF(ROUNDDOWN(L21,0)=$F$4,$H$4,$G$4))</f>
        <v>　レベル　3</v>
      </c>
      <c r="M25" s="3175" t="s">
        <v>2877</v>
      </c>
      <c r="N25" s="3406"/>
      <c r="O25" s="3407"/>
    </row>
    <row r="26" spans="2:256" ht="27" customHeight="1">
      <c r="B26" s="1">
        <v>4</v>
      </c>
      <c r="C26" s="1">
        <v>4</v>
      </c>
      <c r="D26" s="546"/>
      <c r="E26" s="553"/>
      <c r="F26" s="2761" t="str">
        <f>IF(F21=$F$7,$G$5,IF(ROUNDDOWN(F21,0)=$F$5,$H$5,$G$5))</f>
        <v>　レベル　4</v>
      </c>
      <c r="G26" s="2761" t="str">
        <f>IF(G21=$F$7,$G$5,IF(ROUNDDOWN(G21,0)=$F$5,$H$5,$G$5))</f>
        <v>　レベル　4</v>
      </c>
      <c r="H26" s="3363"/>
      <c r="I26" s="3364"/>
      <c r="J26" s="3363"/>
      <c r="K26" s="3364"/>
      <c r="L26" s="2761" t="str">
        <f>IF(L21=$F$7,$G$5,IF(ROUNDDOWN(L21,0)=$F$5,$H$5,$G$5))</f>
        <v>　レベル　4</v>
      </c>
      <c r="M26" s="3175" t="s">
        <v>2896</v>
      </c>
      <c r="N26" s="3406"/>
      <c r="O26" s="3407"/>
    </row>
    <row r="27" spans="2:256" ht="27" customHeight="1">
      <c r="B27" s="1">
        <v>5</v>
      </c>
      <c r="C27" s="1">
        <v>5</v>
      </c>
      <c r="D27" s="546"/>
      <c r="E27" s="553"/>
      <c r="F27" s="2762" t="str">
        <f>IF(F21=$F$7,$G$6,IF(ROUNDDOWN(F21,0)=$F$6,$H$6,$G$6))</f>
        <v>　レベル　5</v>
      </c>
      <c r="G27" s="2762" t="str">
        <f>IF(G21=$F$7,$G$6,IF(ROUNDDOWN(G21,0)=$F$6,$H$6,$G$6))</f>
        <v>　レベル　5</v>
      </c>
      <c r="H27" s="3365"/>
      <c r="I27" s="3366"/>
      <c r="J27" s="3365"/>
      <c r="K27" s="3366"/>
      <c r="L27" s="2762" t="str">
        <f>IF(L21=$F$7,$G$6,IF(ROUNDDOWN(L21,0)=$F$6,$H$6,$G$6))</f>
        <v>　レベル　5</v>
      </c>
      <c r="M27" s="2763" t="s">
        <v>2718</v>
      </c>
      <c r="N27" s="2764"/>
      <c r="O27" s="2765"/>
    </row>
    <row r="28" spans="2:256" ht="15.75">
      <c r="B28" s="594">
        <v>0</v>
      </c>
      <c r="C28" s="594">
        <v>0</v>
      </c>
      <c r="D28" s="546"/>
      <c r="E28" s="1291"/>
      <c r="F28" s="887" t="s">
        <v>3402</v>
      </c>
      <c r="G28" s="2423"/>
      <c r="H28" s="2396"/>
      <c r="I28" s="2396"/>
      <c r="J28" s="2397"/>
      <c r="K28" s="2576" t="s">
        <v>3777</v>
      </c>
      <c r="L28"/>
      <c r="M28"/>
      <c r="N28"/>
      <c r="O28"/>
      <c r="P28" s="1291"/>
      <c r="Q28" s="1291"/>
      <c r="S28" s="1291"/>
      <c r="T28" s="1291"/>
      <c r="U28" s="1291"/>
      <c r="V28" s="1291"/>
      <c r="W28" s="1291"/>
      <c r="X28" s="1291"/>
      <c r="Y28" s="1291"/>
      <c r="Z28" s="1291"/>
      <c r="AA28" s="1291"/>
      <c r="AB28" s="1291"/>
      <c r="AC28" s="1291"/>
      <c r="AD28" s="1291"/>
      <c r="AE28" s="1291"/>
      <c r="AF28" s="1291"/>
      <c r="AG28" s="1291"/>
      <c r="AH28" s="1291"/>
      <c r="AI28" s="1291"/>
      <c r="AJ28" s="1291"/>
      <c r="AK28" s="1291"/>
      <c r="AL28" s="1291"/>
      <c r="AM28" s="1291"/>
      <c r="AN28" s="1291"/>
      <c r="AO28" s="1291"/>
      <c r="AP28" s="1291"/>
      <c r="AQ28" s="1291"/>
      <c r="AR28" s="1291"/>
      <c r="AS28" s="1291"/>
      <c r="AT28" s="1291"/>
      <c r="AU28" s="1291"/>
      <c r="AV28" s="1291"/>
      <c r="AW28" s="1291"/>
      <c r="AX28" s="1291"/>
      <c r="AY28" s="1291"/>
      <c r="AZ28" s="1291"/>
      <c r="BA28" s="1291"/>
      <c r="BB28" s="1291"/>
      <c r="BC28" s="1291"/>
      <c r="BD28" s="1291"/>
      <c r="BE28" s="1291"/>
      <c r="BF28" s="1291"/>
      <c r="BG28" s="1291"/>
      <c r="BH28" s="1291"/>
      <c r="BI28" s="1291"/>
      <c r="BJ28" s="1291"/>
      <c r="BK28" s="1291"/>
      <c r="BL28" s="1291"/>
      <c r="BM28" s="1291"/>
      <c r="BN28" s="1291"/>
      <c r="BO28" s="1291"/>
      <c r="BP28" s="1291"/>
      <c r="BQ28" s="1291"/>
      <c r="BR28" s="1291"/>
      <c r="BS28" s="1291"/>
      <c r="BT28" s="1291"/>
      <c r="BU28" s="1291"/>
      <c r="BV28" s="1291"/>
      <c r="BW28" s="1291"/>
      <c r="BX28" s="1291"/>
      <c r="BY28" s="1291"/>
      <c r="BZ28" s="1291"/>
      <c r="CA28" s="1291"/>
      <c r="CB28" s="1291"/>
      <c r="CC28" s="1291"/>
      <c r="CD28" s="1291"/>
      <c r="CE28" s="1291"/>
      <c r="CF28" s="1291"/>
      <c r="CG28" s="1291"/>
      <c r="CH28" s="1291"/>
      <c r="CI28" s="1291"/>
      <c r="CJ28" s="1291"/>
      <c r="CK28" s="1291"/>
      <c r="CL28" s="1291"/>
      <c r="CM28" s="1291"/>
      <c r="CN28" s="1291"/>
      <c r="CO28" s="1291"/>
      <c r="CP28" s="1291"/>
      <c r="CQ28" s="1291"/>
      <c r="CR28" s="1291"/>
      <c r="CS28" s="1291"/>
      <c r="CT28" s="1291"/>
      <c r="CU28" s="1291"/>
      <c r="CV28" s="1291"/>
      <c r="CW28" s="1291"/>
      <c r="CX28" s="1291"/>
      <c r="CY28" s="1291"/>
      <c r="CZ28" s="1291"/>
      <c r="DA28" s="1291"/>
      <c r="DB28" s="1291"/>
      <c r="DC28" s="1291"/>
      <c r="DD28" s="1291"/>
      <c r="DE28" s="1291"/>
      <c r="DF28" s="1291"/>
      <c r="DG28" s="1291"/>
      <c r="DH28" s="1291"/>
      <c r="DI28" s="1291"/>
      <c r="DJ28" s="1291"/>
      <c r="DK28" s="1291"/>
      <c r="DL28" s="1291"/>
      <c r="DM28" s="1291"/>
      <c r="DN28" s="1291"/>
      <c r="DO28" s="1291"/>
      <c r="DP28" s="1291"/>
      <c r="DQ28" s="1291"/>
      <c r="DR28" s="1291"/>
      <c r="DS28" s="1291"/>
      <c r="DT28" s="1291"/>
      <c r="DU28" s="1291"/>
      <c r="DV28" s="1291"/>
      <c r="DW28" s="1291"/>
      <c r="DX28" s="1291"/>
      <c r="DY28" s="1291"/>
      <c r="DZ28" s="1291"/>
      <c r="EA28" s="1291"/>
      <c r="EB28" s="1291"/>
      <c r="EC28" s="1291"/>
      <c r="ED28" s="1291"/>
      <c r="EE28" s="1291"/>
      <c r="EF28" s="1291"/>
      <c r="EG28" s="1291"/>
      <c r="EH28" s="1291"/>
      <c r="EI28" s="1291"/>
      <c r="EJ28" s="1291"/>
      <c r="EK28" s="1291"/>
      <c r="EL28" s="1291"/>
      <c r="EM28" s="1291"/>
      <c r="EN28" s="1291"/>
      <c r="EO28" s="1291"/>
      <c r="EP28" s="1291"/>
      <c r="EQ28" s="1291"/>
      <c r="ER28" s="1291"/>
      <c r="ES28" s="1291"/>
      <c r="ET28" s="1291"/>
      <c r="EU28" s="1291"/>
      <c r="EV28" s="1291"/>
      <c r="EW28" s="1291"/>
      <c r="EX28" s="1291"/>
      <c r="EY28" s="1291"/>
      <c r="EZ28" s="1291"/>
      <c r="FA28" s="1291"/>
      <c r="FB28" s="1291"/>
      <c r="FC28" s="1291"/>
      <c r="FD28" s="1291"/>
      <c r="FE28" s="1291"/>
      <c r="FF28" s="1291"/>
      <c r="FG28" s="1291"/>
      <c r="FH28" s="1291"/>
      <c r="FI28" s="1291"/>
      <c r="FJ28" s="1291"/>
      <c r="FK28" s="1291"/>
      <c r="FL28" s="1291"/>
      <c r="FM28" s="1291"/>
      <c r="FN28" s="1291"/>
      <c r="FO28" s="1291"/>
      <c r="FP28" s="1291"/>
      <c r="FQ28" s="1291"/>
      <c r="FR28" s="1291"/>
      <c r="FS28" s="1291"/>
      <c r="FT28" s="1291"/>
      <c r="FU28" s="1291"/>
      <c r="FV28" s="1291"/>
      <c r="FW28" s="1291"/>
      <c r="FX28" s="1291"/>
      <c r="FY28" s="1291"/>
      <c r="FZ28" s="1291"/>
      <c r="GA28" s="1291"/>
      <c r="GB28" s="1291"/>
      <c r="GC28" s="1291"/>
      <c r="GD28" s="1291"/>
      <c r="GE28" s="1291"/>
      <c r="GF28" s="1291"/>
      <c r="GG28" s="1291"/>
      <c r="GH28" s="1291"/>
      <c r="GI28" s="1291"/>
      <c r="GJ28" s="1291"/>
      <c r="GK28" s="1291"/>
      <c r="GL28" s="1291"/>
      <c r="GM28" s="1291"/>
      <c r="GN28" s="1291"/>
      <c r="GO28" s="1291"/>
      <c r="GP28" s="1291"/>
      <c r="GQ28" s="1291"/>
      <c r="GR28" s="1291"/>
      <c r="GS28" s="1291"/>
      <c r="GT28" s="1291"/>
      <c r="GU28" s="1291"/>
      <c r="GV28" s="1291"/>
      <c r="GW28" s="1291"/>
      <c r="GX28" s="1291"/>
      <c r="GY28" s="1291"/>
      <c r="GZ28" s="1291"/>
      <c r="HA28" s="1291"/>
      <c r="HB28" s="1291"/>
      <c r="HC28" s="1291"/>
      <c r="HD28" s="1291"/>
      <c r="HE28" s="1291"/>
      <c r="HF28" s="1291"/>
      <c r="HG28" s="1291"/>
      <c r="HH28" s="1291"/>
      <c r="HI28" s="1291"/>
      <c r="HJ28" s="1291"/>
      <c r="HK28" s="1291"/>
      <c r="HL28" s="1291"/>
      <c r="HM28" s="1291"/>
      <c r="HN28" s="1291"/>
      <c r="HO28" s="1291"/>
      <c r="HP28" s="1291"/>
      <c r="HQ28" s="1291"/>
      <c r="HR28" s="1291"/>
      <c r="HS28" s="1291"/>
      <c r="HT28" s="1291"/>
      <c r="HU28" s="1291"/>
      <c r="HV28" s="1291"/>
      <c r="HW28" s="1291"/>
      <c r="HX28" s="1291"/>
      <c r="HY28" s="1291"/>
      <c r="HZ28" s="1291"/>
      <c r="IA28" s="1291"/>
      <c r="IB28" s="1291"/>
      <c r="IC28" s="1291"/>
      <c r="ID28" s="1291"/>
      <c r="IE28" s="1291"/>
      <c r="IF28" s="1291"/>
      <c r="IG28" s="1291"/>
      <c r="IH28" s="1291"/>
      <c r="II28" s="1291"/>
      <c r="IJ28" s="1291"/>
      <c r="IK28" s="1291"/>
      <c r="IL28" s="1291"/>
      <c r="IM28" s="1291"/>
      <c r="IN28" s="1291"/>
      <c r="IO28" s="1291"/>
      <c r="IP28" s="1291"/>
      <c r="IQ28" s="1291"/>
      <c r="IR28" s="1291"/>
      <c r="IS28" s="1291"/>
      <c r="IT28" s="1291"/>
      <c r="IU28" s="1291"/>
      <c r="IV28" s="1291"/>
    </row>
    <row r="29" spans="2:256" ht="15.75" hidden="1">
      <c r="B29" s="918"/>
      <c r="C29" s="918"/>
      <c r="D29" s="546"/>
      <c r="E29" s="546"/>
      <c r="F29" s="1781" t="s">
        <v>2862</v>
      </c>
      <c r="G29"/>
      <c r="H29"/>
      <c r="I29" s="546"/>
      <c r="J29"/>
      <c r="K29"/>
      <c r="L29"/>
      <c r="M29"/>
      <c r="N29"/>
      <c r="O29" s="1291"/>
      <c r="P29" s="1291"/>
      <c r="Q29" s="1291"/>
      <c r="R29" s="1291"/>
      <c r="S29" s="1291"/>
      <c r="T29" s="1291"/>
      <c r="U29" s="1291"/>
      <c r="V29" s="1291"/>
      <c r="W29" s="1291"/>
      <c r="X29" s="1291"/>
      <c r="Y29" s="1291"/>
      <c r="Z29" s="1291"/>
      <c r="AA29" s="1291"/>
      <c r="AB29" s="1291"/>
      <c r="AC29" s="1291"/>
      <c r="AD29" s="1291"/>
      <c r="AE29" s="1291"/>
      <c r="AF29" s="1291"/>
      <c r="AG29" s="1291"/>
      <c r="AH29" s="1291"/>
      <c r="AI29" s="1291"/>
      <c r="AJ29" s="1291"/>
      <c r="AK29" s="1291"/>
      <c r="AL29" s="1291"/>
      <c r="AM29" s="1291"/>
      <c r="AN29" s="1291"/>
      <c r="AO29" s="1291"/>
      <c r="AP29" s="1291"/>
      <c r="AQ29" s="1291"/>
      <c r="AR29" s="1291"/>
      <c r="AS29" s="1291"/>
      <c r="AT29" s="1291"/>
      <c r="AU29" s="1291"/>
      <c r="AV29" s="1291"/>
      <c r="AW29" s="1291"/>
      <c r="AX29" s="1291"/>
      <c r="AY29" s="1291"/>
      <c r="AZ29" s="1291"/>
      <c r="BA29" s="1291"/>
      <c r="BB29" s="1291"/>
      <c r="BC29" s="1291"/>
      <c r="BD29" s="1291"/>
      <c r="BE29" s="1291"/>
      <c r="BF29" s="1291"/>
      <c r="BG29" s="1291"/>
      <c r="BH29" s="1291"/>
      <c r="BI29" s="1291"/>
      <c r="BJ29" s="1291"/>
      <c r="BK29" s="1291"/>
      <c r="BL29" s="1291"/>
      <c r="BM29" s="1291"/>
      <c r="BN29" s="1291"/>
      <c r="BO29" s="1291"/>
      <c r="BP29" s="1291"/>
      <c r="BQ29" s="1291"/>
      <c r="BR29" s="1291"/>
      <c r="BS29" s="1291"/>
      <c r="BT29" s="1291"/>
      <c r="BU29" s="1291"/>
      <c r="BV29" s="1291"/>
      <c r="BW29" s="1291"/>
      <c r="BX29" s="1291"/>
      <c r="BY29" s="1291"/>
      <c r="BZ29" s="1291"/>
      <c r="CA29" s="1291"/>
      <c r="CB29" s="1291"/>
      <c r="CC29" s="1291"/>
      <c r="CD29" s="1291"/>
      <c r="CE29" s="1291"/>
      <c r="CF29" s="1291"/>
      <c r="CG29" s="1291"/>
      <c r="CH29" s="1291"/>
      <c r="CI29" s="1291"/>
      <c r="CJ29" s="1291"/>
      <c r="CK29" s="1291"/>
      <c r="CL29" s="1291"/>
      <c r="CM29" s="1291"/>
      <c r="CN29" s="1291"/>
      <c r="CO29" s="1291"/>
      <c r="CP29" s="1291"/>
      <c r="CQ29" s="1291"/>
      <c r="CR29" s="1291"/>
      <c r="CS29" s="1291"/>
      <c r="CT29" s="1291"/>
      <c r="CU29" s="1291"/>
      <c r="CV29" s="1291"/>
      <c r="CW29" s="1291"/>
      <c r="CX29" s="1291"/>
      <c r="CY29" s="1291"/>
      <c r="CZ29" s="1291"/>
      <c r="DA29" s="1291"/>
      <c r="DB29" s="1291"/>
      <c r="DC29" s="1291"/>
      <c r="DD29" s="1291"/>
      <c r="DE29" s="1291"/>
      <c r="DF29" s="1291"/>
      <c r="DG29" s="1291"/>
      <c r="DH29" s="1291"/>
      <c r="DI29" s="1291"/>
      <c r="DJ29" s="1291"/>
      <c r="DK29" s="1291"/>
      <c r="DL29" s="1291"/>
      <c r="DM29" s="1291"/>
      <c r="DN29" s="1291"/>
      <c r="DO29" s="1291"/>
      <c r="DP29" s="1291"/>
      <c r="DQ29" s="1291"/>
      <c r="DR29" s="1291"/>
      <c r="DS29" s="1291"/>
      <c r="DT29" s="1291"/>
      <c r="DU29" s="1291"/>
      <c r="DV29" s="1291"/>
      <c r="DW29" s="1291"/>
      <c r="DX29" s="1291"/>
      <c r="DY29" s="1291"/>
      <c r="DZ29" s="1291"/>
      <c r="EA29" s="1291"/>
      <c r="EB29" s="1291"/>
      <c r="EC29" s="1291"/>
      <c r="ED29" s="1291"/>
      <c r="EE29" s="1291"/>
      <c r="EF29" s="1291"/>
      <c r="EG29" s="1291"/>
      <c r="EH29" s="1291"/>
      <c r="EI29" s="1291"/>
      <c r="EJ29" s="1291"/>
      <c r="EK29" s="1291"/>
      <c r="EL29" s="1291"/>
      <c r="EM29" s="1291"/>
      <c r="EN29" s="1291"/>
      <c r="EO29" s="1291"/>
      <c r="EP29" s="1291"/>
      <c r="EQ29" s="1291"/>
      <c r="ER29" s="1291"/>
      <c r="ES29" s="1291"/>
      <c r="ET29" s="1291"/>
      <c r="EU29" s="1291"/>
      <c r="EV29" s="1291"/>
      <c r="EW29" s="1291"/>
      <c r="EX29" s="1291"/>
      <c r="EY29" s="1291"/>
      <c r="EZ29" s="1291"/>
      <c r="FA29" s="1291"/>
      <c r="FB29" s="1291"/>
      <c r="FC29" s="1291"/>
      <c r="FD29" s="1291"/>
      <c r="FE29" s="1291"/>
      <c r="FF29" s="1291"/>
      <c r="FG29" s="1291"/>
      <c r="FH29" s="1291"/>
      <c r="FI29" s="1291"/>
      <c r="FJ29" s="1291"/>
      <c r="FK29" s="1291"/>
      <c r="FL29" s="1291"/>
      <c r="FM29" s="1291"/>
      <c r="FN29" s="1291"/>
      <c r="FO29" s="1291"/>
      <c r="FP29" s="1291"/>
      <c r="FQ29" s="1291"/>
      <c r="FR29" s="1291"/>
      <c r="FS29" s="1291"/>
      <c r="FT29" s="1291"/>
      <c r="FU29" s="1291"/>
      <c r="FV29" s="1291"/>
      <c r="FW29" s="1291"/>
      <c r="FX29" s="1291"/>
      <c r="FY29" s="1291"/>
      <c r="FZ29" s="1291"/>
      <c r="GA29" s="1291"/>
      <c r="GB29" s="1291"/>
      <c r="GC29" s="1291"/>
      <c r="GD29" s="1291"/>
      <c r="GE29" s="1291"/>
      <c r="GF29" s="1291"/>
      <c r="GG29" s="1291"/>
      <c r="GH29" s="1291"/>
      <c r="GI29" s="1291"/>
      <c r="GJ29" s="1291"/>
      <c r="GK29" s="1291"/>
      <c r="GL29" s="1291"/>
      <c r="GM29" s="1291"/>
      <c r="GN29" s="1291"/>
      <c r="GO29" s="1291"/>
      <c r="GP29" s="1291"/>
      <c r="GQ29" s="1291"/>
      <c r="GR29" s="1291"/>
      <c r="GS29" s="1291"/>
      <c r="GT29" s="1291"/>
      <c r="GU29" s="1291"/>
      <c r="GV29" s="1291"/>
      <c r="GW29" s="1291"/>
      <c r="GX29" s="1291"/>
      <c r="GY29" s="1291"/>
      <c r="GZ29" s="1291"/>
      <c r="HA29" s="1291"/>
      <c r="HB29" s="1291"/>
      <c r="HC29" s="1291"/>
      <c r="HD29" s="1291"/>
      <c r="HE29" s="1291"/>
      <c r="HF29" s="1291"/>
      <c r="HG29" s="1291"/>
      <c r="HH29" s="1291"/>
      <c r="HI29" s="1291"/>
      <c r="HJ29" s="1291"/>
      <c r="HK29" s="1291"/>
      <c r="HL29" s="1291"/>
      <c r="HM29" s="1291"/>
      <c r="HN29" s="1291"/>
      <c r="HO29" s="1291"/>
      <c r="HP29" s="1291"/>
      <c r="HQ29" s="1291"/>
      <c r="HR29" s="1291"/>
      <c r="HS29" s="1291"/>
      <c r="HT29" s="1291"/>
      <c r="HU29" s="1291"/>
      <c r="HV29" s="1291"/>
      <c r="HW29" s="1291"/>
      <c r="HX29" s="1291"/>
      <c r="HY29" s="1291"/>
      <c r="HZ29" s="1291"/>
      <c r="IA29" s="1291"/>
      <c r="IB29" s="1291"/>
      <c r="IC29" s="1291"/>
      <c r="ID29" s="1291"/>
      <c r="IE29" s="1291"/>
      <c r="IF29" s="1291"/>
      <c r="IG29" s="1291"/>
      <c r="IH29" s="1291"/>
      <c r="II29" s="1291"/>
      <c r="IJ29" s="1291"/>
      <c r="IK29" s="1291"/>
      <c r="IL29" s="1291"/>
      <c r="IM29" s="1291"/>
      <c r="IN29" s="1291"/>
      <c r="IO29" s="1291"/>
      <c r="IP29" s="1291"/>
      <c r="IQ29" s="1291"/>
      <c r="IR29" s="1291"/>
      <c r="IS29" s="1291"/>
      <c r="IT29" s="1291"/>
      <c r="IU29" s="1291"/>
      <c r="IV29" s="1291"/>
    </row>
    <row r="30" spans="2:256" ht="15">
      <c r="D30" s="1478"/>
      <c r="E30" s="543"/>
      <c r="G30"/>
      <c r="H30"/>
      <c r="K30"/>
      <c r="L30"/>
      <c r="M30"/>
      <c r="N30"/>
      <c r="O30"/>
    </row>
    <row r="31" spans="2:256" ht="15.75">
      <c r="D31" s="546">
        <v>2</v>
      </c>
      <c r="E31" s="553" t="s">
        <v>2097</v>
      </c>
      <c r="F31" s="553"/>
      <c r="G31"/>
      <c r="H31"/>
      <c r="I31"/>
      <c r="J31" t="str">
        <f>IF(OR(F33=0,AND(J33=0,O33=0)),$L$3,"")</f>
        <v/>
      </c>
      <c r="K31"/>
      <c r="L31"/>
      <c r="M31"/>
      <c r="N31"/>
      <c r="O31"/>
    </row>
    <row r="32" spans="2:256" ht="16.5" thickBot="1">
      <c r="D32" s="546"/>
      <c r="E32" s="553"/>
      <c r="F32" s="558"/>
      <c r="G32" s="1330"/>
      <c r="H32" s="560"/>
      <c r="I32" s="561" t="s">
        <v>1141</v>
      </c>
      <c r="J32" s="562">
        <f>重み!M124</f>
        <v>0.1</v>
      </c>
      <c r="K32" s="674"/>
      <c r="L32" s="674"/>
      <c r="M32" s="674"/>
      <c r="N32" s="674"/>
      <c r="O32" s="571"/>
    </row>
    <row r="33" spans="2:17" ht="27" customHeight="1" thickBot="1">
      <c r="D33" s="546"/>
      <c r="E33" s="553"/>
      <c r="F33" s="1978">
        <f>IF((J33+O33)=0,0,IF(AND(G44=0,O33&gt;0),L33,G44*J33/(J33+O33)+L33*O33/(J33+O33)))</f>
        <v>3</v>
      </c>
      <c r="G33" s="570" t="s">
        <v>858</v>
      </c>
      <c r="H33" s="1556"/>
      <c r="I33" s="1556"/>
      <c r="J33" s="736">
        <f>計画書!H118</f>
        <v>5000</v>
      </c>
      <c r="K33" s="806" t="s">
        <v>2587</v>
      </c>
      <c r="L33" s="565">
        <v>3</v>
      </c>
      <c r="M33" s="808" t="s">
        <v>1217</v>
      </c>
      <c r="N33" s="809"/>
      <c r="O33" s="736">
        <f>計画書!H117</f>
        <v>0</v>
      </c>
    </row>
    <row r="34" spans="2:17" ht="26.25" customHeight="1">
      <c r="B34" s="1" t="s">
        <v>2418</v>
      </c>
      <c r="C34" s="1" t="s">
        <v>2418</v>
      </c>
      <c r="D34" s="546"/>
      <c r="E34" s="546"/>
      <c r="F34" s="815" t="str">
        <f>IF(F33=$F$7,"",IF(ROUNDDOWN(F33,0)=$F$2,$H$2,$G$2))</f>
        <v>　レベル　1</v>
      </c>
      <c r="G34" s="574" t="s">
        <v>1818</v>
      </c>
      <c r="H34" s="575"/>
      <c r="I34" s="575"/>
      <c r="J34" s="575"/>
      <c r="K34" s="3414" t="s">
        <v>2722</v>
      </c>
      <c r="L34" s="815" t="str">
        <f>IF(L33=$F$7,"",IF(ROUNDDOWN(L33,0)=$F$2,$H$2,$G$2))</f>
        <v>　レベル　1</v>
      </c>
      <c r="M34" s="574" t="s">
        <v>1818</v>
      </c>
      <c r="N34" s="575"/>
      <c r="O34" s="576"/>
    </row>
    <row r="35" spans="2:17" ht="26.25" customHeight="1">
      <c r="B35" s="1" t="s">
        <v>2418</v>
      </c>
      <c r="C35" s="1">
        <v>2</v>
      </c>
      <c r="D35" s="546"/>
      <c r="E35" s="546"/>
      <c r="F35" s="816" t="str">
        <f>IF(F33=$F$7,"",IF(ROUNDDOWN(F33,0)=$F$3,$H$3,$G$3))</f>
        <v>　レベル　2</v>
      </c>
      <c r="G35" s="580" t="s">
        <v>1818</v>
      </c>
      <c r="H35" s="581"/>
      <c r="I35" s="581"/>
      <c r="J35" s="581"/>
      <c r="K35" s="3415"/>
      <c r="L35" s="816" t="str">
        <f>IF(L33=$F$7,"",IF(ROUNDDOWN(L33,0)=$F$3,$H$3,$G$3))</f>
        <v>　レベル　2</v>
      </c>
      <c r="M35" s="580" t="s">
        <v>1218</v>
      </c>
      <c r="N35" s="581"/>
      <c r="O35" s="582"/>
    </row>
    <row r="36" spans="2:17" ht="39.75" customHeight="1">
      <c r="B36" s="1">
        <v>3</v>
      </c>
      <c r="C36" s="1">
        <v>3</v>
      </c>
      <c r="D36" s="546"/>
      <c r="E36" s="546"/>
      <c r="F36" s="816" t="str">
        <f>IF(F33=$F$7,"",IF(ROUNDDOWN(F33,0)=$F$4,$H$4,$G$4))</f>
        <v>■レベル　3</v>
      </c>
      <c r="G36" s="3408" t="s">
        <v>2510</v>
      </c>
      <c r="H36" s="3409"/>
      <c r="I36" s="3409"/>
      <c r="J36" s="3410"/>
      <c r="K36" s="1541" t="s">
        <v>2589</v>
      </c>
      <c r="L36" s="816" t="str">
        <f>IF(L33=$F$7,"",IF(ROUNDDOWN(L33,0)=$F$4,$H$4,$G$4))</f>
        <v>■レベル　3</v>
      </c>
      <c r="M36" s="3157" t="s">
        <v>2388</v>
      </c>
      <c r="N36" s="3174"/>
      <c r="O36" s="3201"/>
    </row>
    <row r="37" spans="2:17" ht="36.75" customHeight="1">
      <c r="B37" s="1">
        <v>4</v>
      </c>
      <c r="C37" s="1">
        <v>4</v>
      </c>
      <c r="D37" s="546"/>
      <c r="E37" s="546"/>
      <c r="F37" s="816" t="str">
        <f>IF(F33=$F$7,"",IF(ROUNDDOWN(F33,0)=$F$5,$H$5,$G$5))</f>
        <v>　レベル　4</v>
      </c>
      <c r="G37" s="3408" t="s">
        <v>2511</v>
      </c>
      <c r="H37" s="3409"/>
      <c r="I37" s="3409"/>
      <c r="J37" s="3410"/>
      <c r="K37" s="1541" t="s">
        <v>2588</v>
      </c>
      <c r="L37" s="816" t="str">
        <f>IF(L33=$F$7,"",IF(ROUNDDOWN(L33,0)=$F$5,$H$5,$G$5))</f>
        <v>　レベル　4</v>
      </c>
      <c r="M37" s="3157" t="s">
        <v>645</v>
      </c>
      <c r="N37" s="3174"/>
      <c r="O37" s="3201"/>
    </row>
    <row r="38" spans="2:17" ht="27" customHeight="1">
      <c r="B38" s="1">
        <v>5</v>
      </c>
      <c r="C38" s="1">
        <v>5</v>
      </c>
      <c r="D38" s="546"/>
      <c r="E38" s="546"/>
      <c r="F38" s="817" t="str">
        <f>IF(F33=$F$7,"",IF(ROUNDDOWN(F33,0)=$F$6,$H$6,$G$6))</f>
        <v>　レベル　5</v>
      </c>
      <c r="G38" s="3411" t="s">
        <v>646</v>
      </c>
      <c r="H38" s="3412"/>
      <c r="I38" s="3412"/>
      <c r="J38" s="3413"/>
      <c r="K38" s="1542"/>
      <c r="L38" s="817" t="str">
        <f>IF(L33=$F$7,"",IF(ROUNDDOWN(L33,0)=$F$6,$H$6,$G$6))</f>
        <v>　レベル　5</v>
      </c>
      <c r="M38" s="3155" t="s">
        <v>647</v>
      </c>
      <c r="N38" s="3179"/>
      <c r="O38" s="3185"/>
    </row>
    <row r="39" spans="2:17" ht="14.25" customHeight="1" thickBot="1">
      <c r="B39" s="594">
        <v>0</v>
      </c>
      <c r="C39" s="594">
        <v>0</v>
      </c>
      <c r="D39" s="1474"/>
      <c r="E39" s="44"/>
      <c r="F39" s="887" t="s">
        <v>3402</v>
      </c>
      <c r="G39" s="2423"/>
      <c r="H39" s="2396"/>
      <c r="I39" s="2396"/>
      <c r="J39" s="2397"/>
      <c r="K39" s="2576" t="s">
        <v>3795</v>
      </c>
      <c r="L39"/>
      <c r="M39"/>
      <c r="N39"/>
      <c r="O39"/>
    </row>
    <row r="40" spans="2:17" ht="15.75" hidden="1" customHeight="1">
      <c r="B40" s="918"/>
      <c r="C40" s="918"/>
      <c r="D40" s="1474"/>
      <c r="E40" s="44"/>
      <c r="F40" s="1781" t="s">
        <v>2862</v>
      </c>
      <c r="G40" s="546"/>
      <c r="H40" s="546"/>
      <c r="I40" s="44"/>
      <c r="J40" s="44"/>
      <c r="K40" s="44"/>
      <c r="L40" s="44"/>
      <c r="M40" s="44"/>
      <c r="N40" s="44"/>
      <c r="O40" s="44"/>
    </row>
    <row r="41" spans="2:17" ht="15.75" customHeight="1" thickBot="1">
      <c r="D41" s="1474"/>
      <c r="E41" s="44"/>
      <c r="G41" s="887" t="s">
        <v>3594</v>
      </c>
      <c r="H41" s="2749">
        <v>0</v>
      </c>
      <c r="I41" s="543" t="s">
        <v>3581</v>
      </c>
      <c r="K41" s="2459" t="s">
        <v>3755</v>
      </c>
      <c r="L41" s="2556">
        <v>0.8</v>
      </c>
      <c r="M41"/>
      <c r="N41" s="2459" t="s">
        <v>3754</v>
      </c>
      <c r="O41" s="2556">
        <v>0.8</v>
      </c>
    </row>
    <row r="42" spans="2:17" ht="15.75" customHeight="1">
      <c r="D42" s="1474"/>
      <c r="E42" s="44"/>
      <c r="G42" s="2431" t="s">
        <v>3595</v>
      </c>
      <c r="J42"/>
      <c r="K42" s="2459" t="s">
        <v>3756</v>
      </c>
      <c r="L42" s="2556">
        <v>0.8</v>
      </c>
      <c r="M42"/>
      <c r="N42" s="2459" t="s">
        <v>3753</v>
      </c>
      <c r="O42" s="2556">
        <v>0.8</v>
      </c>
    </row>
    <row r="43" spans="2:17" ht="18.75" customHeight="1">
      <c r="D43" s="1474"/>
      <c r="E43" s="44"/>
      <c r="F43" s="550" t="s">
        <v>2070</v>
      </c>
      <c r="G43" s="44"/>
      <c r="H43" s="44"/>
      <c r="I43" s="44"/>
      <c r="J43" s="44"/>
      <c r="K43" s="44"/>
      <c r="L43" s="44"/>
      <c r="M43" s="44"/>
      <c r="N43" s="44"/>
      <c r="O43" s="44"/>
    </row>
    <row r="44" spans="2:17" ht="19.5" customHeight="1" thickBot="1">
      <c r="D44" s="546"/>
      <c r="E44" s="807"/>
      <c r="F44" s="546"/>
      <c r="G44" s="2697">
        <f>IF(G58&lt;1,3,IF(G58&gt;=1,IF(H41&lt;15,4,5)))</f>
        <v>3</v>
      </c>
      <c r="H44" s="692" t="s">
        <v>1453</v>
      </c>
      <c r="I44" s="438" t="s">
        <v>1452</v>
      </c>
      <c r="J44" s="2712"/>
      <c r="K44" s="2712"/>
      <c r="L44" s="2714" t="s">
        <v>3025</v>
      </c>
      <c r="M44" s="2712"/>
      <c r="N44" s="2712"/>
      <c r="O44" s="2713"/>
      <c r="P44" s="1291"/>
      <c r="Q44" s="1291"/>
    </row>
    <row r="45" spans="2:17" ht="15.75">
      <c r="D45" s="546"/>
      <c r="E45" s="807"/>
      <c r="F45" s="2409" t="s">
        <v>3070</v>
      </c>
      <c r="G45" s="3376" t="str">
        <f>IF(COUNTIF(L45:L48,$M$3)&gt;0,$M$3,"")</f>
        <v/>
      </c>
      <c r="H45" s="3367" t="s">
        <v>3026</v>
      </c>
      <c r="I45" s="3229" t="s">
        <v>3027</v>
      </c>
      <c r="J45" s="3313"/>
      <c r="K45" s="3370"/>
      <c r="L45" s="2425"/>
      <c r="M45" s="1924" t="s">
        <v>3028</v>
      </c>
      <c r="N45" s="1924"/>
      <c r="O45" s="1925"/>
    </row>
    <row r="46" spans="2:17" ht="15.75">
      <c r="D46" s="546"/>
      <c r="E46" s="807"/>
      <c r="F46" s="2409" t="s">
        <v>3071</v>
      </c>
      <c r="G46" s="3377"/>
      <c r="H46" s="3368"/>
      <c r="I46" s="3331"/>
      <c r="J46" s="3316"/>
      <c r="K46" s="3371"/>
      <c r="L46" s="2461"/>
      <c r="M46" s="1926" t="s">
        <v>3029</v>
      </c>
      <c r="N46" s="1926"/>
      <c r="O46" s="1927"/>
    </row>
    <row r="47" spans="2:17" ht="15.75">
      <c r="D47" s="546"/>
      <c r="E47" s="807"/>
      <c r="F47" s="2409" t="s">
        <v>3072</v>
      </c>
      <c r="G47" s="3377"/>
      <c r="H47" s="3368"/>
      <c r="I47" s="3331"/>
      <c r="J47" s="3316"/>
      <c r="K47" s="3371"/>
      <c r="L47" s="2461"/>
      <c r="M47" s="1926" t="s">
        <v>3030</v>
      </c>
      <c r="N47" s="1926"/>
      <c r="O47" s="1927"/>
    </row>
    <row r="48" spans="2:17" ht="15.75">
      <c r="D48" s="546"/>
      <c r="E48" s="807"/>
      <c r="F48" s="2409" t="s">
        <v>3073</v>
      </c>
      <c r="G48" s="3378"/>
      <c r="H48" s="3369"/>
      <c r="I48" s="3331"/>
      <c r="J48" s="3316"/>
      <c r="K48" s="3371"/>
      <c r="L48" s="2462"/>
      <c r="M48" s="1928" t="s">
        <v>3768</v>
      </c>
      <c r="N48" s="1926"/>
      <c r="O48" s="1927"/>
    </row>
    <row r="49" spans="4:15" ht="27.75" customHeight="1">
      <c r="D49" s="546"/>
      <c r="E49" s="807"/>
      <c r="F49" s="2409" t="s">
        <v>3074</v>
      </c>
      <c r="G49" s="3376" t="str">
        <f>IF(COUNTIF(L49:L54,$M$3)&gt;0,$M$3,"")</f>
        <v/>
      </c>
      <c r="H49" s="3367" t="s">
        <v>3031</v>
      </c>
      <c r="I49" s="3229" t="s">
        <v>3032</v>
      </c>
      <c r="J49" s="3313"/>
      <c r="K49" s="3370"/>
      <c r="L49" s="2463"/>
      <c r="M49" s="3404" t="s">
        <v>3033</v>
      </c>
      <c r="N49" s="3246"/>
      <c r="O49" s="3405"/>
    </row>
    <row r="50" spans="4:15" ht="15.75">
      <c r="D50" s="546"/>
      <c r="E50" s="807"/>
      <c r="F50" s="2409" t="s">
        <v>3075</v>
      </c>
      <c r="G50" s="3377"/>
      <c r="H50" s="3368"/>
      <c r="I50" s="3331"/>
      <c r="J50" s="3316"/>
      <c r="K50" s="3371"/>
      <c r="L50" s="2426"/>
      <c r="M50" s="1926" t="s">
        <v>3034</v>
      </c>
      <c r="N50" s="1926"/>
      <c r="O50" s="1927"/>
    </row>
    <row r="51" spans="4:15" ht="15.75">
      <c r="D51" s="546"/>
      <c r="E51" s="807"/>
      <c r="F51" s="2409" t="s">
        <v>3076</v>
      </c>
      <c r="G51" s="3377"/>
      <c r="H51" s="3368"/>
      <c r="I51" s="3331"/>
      <c r="J51" s="3316"/>
      <c r="K51" s="3371"/>
      <c r="L51" s="2426"/>
      <c r="M51" s="1926" t="s">
        <v>3035</v>
      </c>
      <c r="N51" s="1926"/>
      <c r="O51" s="1927"/>
    </row>
    <row r="52" spans="4:15" ht="15.75">
      <c r="D52" s="546"/>
      <c r="E52" s="807"/>
      <c r="F52" s="2409" t="s">
        <v>3077</v>
      </c>
      <c r="G52" s="3377"/>
      <c r="H52" s="3368"/>
      <c r="I52" s="3331"/>
      <c r="J52" s="3316"/>
      <c r="K52" s="3371"/>
      <c r="L52" s="2426"/>
      <c r="M52" s="1926" t="s">
        <v>3036</v>
      </c>
      <c r="N52" s="1926"/>
      <c r="O52" s="1927"/>
    </row>
    <row r="53" spans="4:15" ht="15.75">
      <c r="D53" s="546"/>
      <c r="E53" s="807"/>
      <c r="F53" s="2409" t="s">
        <v>3078</v>
      </c>
      <c r="G53" s="3377"/>
      <c r="H53" s="3368"/>
      <c r="I53" s="3331"/>
      <c r="J53" s="3316"/>
      <c r="K53" s="3371"/>
      <c r="L53" s="2426"/>
      <c r="M53" s="1926" t="s">
        <v>3037</v>
      </c>
      <c r="N53" s="1926"/>
      <c r="O53" s="1927"/>
    </row>
    <row r="54" spans="4:15" ht="15.75">
      <c r="D54" s="546"/>
      <c r="E54" s="807"/>
      <c r="F54" s="2409" t="s">
        <v>3108</v>
      </c>
      <c r="G54" s="3378"/>
      <c r="H54" s="3369"/>
      <c r="I54" s="3231"/>
      <c r="J54" s="3372"/>
      <c r="K54" s="3373"/>
      <c r="L54" s="2464"/>
      <c r="M54" s="1929" t="s">
        <v>3768</v>
      </c>
      <c r="N54" s="1929"/>
      <c r="O54" s="2559"/>
    </row>
    <row r="55" spans="4:15" ht="22.5" customHeight="1">
      <c r="D55" s="546"/>
      <c r="E55" s="807"/>
      <c r="F55" s="2409" t="s">
        <v>3109</v>
      </c>
      <c r="G55" s="3376" t="str">
        <f>IF(COUNTIF(L55:L56,$M$3)&gt;0,$M$3,"")</f>
        <v/>
      </c>
      <c r="H55" s="3367" t="s">
        <v>3038</v>
      </c>
      <c r="I55" s="3331" t="s">
        <v>3039</v>
      </c>
      <c r="J55" s="3316"/>
      <c r="K55" s="3371"/>
      <c r="L55" s="2461"/>
      <c r="M55" s="1924" t="s">
        <v>3040</v>
      </c>
      <c r="N55" s="1924"/>
      <c r="O55" s="1925"/>
    </row>
    <row r="56" spans="4:15" ht="22.5" customHeight="1" thickBot="1">
      <c r="D56" s="546"/>
      <c r="E56" s="807"/>
      <c r="F56" s="2409" t="s">
        <v>3110</v>
      </c>
      <c r="G56" s="3377"/>
      <c r="H56" s="3369"/>
      <c r="I56" s="3231"/>
      <c r="J56" s="3372"/>
      <c r="K56" s="3373"/>
      <c r="L56" s="2465"/>
      <c r="M56" s="1928" t="s">
        <v>3768</v>
      </c>
      <c r="N56" s="1929"/>
      <c r="O56" s="2559"/>
    </row>
    <row r="57" spans="4:15" ht="27.75" customHeight="1" thickBot="1">
      <c r="D57" s="546"/>
      <c r="E57" s="807"/>
      <c r="F57" s="2409" t="s">
        <v>3111</v>
      </c>
      <c r="G57" s="2533" t="str">
        <f>IF(L57=0,"",L57)</f>
        <v/>
      </c>
      <c r="H57" s="1903" t="s">
        <v>3041</v>
      </c>
      <c r="I57" s="3379" t="s">
        <v>3042</v>
      </c>
      <c r="J57" s="3348"/>
      <c r="K57" s="3380"/>
      <c r="L57" s="2466"/>
      <c r="M57" s="3347" t="s">
        <v>3720</v>
      </c>
      <c r="N57" s="3348"/>
      <c r="O57" s="3349"/>
    </row>
    <row r="58" spans="4:15" ht="15.75">
      <c r="D58" s="546"/>
      <c r="E58" s="807"/>
      <c r="F58" s="2409" t="s">
        <v>3481</v>
      </c>
      <c r="G58" s="2460">
        <f>COUNTIF(G45:G57,$M$3)</f>
        <v>0</v>
      </c>
      <c r="H58" s="871" t="s">
        <v>3482</v>
      </c>
      <c r="I58" s="1923"/>
      <c r="J58" s="1923"/>
      <c r="K58" s="1923"/>
      <c r="L58" s="1923"/>
      <c r="M58" s="1923"/>
      <c r="N58" s="1923"/>
      <c r="O58" s="2550"/>
    </row>
    <row r="59" spans="4:15">
      <c r="G59"/>
      <c r="H59"/>
      <c r="I59"/>
      <c r="J59"/>
      <c r="K59"/>
      <c r="L59"/>
      <c r="M59"/>
      <c r="N59"/>
      <c r="O59"/>
    </row>
    <row r="60" spans="4:15" ht="15.75">
      <c r="D60" s="542">
        <v>3</v>
      </c>
      <c r="E60" s="551" t="s">
        <v>1291</v>
      </c>
      <c r="F60" s="435"/>
      <c r="G60"/>
      <c r="H60"/>
      <c r="I60"/>
      <c r="J60" t="str">
        <f>IF(OR(F63=0,AND(O62=0,J63=0)),$L$3,"")</f>
        <v/>
      </c>
      <c r="K60"/>
      <c r="L60"/>
      <c r="M60"/>
      <c r="N60"/>
      <c r="O60"/>
    </row>
    <row r="61" spans="4:15" ht="15.75" hidden="1">
      <c r="D61" s="542">
        <v>3.1</v>
      </c>
      <c r="E61" s="551" t="s">
        <v>2513</v>
      </c>
      <c r="F61" s="435"/>
      <c r="G61" s="435"/>
      <c r="H61" s="435"/>
      <c r="I61" s="435"/>
      <c r="J61" s="621"/>
      <c r="K61" s="435"/>
      <c r="L61" s="435"/>
      <c r="M61" s="435"/>
      <c r="N61" s="435"/>
      <c r="O61" s="435"/>
    </row>
    <row r="62" spans="4:15" ht="14.25">
      <c r="D62" s="1477"/>
      <c r="E62" s="795"/>
      <c r="F62" s="1622" t="s">
        <v>2174</v>
      </c>
      <c r="G62" s="737"/>
      <c r="H62" s="559"/>
      <c r="I62" s="559"/>
      <c r="J62" s="559"/>
      <c r="K62" s="559"/>
      <c r="L62" s="559"/>
      <c r="M62" s="559"/>
      <c r="N62" s="561" t="s">
        <v>1141</v>
      </c>
      <c r="O62" s="564">
        <f>重み!M129</f>
        <v>0.5</v>
      </c>
    </row>
    <row r="63" spans="4:15" ht="27" customHeight="1">
      <c r="D63" s="546"/>
      <c r="E63" s="543"/>
      <c r="F63" s="1734">
        <f>ROUNDDOWN(計画書!H37,1)</f>
        <v>3</v>
      </c>
      <c r="G63" s="661" t="s">
        <v>751</v>
      </c>
      <c r="H63" s="1339">
        <f>計画書!G32</f>
        <v>5000</v>
      </c>
      <c r="I63" s="1775" t="s">
        <v>2706</v>
      </c>
      <c r="J63" s="736">
        <f>計画書!G33</f>
        <v>0</v>
      </c>
      <c r="K63" s="1596" t="s">
        <v>1575</v>
      </c>
      <c r="L63" s="736">
        <f>メイン!C64</f>
        <v>0</v>
      </c>
      <c r="M63" s="3416" t="s">
        <v>2846</v>
      </c>
      <c r="N63" s="3417"/>
      <c r="O63" s="3196"/>
    </row>
    <row r="64" spans="4:15" ht="21" customHeight="1">
      <c r="D64" s="546"/>
      <c r="E64" s="543"/>
      <c r="F64" s="732" t="str">
        <f>IF(F63=$F$7,$G$2,IF(ROUNDDOWN(F63,0)=$F$2,$H$2,$G$2))</f>
        <v>　レベル　1</v>
      </c>
      <c r="G64" s="3355" t="s">
        <v>2723</v>
      </c>
      <c r="H64" s="3356"/>
      <c r="I64" s="3355" t="s">
        <v>2724</v>
      </c>
      <c r="J64" s="3356"/>
      <c r="K64" s="3355" t="s">
        <v>2725</v>
      </c>
      <c r="L64" s="3356"/>
      <c r="M64" s="1612" t="s">
        <v>2729</v>
      </c>
      <c r="N64" s="1615" t="s">
        <v>2726</v>
      </c>
      <c r="O64" s="1618">
        <f>ROUNDDOWN(計画書!J35,2)</f>
        <v>1.1000000000000001</v>
      </c>
    </row>
    <row r="65" spans="4:15" ht="21" customHeight="1">
      <c r="D65" s="546"/>
      <c r="E65" s="543"/>
      <c r="F65" s="1597" t="str">
        <f>IF(F63=$F$7,$G$3,IF(ROUNDDOWN(F63,0)=$F$3,$H$3,$G$3))</f>
        <v>　レベル　2</v>
      </c>
      <c r="G65" s="3357"/>
      <c r="H65" s="3358"/>
      <c r="I65" s="3357"/>
      <c r="J65" s="3358"/>
      <c r="K65" s="3357"/>
      <c r="L65" s="3358"/>
      <c r="M65" s="1613" t="s">
        <v>2730</v>
      </c>
      <c r="N65" s="1616" t="s">
        <v>2727</v>
      </c>
      <c r="O65" s="1619">
        <f>ROUNDDOWN(計画書!K35,2)</f>
        <v>1</v>
      </c>
    </row>
    <row r="66" spans="4:15" ht="21" customHeight="1">
      <c r="D66" s="546"/>
      <c r="E66" s="543"/>
      <c r="F66" s="1597" t="str">
        <f>IF(F63=$F$7,$G$4,IF(ROUNDDOWN(F63,0)=$F$4,$H$4,$G$4))</f>
        <v>■レベル　3</v>
      </c>
      <c r="G66" s="3357"/>
      <c r="H66" s="3358"/>
      <c r="I66" s="3357"/>
      <c r="J66" s="3358"/>
      <c r="K66" s="3357"/>
      <c r="L66" s="3358"/>
      <c r="M66" s="1613" t="s">
        <v>2731</v>
      </c>
      <c r="N66" s="1616" t="s">
        <v>2727</v>
      </c>
      <c r="O66" s="1621">
        <f>ROUNDDOWN(計画書!L35,2)</f>
        <v>0.8</v>
      </c>
    </row>
    <row r="67" spans="4:15" ht="21" customHeight="1">
      <c r="D67" s="546"/>
      <c r="E67" s="543"/>
      <c r="F67" s="1597" t="str">
        <f>IF(F63=$F$7,$G$5,IF(ROUNDDOWN(F63,0)=$F$5,$H$5,$G$5))</f>
        <v>　レベル　4</v>
      </c>
      <c r="G67" s="3357"/>
      <c r="H67" s="3358"/>
      <c r="I67" s="3357"/>
      <c r="J67" s="3358"/>
      <c r="K67" s="3357"/>
      <c r="L67" s="3358"/>
      <c r="M67" s="1613" t="s">
        <v>2732</v>
      </c>
      <c r="N67" s="1616" t="s">
        <v>2727</v>
      </c>
      <c r="O67" s="1621">
        <f>ROUNDDOWN(計画書!M35,2)</f>
        <v>0.7</v>
      </c>
    </row>
    <row r="68" spans="4:15" ht="21" customHeight="1">
      <c r="D68" s="546"/>
      <c r="E68" s="543"/>
      <c r="F68" s="1598" t="str">
        <f>IF(F63=$F$7,$G$6,IF(ROUNDDOWN(F63,0)=$F$6,$H$6,$G$6))</f>
        <v>　レベル　5</v>
      </c>
      <c r="G68" s="3359"/>
      <c r="H68" s="3360"/>
      <c r="I68" s="3359"/>
      <c r="J68" s="3360"/>
      <c r="K68" s="3359"/>
      <c r="L68" s="3360"/>
      <c r="M68" s="1614" t="s">
        <v>2733</v>
      </c>
      <c r="N68" s="1617" t="s">
        <v>2728</v>
      </c>
      <c r="O68" s="1620">
        <f>ROUNDDOWN(計画書!N35,2)</f>
        <v>0.6</v>
      </c>
    </row>
    <row r="69" spans="4:15">
      <c r="G69" s="1608" t="s">
        <v>1803</v>
      </c>
      <c r="H69" s="1609" t="s">
        <v>2503</v>
      </c>
      <c r="I69" s="1610"/>
      <c r="J69" s="1610"/>
      <c r="K69" s="1610"/>
      <c r="L69" s="1610"/>
      <c r="M69" s="1610"/>
      <c r="N69" s="1610"/>
      <c r="O69" s="1611"/>
    </row>
    <row r="70" spans="4:15">
      <c r="G70" s="1599" t="s">
        <v>2860</v>
      </c>
      <c r="H70" s="1600"/>
      <c r="I70" s="1600"/>
      <c r="J70" s="1600"/>
      <c r="K70" s="1600"/>
      <c r="L70" s="1600"/>
      <c r="M70" s="1600"/>
      <c r="N70" s="1600"/>
      <c r="O70" s="1601"/>
    </row>
    <row r="71" spans="4:15">
      <c r="G71" s="1602" t="s">
        <v>2859</v>
      </c>
      <c r="H71" s="1603"/>
      <c r="I71" s="1603"/>
      <c r="J71" s="1603"/>
      <c r="K71" s="1603"/>
      <c r="L71" s="1603"/>
      <c r="M71" s="1603"/>
      <c r="N71" s="1603"/>
      <c r="O71" s="1604"/>
    </row>
    <row r="72" spans="4:15">
      <c r="G72" s="1605" t="s">
        <v>2858</v>
      </c>
      <c r="H72" s="1606"/>
      <c r="I72" s="1606"/>
      <c r="J72" s="1606"/>
      <c r="K72" s="1606"/>
      <c r="L72" s="1606"/>
      <c r="M72" s="1606"/>
      <c r="N72" s="1606"/>
      <c r="O72" s="1607"/>
    </row>
    <row r="73" spans="4:15">
      <c r="F73" s="887" t="s">
        <v>3402</v>
      </c>
      <c r="G73" s="2423"/>
      <c r="H73" s="2396"/>
      <c r="I73" s="2396"/>
      <c r="J73" s="2397"/>
      <c r="K73" s="2576" t="s">
        <v>3800</v>
      </c>
      <c r="L73"/>
      <c r="M73"/>
      <c r="N73"/>
      <c r="O73"/>
    </row>
    <row r="74" spans="4:15">
      <c r="D74"/>
      <c r="E74"/>
      <c r="F74" s="2459" t="s">
        <v>3783</v>
      </c>
      <c r="G74" s="2424"/>
      <c r="H74" s="2459" t="s">
        <v>3796</v>
      </c>
      <c r="I74" s="2424"/>
      <c r="J74" s="2459" t="s">
        <v>3810</v>
      </c>
      <c r="K74" s="2424"/>
      <c r="L74" s="2459" t="s">
        <v>3797</v>
      </c>
      <c r="M74" s="2424"/>
      <c r="N74" s="2431" t="s">
        <v>3570</v>
      </c>
      <c r="O74"/>
    </row>
    <row r="75" spans="4:15" ht="14.25" hidden="1">
      <c r="F75" s="1781" t="s">
        <v>2863</v>
      </c>
    </row>
    <row r="76" spans="4:15" ht="15.75" hidden="1">
      <c r="D76" s="542"/>
      <c r="E76" s="551"/>
      <c r="F76" s="542" t="s">
        <v>2565</v>
      </c>
      <c r="G76" s="44"/>
      <c r="H76" s="44"/>
      <c r="I76" s="44"/>
      <c r="J76" s="807"/>
      <c r="K76" s="44"/>
      <c r="L76" s="44"/>
    </row>
    <row r="77" spans="4:15" hidden="1">
      <c r="E77" s="807"/>
      <c r="F77" s="807" t="s">
        <v>2514</v>
      </c>
      <c r="G77" s="44"/>
      <c r="H77" s="44"/>
      <c r="I77" s="44"/>
      <c r="J77" s="44"/>
      <c r="K77" s="44"/>
      <c r="L77" s="44"/>
    </row>
    <row r="78" spans="4:15" hidden="1">
      <c r="E78" s="807"/>
      <c r="F78" s="812" t="e">
        <f>計画書!#REF!</f>
        <v>#REF!</v>
      </c>
      <c r="G78" s="1532" t="s">
        <v>2566</v>
      </c>
      <c r="H78" s="1533"/>
      <c r="I78" s="1533"/>
      <c r="J78" s="1533"/>
      <c r="K78" s="1534">
        <v>1</v>
      </c>
      <c r="L78"/>
    </row>
    <row r="79" spans="4:15" hidden="1">
      <c r="F79" s="44"/>
      <c r="G79" s="1532" t="s">
        <v>2567</v>
      </c>
      <c r="H79" s="1533"/>
      <c r="I79" s="1533"/>
      <c r="J79" s="1533"/>
      <c r="K79" s="1534" t="s">
        <v>2568</v>
      </c>
      <c r="L79"/>
    </row>
    <row r="80" spans="4:15" ht="14.25" hidden="1" thickBot="1">
      <c r="F80" s="44"/>
      <c r="G80" s="543"/>
      <c r="H80" s="543"/>
      <c r="I80" s="543"/>
      <c r="J80" s="543"/>
      <c r="K80" s="1535"/>
      <c r="L80"/>
    </row>
    <row r="81" spans="2:15" ht="14.25" hidden="1" thickBot="1">
      <c r="F81" s="807" t="s">
        <v>2515</v>
      </c>
      <c r="G81" s="44"/>
      <c r="H81"/>
      <c r="I81" s="1536"/>
      <c r="J81" s="44"/>
      <c r="K81" s="44"/>
      <c r="L81" s="44"/>
    </row>
    <row r="82" spans="2:15" hidden="1">
      <c r="F82" s="812" t="e">
        <f>計画書!#REF!</f>
        <v>#REF!</v>
      </c>
      <c r="G82" s="1537" t="s">
        <v>2569</v>
      </c>
      <c r="H82" s="1538" t="s">
        <v>2570</v>
      </c>
      <c r="I82" s="1538" t="s">
        <v>2571</v>
      </c>
      <c r="J82" s="1538" t="s">
        <v>2572</v>
      </c>
      <c r="K82" s="44"/>
      <c r="L82" s="44"/>
    </row>
    <row r="83" spans="2:15" hidden="1">
      <c r="F83" s="44"/>
      <c r="G83" s="1539" t="s">
        <v>2573</v>
      </c>
      <c r="H83" s="1534">
        <v>2</v>
      </c>
      <c r="I83" s="1534">
        <v>1</v>
      </c>
      <c r="J83" s="1534">
        <v>1</v>
      </c>
      <c r="K83" s="44"/>
      <c r="L83" s="44"/>
    </row>
    <row r="84" spans="2:15" hidden="1">
      <c r="F84" s="44"/>
      <c r="G84" s="1539" t="s">
        <v>2574</v>
      </c>
      <c r="H84" s="1534">
        <v>2.5</v>
      </c>
      <c r="I84" s="1534">
        <v>1.5</v>
      </c>
      <c r="J84" s="1534">
        <v>1</v>
      </c>
      <c r="K84" s="44"/>
      <c r="L84" s="44"/>
    </row>
    <row r="85" spans="2:15" hidden="1">
      <c r="F85" s="44"/>
      <c r="G85" s="1539" t="s">
        <v>2575</v>
      </c>
      <c r="H85" s="1534">
        <v>3</v>
      </c>
      <c r="I85" s="1534">
        <v>2</v>
      </c>
      <c r="J85" s="1534">
        <v>1</v>
      </c>
      <c r="K85" s="44"/>
      <c r="L85" s="44"/>
    </row>
    <row r="86" spans="2:15" hidden="1">
      <c r="F86" s="44"/>
      <c r="G86" s="1539" t="s">
        <v>2576</v>
      </c>
      <c r="H86" s="1534">
        <v>3.5</v>
      </c>
      <c r="I86" s="1534">
        <v>2.5</v>
      </c>
      <c r="J86" s="1534">
        <v>1.5</v>
      </c>
      <c r="K86" s="44"/>
      <c r="L86" s="44"/>
    </row>
    <row r="87" spans="2:15" hidden="1">
      <c r="F87" s="44"/>
      <c r="G87" s="1539" t="s">
        <v>2577</v>
      </c>
      <c r="H87" s="1534">
        <v>4</v>
      </c>
      <c r="I87" s="1534">
        <v>3</v>
      </c>
      <c r="J87" s="1534">
        <v>2</v>
      </c>
      <c r="K87" s="44"/>
      <c r="L87" s="44"/>
    </row>
    <row r="88" spans="2:15" hidden="1">
      <c r="F88" s="44"/>
      <c r="G88" s="1539" t="s">
        <v>2578</v>
      </c>
      <c r="H88" s="1534">
        <v>4.5</v>
      </c>
      <c r="I88" s="1534">
        <v>3.5</v>
      </c>
      <c r="J88" s="1534">
        <v>2.5</v>
      </c>
      <c r="K88" s="44"/>
      <c r="L88" s="44"/>
    </row>
    <row r="89" spans="2:15" hidden="1">
      <c r="F89" s="44"/>
      <c r="G89" s="1540">
        <v>4</v>
      </c>
      <c r="H89" s="1534">
        <v>5</v>
      </c>
      <c r="I89" s="1534">
        <v>4</v>
      </c>
      <c r="J89" s="1534">
        <v>3</v>
      </c>
      <c r="K89" s="44"/>
      <c r="L89" s="44"/>
    </row>
    <row r="90" spans="2:15" ht="14.25" hidden="1">
      <c r="F90" s="551" t="s">
        <v>1834</v>
      </c>
      <c r="I90" s="1282"/>
      <c r="J90" s="543"/>
      <c r="K90" s="543"/>
    </row>
    <row r="91" spans="2:15" ht="14.25" hidden="1" thickBot="1">
      <c r="B91" t="s">
        <v>1106</v>
      </c>
      <c r="F91" s="673" t="s">
        <v>644</v>
      </c>
      <c r="G91" s="559"/>
      <c r="H91" s="560"/>
      <c r="I91" s="561" t="s">
        <v>1141</v>
      </c>
      <c r="J91" s="562">
        <v>0.5</v>
      </c>
      <c r="K91" s="674"/>
      <c r="L91" s="674"/>
      <c r="M91" s="674"/>
      <c r="N91" s="674"/>
      <c r="O91" s="571"/>
    </row>
    <row r="92" spans="2:15" ht="14.25" hidden="1" thickBot="1">
      <c r="B92" s="757">
        <v>0</v>
      </c>
      <c r="F92" s="565">
        <v>0</v>
      </c>
      <c r="G92" s="570" t="s">
        <v>1639</v>
      </c>
      <c r="H92" s="570"/>
      <c r="I92" s="570"/>
      <c r="J92" s="570"/>
      <c r="K92" s="570"/>
      <c r="L92" s="570"/>
      <c r="M92" s="571"/>
      <c r="N92" s="661" t="s">
        <v>1103</v>
      </c>
      <c r="O92" s="571"/>
    </row>
    <row r="93" spans="2:15" hidden="1">
      <c r="B93" s="1" t="s">
        <v>2418</v>
      </c>
      <c r="C93" s="1">
        <v>1</v>
      </c>
      <c r="F93" s="801" t="str">
        <f>IF(F92=$F$7,"",IF(ROUNDDOWN(F92,0)=$F$2,$H$2,$G$2))</f>
        <v/>
      </c>
      <c r="G93" s="574" t="s">
        <v>1818</v>
      </c>
      <c r="H93" s="814"/>
      <c r="I93" s="814"/>
      <c r="J93" s="814"/>
      <c r="K93" s="814"/>
      <c r="L93" s="814"/>
      <c r="M93" s="814"/>
      <c r="N93" s="3229"/>
      <c r="O93" s="3390"/>
    </row>
    <row r="94" spans="2:15" hidden="1">
      <c r="B94" s="1">
        <v>2</v>
      </c>
      <c r="C94" s="1">
        <v>3</v>
      </c>
      <c r="F94" s="802" t="str">
        <f>IF(F92=$F$7,"",IF(ROUNDDOWN(F92,0)=$F$3,$H$3,$G$3))</f>
        <v/>
      </c>
      <c r="G94" s="580" t="s">
        <v>1848</v>
      </c>
      <c r="H94" s="814"/>
      <c r="I94" s="814"/>
      <c r="J94" s="814"/>
      <c r="K94" s="814"/>
      <c r="L94" s="814"/>
      <c r="M94" s="814"/>
      <c r="N94" s="3391"/>
      <c r="O94" s="3392"/>
    </row>
    <row r="95" spans="2:15" hidden="1">
      <c r="B95" s="1">
        <v>3</v>
      </c>
      <c r="C95" s="1">
        <v>3</v>
      </c>
      <c r="F95" s="802" t="str">
        <f>IF(F92=$F$7,"",IF(ROUNDDOWN(F92,0)=$F$4,$H$4,$G$4))</f>
        <v/>
      </c>
      <c r="G95" s="580" t="s">
        <v>1849</v>
      </c>
      <c r="H95" s="814"/>
      <c r="I95" s="814"/>
      <c r="J95" s="814"/>
      <c r="K95" s="814"/>
      <c r="L95" s="814"/>
      <c r="M95" s="814"/>
      <c r="N95" s="3391"/>
      <c r="O95" s="3392"/>
    </row>
    <row r="96" spans="2:15" hidden="1">
      <c r="B96" s="1">
        <v>4</v>
      </c>
      <c r="C96" s="1">
        <v>4</v>
      </c>
      <c r="F96" s="802" t="str">
        <f>IF(F92=$F$7,"",IF(ROUNDDOWN(F92,0)=$F$5,$H$5,$G$5))</f>
        <v/>
      </c>
      <c r="G96" s="580" t="s">
        <v>1850</v>
      </c>
      <c r="H96" s="814"/>
      <c r="I96" s="814"/>
      <c r="J96" s="814"/>
      <c r="K96" s="814"/>
      <c r="L96" s="814"/>
      <c r="M96" s="814"/>
      <c r="N96" s="3391"/>
      <c r="O96" s="3392"/>
    </row>
    <row r="97" spans="2:15" hidden="1">
      <c r="B97" s="1">
        <v>5</v>
      </c>
      <c r="C97" s="1">
        <v>5</v>
      </c>
      <c r="F97" s="803" t="str">
        <f>IF(F92=$F$7,"",IF(ROUNDDOWN(F92,0)=$F$6,$H$6,$G$6))</f>
        <v/>
      </c>
      <c r="G97" s="591" t="s">
        <v>1978</v>
      </c>
      <c r="H97" s="592"/>
      <c r="I97" s="592"/>
      <c r="J97" s="592"/>
      <c r="K97" s="592"/>
      <c r="L97" s="592"/>
      <c r="M97" s="592"/>
      <c r="N97" s="3393"/>
      <c r="O97" s="3394"/>
    </row>
    <row r="98" spans="2:15" hidden="1">
      <c r="B98" s="594">
        <v>0</v>
      </c>
      <c r="C98" s="594">
        <v>0</v>
      </c>
    </row>
    <row r="99" spans="2:15" ht="14.25" hidden="1">
      <c r="F99" s="551" t="s">
        <v>1979</v>
      </c>
      <c r="G99" s="543"/>
      <c r="H99" s="543" t="s">
        <v>1138</v>
      </c>
      <c r="I99" s="543"/>
    </row>
    <row r="101" spans="2:15" ht="15.75" hidden="1">
      <c r="F101" s="551" t="s">
        <v>1980</v>
      </c>
      <c r="G101" s="811"/>
      <c r="H101" s="551"/>
      <c r="I101" s="543"/>
      <c r="K101" s="543"/>
    </row>
    <row r="102" spans="2:15" ht="14.25" hidden="1" thickBot="1">
      <c r="B102" t="s">
        <v>1106</v>
      </c>
      <c r="F102" s="673" t="s">
        <v>644</v>
      </c>
      <c r="G102" s="559"/>
      <c r="H102" s="560"/>
      <c r="I102" s="561" t="s">
        <v>1141</v>
      </c>
      <c r="J102" s="562">
        <v>0.5</v>
      </c>
      <c r="K102" s="674"/>
      <c r="L102" s="674"/>
      <c r="M102" s="674"/>
      <c r="N102" s="674"/>
      <c r="O102" s="571"/>
    </row>
    <row r="103" spans="2:15" ht="14.25" hidden="1" thickBot="1">
      <c r="B103" s="757">
        <v>0</v>
      </c>
      <c r="F103" s="565">
        <v>0</v>
      </c>
      <c r="G103" s="570" t="s">
        <v>1639</v>
      </c>
      <c r="H103" s="570"/>
      <c r="I103" s="570"/>
      <c r="J103" s="570"/>
      <c r="K103" s="570"/>
      <c r="L103" s="570"/>
      <c r="M103" s="571"/>
      <c r="N103" s="661" t="s">
        <v>1103</v>
      </c>
      <c r="O103" s="571"/>
    </row>
    <row r="104" spans="2:15" hidden="1">
      <c r="B104" s="1" t="s">
        <v>2418</v>
      </c>
      <c r="C104" s="1">
        <v>1</v>
      </c>
      <c r="F104" s="801" t="str">
        <f>IF(F103=$F$7,"",IF(ROUNDDOWN(F103,0)=$F$2,$H$2,$G$2))</f>
        <v/>
      </c>
      <c r="G104" s="574" t="s">
        <v>1818</v>
      </c>
      <c r="H104" s="814"/>
      <c r="I104" s="814"/>
      <c r="J104" s="814"/>
      <c r="K104" s="814"/>
      <c r="L104" s="814"/>
      <c r="M104" s="814"/>
      <c r="N104" s="3229" t="s">
        <v>1851</v>
      </c>
      <c r="O104" s="3390"/>
    </row>
    <row r="105" spans="2:15" hidden="1">
      <c r="B105" s="1">
        <v>2</v>
      </c>
      <c r="C105" s="1">
        <v>3</v>
      </c>
      <c r="F105" s="802" t="str">
        <f>IF(F103=$F$7,"",IF(ROUNDDOWN(F103,0)=$F$3,$H$3,$G$3))</f>
        <v/>
      </c>
      <c r="G105" s="580" t="s">
        <v>1852</v>
      </c>
      <c r="H105" s="814"/>
      <c r="I105" s="814"/>
      <c r="J105" s="814"/>
      <c r="K105" s="814"/>
      <c r="L105" s="814"/>
      <c r="M105" s="814"/>
      <c r="N105" s="3391"/>
      <c r="O105" s="3392"/>
    </row>
    <row r="106" spans="2:15" hidden="1">
      <c r="B106" s="1">
        <v>3</v>
      </c>
      <c r="C106" s="1">
        <v>3</v>
      </c>
      <c r="F106" s="802" t="str">
        <f>IF(F103=$F$7,"",IF(ROUNDDOWN(F103,0)=$F$4,$H$4,$G$4))</f>
        <v/>
      </c>
      <c r="G106" s="580" t="s">
        <v>1981</v>
      </c>
      <c r="H106" s="814"/>
      <c r="I106" s="814"/>
      <c r="J106" s="814"/>
      <c r="K106" s="814"/>
      <c r="L106" s="814"/>
      <c r="M106" s="814"/>
      <c r="N106" s="3391"/>
      <c r="O106" s="3392"/>
    </row>
    <row r="107" spans="2:15" hidden="1">
      <c r="B107" s="1">
        <v>4</v>
      </c>
      <c r="C107" s="1">
        <v>4</v>
      </c>
      <c r="F107" s="802" t="str">
        <f>IF(F103=$F$7,"",IF(ROUNDDOWN(F103,0)=$F$5,$H$5,$G$5))</f>
        <v/>
      </c>
      <c r="G107" s="580" t="s">
        <v>1853</v>
      </c>
      <c r="H107" s="814"/>
      <c r="I107" s="814"/>
      <c r="J107" s="814"/>
      <c r="K107" s="814"/>
      <c r="L107" s="814"/>
      <c r="M107" s="814"/>
      <c r="N107" s="3391"/>
      <c r="O107" s="3392"/>
    </row>
    <row r="108" spans="2:15" hidden="1">
      <c r="B108" s="1">
        <v>5</v>
      </c>
      <c r="C108" s="1">
        <v>5</v>
      </c>
      <c r="F108" s="803" t="str">
        <f>IF(F103=$F$7,"",IF(ROUNDDOWN(F103,0)=$F$6,$H$6,$G$6))</f>
        <v/>
      </c>
      <c r="G108" s="591" t="s">
        <v>1854</v>
      </c>
      <c r="H108" s="592"/>
      <c r="I108" s="592"/>
      <c r="J108" s="592"/>
      <c r="K108" s="592"/>
      <c r="L108" s="592"/>
      <c r="M108" s="592"/>
      <c r="N108" s="3393"/>
      <c r="O108" s="3394"/>
    </row>
    <row r="109" spans="2:15" hidden="1">
      <c r="B109" s="594">
        <v>0</v>
      </c>
      <c r="C109" s="594">
        <v>0</v>
      </c>
    </row>
    <row r="110" spans="2:15" ht="14.25" hidden="1">
      <c r="F110" s="551" t="s">
        <v>1982</v>
      </c>
      <c r="H110" s="543" t="s">
        <v>1138</v>
      </c>
      <c r="I110" s="543"/>
    </row>
    <row r="111" spans="2:15" hidden="1">
      <c r="I111" s="543"/>
    </row>
    <row r="112" spans="2:15" ht="14.25" hidden="1">
      <c r="F112" s="551" t="s">
        <v>1983</v>
      </c>
      <c r="H112" s="543" t="s">
        <v>1138</v>
      </c>
      <c r="I112" s="543"/>
    </row>
    <row r="113" spans="2:16"/>
    <row r="114" spans="2:16" ht="15.75">
      <c r="D114" s="542">
        <v>4</v>
      </c>
      <c r="E114" s="551" t="s">
        <v>2162</v>
      </c>
      <c r="F114" s="551"/>
      <c r="G114"/>
      <c r="H114"/>
      <c r="I114"/>
      <c r="J114"/>
      <c r="K114"/>
      <c r="L114"/>
      <c r="M114"/>
      <c r="N114"/>
      <c r="O114"/>
    </row>
    <row r="115" spans="2:16" ht="15.75">
      <c r="D115" s="542">
        <v>4.0999999999999996</v>
      </c>
      <c r="E115" s="551" t="s">
        <v>849</v>
      </c>
      <c r="F115" s="551"/>
      <c r="G115"/>
      <c r="H115"/>
      <c r="I115"/>
      <c r="J115" t="str">
        <f>IF(OR(F117=0,AND(J116=0,O116=0)),$L$3,"")</f>
        <v/>
      </c>
      <c r="K115"/>
      <c r="L115"/>
      <c r="M115"/>
      <c r="N115"/>
      <c r="O115"/>
    </row>
    <row r="116" spans="2:16" ht="15" thickBot="1">
      <c r="D116" s="1477"/>
      <c r="E116" s="795"/>
      <c r="F116" s="673"/>
      <c r="G116" s="559"/>
      <c r="H116" s="560"/>
      <c r="I116" s="561" t="s">
        <v>1141</v>
      </c>
      <c r="J116" s="562">
        <f>重み!M140</f>
        <v>0.5</v>
      </c>
      <c r="K116" s="673"/>
      <c r="L116" s="559"/>
      <c r="M116" s="560"/>
      <c r="N116" s="561" t="s">
        <v>1141</v>
      </c>
      <c r="O116" s="564">
        <f>重み!M143</f>
        <v>0</v>
      </c>
    </row>
    <row r="117" spans="2:16" ht="27" customHeight="1" thickBot="1">
      <c r="D117" s="546"/>
      <c r="E117" s="543"/>
      <c r="F117" s="565">
        <v>3</v>
      </c>
      <c r="G117" s="1350" t="s">
        <v>2163</v>
      </c>
      <c r="H117" s="806"/>
      <c r="I117" s="806"/>
      <c r="J117" s="806"/>
      <c r="K117" s="565">
        <v>3</v>
      </c>
      <c r="L117" s="569" t="s">
        <v>1575</v>
      </c>
      <c r="M117" s="570"/>
      <c r="N117" s="570"/>
      <c r="O117" s="571"/>
    </row>
    <row r="118" spans="2:16" ht="21" customHeight="1">
      <c r="B118" s="1" t="s">
        <v>2418</v>
      </c>
      <c r="C118" s="1" t="s">
        <v>2418</v>
      </c>
      <c r="D118" s="546"/>
      <c r="E118" s="543"/>
      <c r="F118" s="572" t="str">
        <f>IF(F117=$F$7,$G$2,IF(ROUNDDOWN(F117,0)=$F$2,$H$2,$G$2))</f>
        <v>　レベル　1</v>
      </c>
      <c r="G118" s="574" t="s">
        <v>1520</v>
      </c>
      <c r="H118" s="1338"/>
      <c r="I118" s="1338"/>
      <c r="J118" s="1338"/>
      <c r="K118" s="572" t="str">
        <f>IF(K117=$F$7,$G$2,IF(ROUNDDOWN(K117,0)=$F$2,$H$2,$G$2))</f>
        <v>　レベル　1</v>
      </c>
      <c r="L118" s="667" t="s">
        <v>1520</v>
      </c>
      <c r="M118" s="668"/>
      <c r="N118" s="668"/>
      <c r="O118" s="1343"/>
    </row>
    <row r="119" spans="2:16" ht="21" customHeight="1">
      <c r="B119" s="1" t="s">
        <v>2418</v>
      </c>
      <c r="C119" s="1" t="s">
        <v>2418</v>
      </c>
      <c r="D119" s="546"/>
      <c r="E119" s="543"/>
      <c r="F119" s="693" t="str">
        <f>IF(F117=$F$7,$G$3,IF(ROUNDDOWN(F117,0)=$F$3,$H$3,$G$3))</f>
        <v>　レベル　2</v>
      </c>
      <c r="G119" s="580" t="s">
        <v>1520</v>
      </c>
      <c r="H119" s="814"/>
      <c r="I119" s="814"/>
      <c r="J119" s="814"/>
      <c r="K119" s="693" t="str">
        <f>IF(K117=$F$7,$G$3,IF(ROUNDDOWN(K117,0)=$F$3,$H$3,$G$3))</f>
        <v>　レベル　2</v>
      </c>
      <c r="L119" s="580" t="s">
        <v>1520</v>
      </c>
      <c r="M119" s="581"/>
      <c r="N119" s="581"/>
      <c r="O119" s="582"/>
    </row>
    <row r="120" spans="2:16" ht="45" customHeight="1">
      <c r="B120" s="1">
        <v>3</v>
      </c>
      <c r="C120" s="1">
        <v>3</v>
      </c>
      <c r="D120" s="546"/>
      <c r="E120" s="543"/>
      <c r="F120" s="693" t="str">
        <f>IF(F117=$F$7,$G$4,IF(ROUNDDOWN(F117,0)=$F$4,$H$4,$G$4))</f>
        <v>■レベル　3</v>
      </c>
      <c r="G120" s="3191" t="s">
        <v>1835</v>
      </c>
      <c r="H120" s="3353"/>
      <c r="I120" s="3353"/>
      <c r="J120" s="3354"/>
      <c r="K120" s="693" t="str">
        <f>IF(K117=$F$7,$G$4,IF(ROUNDDOWN(K117,0)=$F$4,$H$4,$G$4))</f>
        <v>■レベル　3</v>
      </c>
      <c r="L120" s="580" t="s">
        <v>159</v>
      </c>
      <c r="M120" s="581"/>
      <c r="N120" s="581"/>
      <c r="O120" s="582"/>
    </row>
    <row r="121" spans="2:16" ht="45" customHeight="1">
      <c r="B121" s="1">
        <v>4</v>
      </c>
      <c r="C121" s="1">
        <v>4</v>
      </c>
      <c r="D121" s="546"/>
      <c r="E121" s="543"/>
      <c r="F121" s="693" t="str">
        <f>IF(F117=$F$7,$G$5,IF(ROUNDDOWN(F117,0)=$F$5,$H$5,$G$5))</f>
        <v>　レベル　4</v>
      </c>
      <c r="G121" s="3191" t="s">
        <v>162</v>
      </c>
      <c r="H121" s="3353"/>
      <c r="I121" s="3353"/>
      <c r="J121" s="3354"/>
      <c r="K121" s="693" t="str">
        <f>IF(K117=$F$7,$G$5,IF(ROUNDDOWN(K117,0)=$F$5,$H$5,$G$5))</f>
        <v>　レベル　4</v>
      </c>
      <c r="L121" s="3157" t="s">
        <v>160</v>
      </c>
      <c r="M121" s="3174"/>
      <c r="N121" s="3174"/>
      <c r="O121" s="3201"/>
    </row>
    <row r="122" spans="2:16" ht="45" customHeight="1">
      <c r="B122" s="1">
        <v>5</v>
      </c>
      <c r="C122" s="1">
        <v>5</v>
      </c>
      <c r="D122" s="546"/>
      <c r="E122" s="543"/>
      <c r="F122" s="587" t="str">
        <f>IF(F117=$F$7,$G$6,IF(ROUNDDOWN(F117,0)=$F$6,$H$6,$G$6))</f>
        <v>　レベル　5</v>
      </c>
      <c r="G122" s="3155" t="s">
        <v>852</v>
      </c>
      <c r="H122" s="3242"/>
      <c r="I122" s="3242"/>
      <c r="J122" s="3243"/>
      <c r="K122" s="587" t="str">
        <f>IF(K117=$F$7,$G$6,IF(ROUNDDOWN(K117,0)=$F$6,$H$6,$G$6))</f>
        <v>　レベル　5</v>
      </c>
      <c r="L122" s="3155" t="s">
        <v>161</v>
      </c>
      <c r="M122" s="3242"/>
      <c r="N122" s="3242"/>
      <c r="O122" s="3243"/>
    </row>
    <row r="123" spans="2:16" ht="15.75">
      <c r="B123" s="594">
        <v>0</v>
      </c>
      <c r="C123" s="594">
        <v>0</v>
      </c>
      <c r="D123" s="546"/>
      <c r="E123" s="543"/>
      <c r="F123" s="887" t="s">
        <v>3402</v>
      </c>
      <c r="G123" s="2423"/>
      <c r="H123" s="2396"/>
      <c r="I123" s="2396"/>
      <c r="J123" s="2397"/>
      <c r="K123" s="887" t="s">
        <v>3402</v>
      </c>
      <c r="L123" s="2423"/>
      <c r="M123" s="2396"/>
      <c r="N123" s="2396"/>
      <c r="O123" s="2397"/>
      <c r="P123" s="2459"/>
    </row>
    <row r="124" spans="2:16" ht="10.5" customHeight="1">
      <c r="D124" s="546"/>
      <c r="E124" s="543"/>
      <c r="F124" s="433"/>
      <c r="G124" s="549" t="s">
        <v>850</v>
      </c>
      <c r="H124" s="433"/>
      <c r="I124" s="433"/>
      <c r="J124" s="433"/>
      <c r="K124" s="433"/>
      <c r="L124" s="433"/>
      <c r="M124" s="433"/>
      <c r="N124" s="433"/>
      <c r="O124" s="433"/>
    </row>
    <row r="125" spans="2:16" ht="10.5" customHeight="1">
      <c r="D125" s="546"/>
      <c r="E125" s="543"/>
      <c r="F125" s="433"/>
      <c r="G125" s="549" t="s">
        <v>851</v>
      </c>
      <c r="H125" s="433"/>
      <c r="I125" s="433"/>
      <c r="J125" s="433"/>
      <c r="K125" s="433"/>
      <c r="L125" s="433"/>
      <c r="M125" s="433"/>
      <c r="N125" s="433"/>
      <c r="O125" s="433"/>
    </row>
    <row r="126" spans="2:16" ht="18.75" customHeight="1">
      <c r="D126" s="546"/>
      <c r="E126" s="543"/>
      <c r="F126" s="433" t="s">
        <v>2422</v>
      </c>
      <c r="G126" s="433"/>
      <c r="H126" s="433"/>
      <c r="I126" s="433"/>
      <c r="J126" s="433"/>
      <c r="K126" s="433"/>
      <c r="L126" s="433"/>
      <c r="M126" s="433"/>
      <c r="N126" s="433"/>
      <c r="O126" s="433"/>
    </row>
    <row r="127" spans="2:16" ht="16.5" customHeight="1">
      <c r="D127" s="546"/>
      <c r="E127" s="543"/>
      <c r="F127" s="3395" t="s">
        <v>2423</v>
      </c>
      <c r="G127" s="3396"/>
      <c r="H127" s="818" t="s">
        <v>2424</v>
      </c>
      <c r="I127" s="819"/>
      <c r="J127" s="818" t="s">
        <v>2425</v>
      </c>
      <c r="K127" s="819"/>
      <c r="L127" s="819"/>
      <c r="M127" s="820"/>
      <c r="N127" s="821" t="s">
        <v>2426</v>
      </c>
      <c r="O127" s="822"/>
    </row>
    <row r="128" spans="2:16" ht="16.5" customHeight="1">
      <c r="D128" s="546"/>
      <c r="E128" s="543"/>
      <c r="F128" s="3352">
        <v>1</v>
      </c>
      <c r="G128" s="3352" t="s">
        <v>2427</v>
      </c>
      <c r="H128" s="824" t="s">
        <v>2428</v>
      </c>
      <c r="I128" s="825"/>
      <c r="J128" s="824" t="s">
        <v>348</v>
      </c>
      <c r="K128" s="825"/>
      <c r="L128" s="825"/>
      <c r="M128" s="826"/>
      <c r="N128" s="824"/>
      <c r="O128" s="826"/>
    </row>
    <row r="129" spans="4:15" ht="16.5" customHeight="1">
      <c r="D129" s="546"/>
      <c r="E129" s="543"/>
      <c r="F129" s="3352"/>
      <c r="G129" s="3352"/>
      <c r="H129" s="824" t="s">
        <v>2430</v>
      </c>
      <c r="I129" s="825"/>
      <c r="J129" s="824" t="s">
        <v>2431</v>
      </c>
      <c r="K129" s="825"/>
      <c r="L129" s="825"/>
      <c r="M129" s="826"/>
      <c r="N129" s="824" t="s">
        <v>2432</v>
      </c>
      <c r="O129" s="826"/>
    </row>
    <row r="130" spans="4:15" ht="16.5" customHeight="1">
      <c r="D130" s="546"/>
      <c r="E130" s="543"/>
      <c r="F130" s="3352"/>
      <c r="G130" s="3352"/>
      <c r="H130" s="824" t="s">
        <v>2433</v>
      </c>
      <c r="I130" s="825"/>
      <c r="J130" s="824" t="s">
        <v>2272</v>
      </c>
      <c r="K130" s="825"/>
      <c r="L130" s="825"/>
      <c r="M130" s="826"/>
      <c r="N130" s="824"/>
      <c r="O130" s="826"/>
    </row>
    <row r="131" spans="4:15" ht="16.5" customHeight="1">
      <c r="D131" s="546"/>
      <c r="E131" s="543"/>
      <c r="F131" s="3397">
        <v>2</v>
      </c>
      <c r="G131" s="3397" t="s">
        <v>1058</v>
      </c>
      <c r="H131" s="824" t="s">
        <v>2273</v>
      </c>
      <c r="I131" s="825"/>
      <c r="J131" s="824" t="s">
        <v>2274</v>
      </c>
      <c r="K131" s="825"/>
      <c r="L131" s="825"/>
      <c r="M131" s="826"/>
      <c r="N131" s="824"/>
      <c r="O131" s="826"/>
    </row>
    <row r="132" spans="4:15" ht="16.5" customHeight="1">
      <c r="D132" s="546"/>
      <c r="E132" s="543"/>
      <c r="F132" s="3398"/>
      <c r="G132" s="3398"/>
      <c r="H132" s="824" t="s">
        <v>2275</v>
      </c>
      <c r="I132" s="825"/>
      <c r="J132" s="824" t="s">
        <v>2276</v>
      </c>
      <c r="K132" s="825"/>
      <c r="L132" s="825"/>
      <c r="M132" s="826"/>
      <c r="N132" s="824"/>
      <c r="O132" s="826"/>
    </row>
    <row r="133" spans="4:15" ht="16.5" customHeight="1">
      <c r="D133" s="546"/>
      <c r="E133" s="543"/>
      <c r="F133" s="3398"/>
      <c r="G133" s="3398"/>
      <c r="H133" s="824" t="s">
        <v>146</v>
      </c>
      <c r="I133" s="825"/>
      <c r="J133" s="824" t="s">
        <v>2276</v>
      </c>
      <c r="K133" s="825"/>
      <c r="L133" s="825"/>
      <c r="M133" s="826"/>
      <c r="N133" s="824"/>
      <c r="O133" s="826"/>
    </row>
    <row r="134" spans="4:15" ht="16.5" customHeight="1">
      <c r="D134" s="546"/>
      <c r="E134" s="543"/>
      <c r="F134" s="3399"/>
      <c r="G134" s="3399"/>
      <c r="H134" s="824" t="s">
        <v>1400</v>
      </c>
      <c r="I134" s="825"/>
      <c r="J134" s="824" t="s">
        <v>1401</v>
      </c>
      <c r="K134" s="825"/>
      <c r="L134" s="825"/>
      <c r="M134" s="826"/>
      <c r="N134" s="824"/>
      <c r="O134" s="826"/>
    </row>
    <row r="135" spans="4:15" ht="16.5" customHeight="1">
      <c r="D135" s="546"/>
      <c r="E135" s="543"/>
      <c r="F135" s="823">
        <v>3</v>
      </c>
      <c r="G135" s="823" t="s">
        <v>1059</v>
      </c>
      <c r="H135" s="824" t="s">
        <v>1402</v>
      </c>
      <c r="I135" s="825"/>
      <c r="J135" s="824"/>
      <c r="K135" s="825"/>
      <c r="L135" s="825"/>
      <c r="M135" s="826"/>
      <c r="N135" s="824"/>
      <c r="O135" s="826"/>
    </row>
    <row r="136" spans="4:15" ht="16.5" customHeight="1">
      <c r="D136" s="546"/>
      <c r="E136" s="543"/>
      <c r="F136" s="823">
        <v>4</v>
      </c>
      <c r="G136" s="823" t="s">
        <v>1060</v>
      </c>
      <c r="H136" s="824" t="s">
        <v>1403</v>
      </c>
      <c r="I136" s="825"/>
      <c r="J136" s="824" t="s">
        <v>1404</v>
      </c>
      <c r="K136" s="825"/>
      <c r="L136" s="825"/>
      <c r="M136" s="826"/>
      <c r="N136" s="824"/>
      <c r="O136" s="826"/>
    </row>
    <row r="137" spans="4:15" ht="16.5" customHeight="1">
      <c r="D137" s="546"/>
      <c r="E137" s="543"/>
      <c r="F137" s="3352">
        <v>5</v>
      </c>
      <c r="G137" s="3352" t="s">
        <v>1061</v>
      </c>
      <c r="H137" s="824" t="s">
        <v>2428</v>
      </c>
      <c r="I137" s="825"/>
      <c r="J137" s="824" t="s">
        <v>2429</v>
      </c>
      <c r="K137" s="825"/>
      <c r="L137" s="825"/>
      <c r="M137" s="826"/>
      <c r="N137" s="824"/>
      <c r="O137" s="826"/>
    </row>
    <row r="138" spans="4:15" ht="16.5" customHeight="1">
      <c r="D138" s="546"/>
      <c r="E138" s="543"/>
      <c r="F138" s="3352"/>
      <c r="G138" s="3352"/>
      <c r="H138" s="824" t="s">
        <v>2430</v>
      </c>
      <c r="I138" s="825"/>
      <c r="J138" s="824" t="s">
        <v>2431</v>
      </c>
      <c r="K138" s="825"/>
      <c r="L138" s="825"/>
      <c r="M138" s="826"/>
      <c r="N138" s="824"/>
      <c r="O138" s="826"/>
    </row>
    <row r="139" spans="4:15" ht="16.5" customHeight="1">
      <c r="D139" s="546"/>
      <c r="E139" s="543"/>
      <c r="F139" s="3352"/>
      <c r="G139" s="3352"/>
      <c r="H139" s="824" t="s">
        <v>2433</v>
      </c>
      <c r="I139" s="825"/>
      <c r="J139" s="824" t="s">
        <v>2272</v>
      </c>
      <c r="K139" s="825"/>
      <c r="L139" s="825"/>
      <c r="M139" s="826"/>
      <c r="N139" s="824"/>
      <c r="O139" s="826"/>
    </row>
    <row r="140" spans="4:15" ht="16.5" customHeight="1">
      <c r="D140" s="546"/>
      <c r="E140" s="543"/>
      <c r="F140" s="823">
        <v>6</v>
      </c>
      <c r="G140" s="823" t="s">
        <v>349</v>
      </c>
      <c r="H140" s="824" t="s">
        <v>350</v>
      </c>
      <c r="I140" s="825"/>
      <c r="J140" s="824" t="s">
        <v>351</v>
      </c>
      <c r="K140" s="825"/>
      <c r="L140" s="825"/>
      <c r="M140" s="826"/>
      <c r="N140" s="824"/>
      <c r="O140" s="826"/>
    </row>
    <row r="141" spans="4:15" ht="16.5" customHeight="1">
      <c r="D141" s="546"/>
      <c r="E141" s="543"/>
      <c r="F141" s="3352">
        <v>7</v>
      </c>
      <c r="G141" s="3352" t="s">
        <v>1405</v>
      </c>
      <c r="H141" s="824" t="s">
        <v>352</v>
      </c>
      <c r="I141" s="825"/>
      <c r="J141" s="824" t="s">
        <v>353</v>
      </c>
      <c r="K141" s="825"/>
      <c r="L141" s="825"/>
      <c r="M141" s="826"/>
      <c r="N141" s="824"/>
      <c r="O141" s="826"/>
    </row>
    <row r="142" spans="4:15" ht="16.5" customHeight="1">
      <c r="D142" s="546"/>
      <c r="E142" s="543"/>
      <c r="F142" s="3352"/>
      <c r="G142" s="3352"/>
      <c r="H142" s="824" t="s">
        <v>1406</v>
      </c>
      <c r="I142" s="825"/>
      <c r="J142" s="824" t="s">
        <v>354</v>
      </c>
      <c r="K142" s="825"/>
      <c r="L142" s="825"/>
      <c r="M142" s="826"/>
      <c r="N142" s="824"/>
      <c r="O142" s="826"/>
    </row>
    <row r="143" spans="4:15" ht="16.5" customHeight="1">
      <c r="D143" s="546"/>
      <c r="E143" s="543"/>
      <c r="F143" s="3352"/>
      <c r="G143" s="3352"/>
      <c r="H143" s="824" t="s">
        <v>1407</v>
      </c>
      <c r="I143" s="825"/>
      <c r="J143" s="824" t="s">
        <v>355</v>
      </c>
      <c r="K143" s="825"/>
      <c r="L143" s="825"/>
      <c r="M143" s="826"/>
      <c r="N143" s="824"/>
      <c r="O143" s="826"/>
    </row>
    <row r="144" spans="4:15" ht="16.5" customHeight="1">
      <c r="D144" s="546"/>
      <c r="E144" s="543"/>
      <c r="F144" s="3400"/>
      <c r="G144" s="3400"/>
      <c r="H144" s="824" t="s">
        <v>301</v>
      </c>
      <c r="I144" s="825"/>
      <c r="J144" s="824" t="s">
        <v>2855</v>
      </c>
      <c r="K144" s="825"/>
      <c r="L144" s="825"/>
      <c r="M144" s="826"/>
      <c r="N144" s="824"/>
      <c r="O144" s="826"/>
    </row>
    <row r="145" spans="2:16" ht="18" customHeight="1">
      <c r="D145" s="546"/>
      <c r="E145" s="433"/>
      <c r="F145" s="433"/>
      <c r="G145" s="433" t="s">
        <v>611</v>
      </c>
      <c r="H145" s="433"/>
      <c r="I145" s="433"/>
      <c r="J145" s="433"/>
      <c r="K145" s="433"/>
      <c r="L145" s="433"/>
      <c r="M145" s="433"/>
      <c r="N145" s="433"/>
      <c r="O145" s="433"/>
    </row>
    <row r="146" spans="2:16" ht="18" customHeight="1">
      <c r="D146" s="542">
        <v>4.2</v>
      </c>
      <c r="E146" s="551" t="s">
        <v>856</v>
      </c>
      <c r="F146" s="900"/>
      <c r="G146"/>
      <c r="H146"/>
      <c r="I146"/>
      <c r="J146" t="str">
        <f>IF(OR(F148=0,AND(J147=0,O147=0)),$L$3,"")</f>
        <v/>
      </c>
      <c r="K146"/>
      <c r="L146"/>
      <c r="M146"/>
      <c r="N146"/>
      <c r="O146"/>
    </row>
    <row r="147" spans="2:16" ht="15" thickBot="1">
      <c r="D147" s="1477"/>
      <c r="E147" s="795"/>
      <c r="F147" s="673"/>
      <c r="G147" s="559"/>
      <c r="H147" s="560"/>
      <c r="I147" s="561" t="s">
        <v>1141</v>
      </c>
      <c r="J147" s="562">
        <f>重み!M141</f>
        <v>0.5</v>
      </c>
      <c r="K147" s="673"/>
      <c r="L147" s="559"/>
      <c r="M147" s="560"/>
      <c r="N147" s="561" t="s">
        <v>1141</v>
      </c>
      <c r="O147" s="564">
        <f>重み!M144</f>
        <v>0</v>
      </c>
    </row>
    <row r="148" spans="2:16" ht="25.5" customHeight="1" thickBot="1">
      <c r="D148" s="546"/>
      <c r="E148" s="543"/>
      <c r="F148" s="565">
        <v>3</v>
      </c>
      <c r="G148" s="570" t="s">
        <v>2163</v>
      </c>
      <c r="H148" s="570"/>
      <c r="I148" s="570"/>
      <c r="J148" s="570"/>
      <c r="K148" s="565">
        <v>3</v>
      </c>
      <c r="L148" s="569" t="s">
        <v>1575</v>
      </c>
      <c r="M148" s="570"/>
      <c r="N148" s="570"/>
      <c r="O148" s="571"/>
    </row>
    <row r="149" spans="2:16" ht="21" customHeight="1">
      <c r="B149" s="1">
        <v>1</v>
      </c>
      <c r="C149" s="1">
        <v>1</v>
      </c>
      <c r="D149" s="546"/>
      <c r="E149" s="543"/>
      <c r="F149" s="577" t="str">
        <f>IF(F148=$F$7,$G$2,IF(AND($O$9=$O$3,ROUNDDOWN(F148,0)=$F$2),$H$2,$G$2))</f>
        <v>　レベル　1</v>
      </c>
      <c r="G149" s="667" t="s">
        <v>677</v>
      </c>
      <c r="H149" s="814"/>
      <c r="I149" s="814"/>
      <c r="J149" s="814"/>
      <c r="K149" s="572" t="str">
        <f>IF(K148=$F$7,$G$2,IF(ROUNDDOWN(K148,0)=$F$2,$H$2,$G$2))</f>
        <v>　レベル　1</v>
      </c>
      <c r="L149" s="667" t="s">
        <v>1331</v>
      </c>
      <c r="M149" s="668"/>
      <c r="N149" s="668"/>
      <c r="O149" s="1343"/>
    </row>
    <row r="150" spans="2:16" ht="21" customHeight="1">
      <c r="B150" s="1">
        <v>2</v>
      </c>
      <c r="C150" s="1">
        <v>2</v>
      </c>
      <c r="D150" s="546"/>
      <c r="E150" s="543"/>
      <c r="F150" s="577" t="str">
        <f>IF(F148=$F$7,$G$3,IF(AND($O$9=$O$3,ROUNDDOWN(F148,0)=$F$3),$H$3,$G$3))</f>
        <v>　レベル　2</v>
      </c>
      <c r="G150" s="580" t="s">
        <v>678</v>
      </c>
      <c r="H150" s="814"/>
      <c r="I150" s="814"/>
      <c r="J150" s="814"/>
      <c r="K150" s="693" t="str">
        <f>IF(K148=$F$7,$G$3,IF(ROUNDDOWN(K148,0)=$F$3,$H$3,$G$3))</f>
        <v>　レベル　2</v>
      </c>
      <c r="L150" s="580" t="s">
        <v>1520</v>
      </c>
      <c r="M150" s="581"/>
      <c r="N150" s="581"/>
      <c r="O150" s="582"/>
    </row>
    <row r="151" spans="2:16" ht="25.5" customHeight="1">
      <c r="B151" s="1">
        <v>3</v>
      </c>
      <c r="C151" s="1">
        <v>3</v>
      </c>
      <c r="D151" s="546"/>
      <c r="E151" s="543"/>
      <c r="F151" s="577" t="str">
        <f>IF(F148=$F$7,$G$4,IF(AND($O$9=$O$3,ROUNDDOWN(F148,0)=$F$4),$H$4,$G$4))</f>
        <v>　レベル　3</v>
      </c>
      <c r="G151" s="3157" t="s">
        <v>612</v>
      </c>
      <c r="H151" s="3174"/>
      <c r="I151" s="3174"/>
      <c r="J151" s="3201"/>
      <c r="K151" s="693" t="str">
        <f>IF(K148=$F$7,$G$4,IF(ROUNDDOWN(K148,0)=$F$4,$H$4,$G$4))</f>
        <v>■レベル　3</v>
      </c>
      <c r="L151" s="580" t="s">
        <v>1332</v>
      </c>
      <c r="M151" s="581"/>
      <c r="N151" s="581"/>
      <c r="O151" s="582"/>
    </row>
    <row r="152" spans="2:16" ht="42.75" customHeight="1">
      <c r="B152" s="1">
        <v>4</v>
      </c>
      <c r="C152" s="1">
        <v>4</v>
      </c>
      <c r="D152" s="546"/>
      <c r="E152" s="543"/>
      <c r="F152" s="577" t="str">
        <f>IF(F148=$F$7,$G$5,IF(AND($O$9=$O$3,ROUNDDOWN(F148,0)=$F$5),$H$5,$G$5))</f>
        <v>　レベル　4</v>
      </c>
      <c r="G152" s="3157" t="s">
        <v>2481</v>
      </c>
      <c r="H152" s="3245"/>
      <c r="I152" s="3245"/>
      <c r="J152" s="3244"/>
      <c r="K152" s="693" t="str">
        <f>IF(K148=$F$7,$G$5,IF(ROUNDDOWN(K148,0)=$F$5,$H$5,$G$5))</f>
        <v>　レベル　4</v>
      </c>
      <c r="L152" s="3157" t="s">
        <v>1333</v>
      </c>
      <c r="M152" s="3245"/>
      <c r="N152" s="3245"/>
      <c r="O152" s="3244"/>
    </row>
    <row r="153" spans="2:16" ht="40.5" customHeight="1">
      <c r="B153" s="1">
        <v>5</v>
      </c>
      <c r="C153" s="1">
        <v>5</v>
      </c>
      <c r="D153" s="546"/>
      <c r="E153" s="543"/>
      <c r="F153" s="587" t="str">
        <f>IF(F148=$F$7,$G$6,IF(AND($O$9=$O$3,ROUNDDOWN(F148,0)=$F$6),$H$6,$G$6))</f>
        <v>　レベル　5</v>
      </c>
      <c r="G153" s="3155" t="s">
        <v>2482</v>
      </c>
      <c r="H153" s="3242"/>
      <c r="I153" s="3242"/>
      <c r="J153" s="3243"/>
      <c r="K153" s="587" t="str">
        <f>IF(K148=$F$7,$G$6,IF(ROUNDDOWN(K148,0)=$F$6,$H$6,$G$6))</f>
        <v>　レベル　5</v>
      </c>
      <c r="L153" s="3155" t="s">
        <v>1334</v>
      </c>
      <c r="M153" s="3242"/>
      <c r="N153" s="3242"/>
      <c r="O153" s="3243"/>
    </row>
    <row r="154" spans="2:16" ht="17.25" customHeight="1">
      <c r="B154" s="594">
        <v>0</v>
      </c>
      <c r="C154" s="594">
        <v>0</v>
      </c>
      <c r="D154" s="546"/>
      <c r="F154" s="887" t="s">
        <v>3402</v>
      </c>
      <c r="G154" s="2423"/>
      <c r="H154" s="2396"/>
      <c r="I154" s="2396"/>
      <c r="J154" s="2397"/>
      <c r="K154" s="887" t="s">
        <v>3402</v>
      </c>
      <c r="L154" s="2423"/>
      <c r="M154" s="2396"/>
      <c r="N154" s="2396"/>
      <c r="O154" s="2397"/>
      <c r="P154" s="2459"/>
    </row>
    <row r="155" spans="2:16" ht="14.25" hidden="1">
      <c r="E155" s="1340"/>
      <c r="K155" s="900"/>
      <c r="L155" s="1342"/>
      <c r="M155" s="1347"/>
      <c r="N155" s="1347"/>
      <c r="O155" s="621"/>
    </row>
    <row r="156" spans="2:16" ht="14.25" hidden="1">
      <c r="E156" s="1341"/>
    </row>
    <row r="157" spans="2:16" ht="15.75" hidden="1">
      <c r="D157" s="546"/>
      <c r="E157" s="1341"/>
    </row>
    <row r="158" spans="2:16" ht="15.75" hidden="1">
      <c r="B158" s="1">
        <v>1</v>
      </c>
      <c r="C158" s="1" t="s">
        <v>1817</v>
      </c>
      <c r="D158" s="546"/>
      <c r="E158" s="1341"/>
    </row>
    <row r="159" spans="2:16" ht="15.75" hidden="1">
      <c r="B159" s="1" t="s">
        <v>1817</v>
      </c>
      <c r="C159" s="1" t="s">
        <v>1817</v>
      </c>
      <c r="D159" s="546"/>
      <c r="E159" s="1341"/>
    </row>
    <row r="160" spans="2:16" ht="15.75" hidden="1">
      <c r="B160" s="1">
        <v>3</v>
      </c>
      <c r="C160" s="1">
        <v>3</v>
      </c>
      <c r="D160" s="546"/>
      <c r="E160" s="1341"/>
    </row>
    <row r="161" spans="2:15" ht="27" hidden="1" customHeight="1">
      <c r="B161" s="1">
        <v>4</v>
      </c>
      <c r="C161" s="1">
        <v>4</v>
      </c>
      <c r="D161" s="546"/>
      <c r="E161" s="1341"/>
    </row>
    <row r="162" spans="2:15" ht="34.5" hidden="1" customHeight="1">
      <c r="B162" s="1">
        <v>5</v>
      </c>
      <c r="C162" s="1">
        <v>5</v>
      </c>
      <c r="D162" s="546"/>
      <c r="E162" s="1341"/>
    </row>
    <row r="163" spans="2:15" ht="15.75" hidden="1">
      <c r="B163" s="594">
        <v>0</v>
      </c>
      <c r="C163" s="594">
        <v>0</v>
      </c>
      <c r="D163" s="546"/>
      <c r="E163" s="1344"/>
      <c r="F163" s="1345"/>
      <c r="G163" s="1345"/>
      <c r="H163" s="1346"/>
      <c r="I163" s="1346"/>
      <c r="J163" s="1346"/>
      <c r="K163" s="1346"/>
      <c r="L163" s="1346"/>
      <c r="M163" s="1346"/>
      <c r="N163" s="1346"/>
      <c r="O163" s="1346"/>
    </row>
    <row r="323"/>
    <row r="324"/>
    <row r="325"/>
    <row r="326"/>
    <row r="327"/>
    <row r="328"/>
    <row r="329"/>
    <row r="330"/>
  </sheetData>
  <sheetProtection algorithmName="SHA-512" hashValue="m0W6PRDnu9a/x7Pf8WQgNXSdikLGqm8BHzrHKbDxs9q0JRB1VzSQNFon0Rk59x7rBbyhZGBuUwSt39oKY/mBTA==" saltValue="ZUPoOrB8evNkLLf5VmB0tQ==" spinCount="100000" sheet="1" objects="1" scenarios="1"/>
  <mergeCells count="69">
    <mergeCell ref="G152:J152"/>
    <mergeCell ref="N93:O97"/>
    <mergeCell ref="L121:O121"/>
    <mergeCell ref="M63:O63"/>
    <mergeCell ref="G151:J151"/>
    <mergeCell ref="G64:H68"/>
    <mergeCell ref="M49:O49"/>
    <mergeCell ref="G55:G56"/>
    <mergeCell ref="M25:O25"/>
    <mergeCell ref="M26:O26"/>
    <mergeCell ref="H55:H56"/>
    <mergeCell ref="I55:K56"/>
    <mergeCell ref="G36:J36"/>
    <mergeCell ref="G37:J37"/>
    <mergeCell ref="G38:J38"/>
    <mergeCell ref="K34:K35"/>
    <mergeCell ref="M37:O37"/>
    <mergeCell ref="M36:O36"/>
    <mergeCell ref="M38:O38"/>
    <mergeCell ref="G45:G48"/>
    <mergeCell ref="H45:H48"/>
    <mergeCell ref="I45:K48"/>
    <mergeCell ref="G153:J153"/>
    <mergeCell ref="M18:O18"/>
    <mergeCell ref="M19:O19"/>
    <mergeCell ref="L153:O153"/>
    <mergeCell ref="L122:O122"/>
    <mergeCell ref="N104:O108"/>
    <mergeCell ref="F127:G127"/>
    <mergeCell ref="F128:F130"/>
    <mergeCell ref="G128:G130"/>
    <mergeCell ref="F131:F134"/>
    <mergeCell ref="G131:G134"/>
    <mergeCell ref="F141:F144"/>
    <mergeCell ref="L152:O152"/>
    <mergeCell ref="G141:G144"/>
    <mergeCell ref="M23:O23"/>
    <mergeCell ref="M24:O24"/>
    <mergeCell ref="I14:J14"/>
    <mergeCell ref="K14:L14"/>
    <mergeCell ref="M15:O15"/>
    <mergeCell ref="M16:O16"/>
    <mergeCell ref="M17:O17"/>
    <mergeCell ref="I57:K57"/>
    <mergeCell ref="G17:H17"/>
    <mergeCell ref="I17:J17"/>
    <mergeCell ref="K17:L17"/>
    <mergeCell ref="G18:H18"/>
    <mergeCell ref="G19:H19"/>
    <mergeCell ref="I19:J19"/>
    <mergeCell ref="I18:J18"/>
    <mergeCell ref="K18:L18"/>
    <mergeCell ref="K19:L19"/>
    <mergeCell ref="M57:O57"/>
    <mergeCell ref="F21:F22"/>
    <mergeCell ref="G21:G22"/>
    <mergeCell ref="F137:F139"/>
    <mergeCell ref="G137:G139"/>
    <mergeCell ref="G122:J122"/>
    <mergeCell ref="G120:J120"/>
    <mergeCell ref="G121:J121"/>
    <mergeCell ref="I64:J68"/>
    <mergeCell ref="H23:I27"/>
    <mergeCell ref="J23:K27"/>
    <mergeCell ref="H49:H54"/>
    <mergeCell ref="K64:L68"/>
    <mergeCell ref="I49:K54"/>
    <mergeCell ref="L21:L22"/>
    <mergeCell ref="G49:G54"/>
  </mergeCells>
  <phoneticPr fontId="22"/>
  <conditionalFormatting sqref="F13 F92 F103 F117 F148">
    <cfRule type="expression" dxfId="51" priority="24" stopIfTrue="1">
      <formula>AND(OR(F13&lt;1,F13&gt;5),F13&lt;&gt;0)</formula>
    </cfRule>
    <cfRule type="expression" dxfId="50" priority="25" stopIfTrue="1">
      <formula>$J12&gt;0</formula>
    </cfRule>
  </conditionalFormatting>
  <conditionalFormatting sqref="F21">
    <cfRule type="cellIs" dxfId="49" priority="34" stopIfTrue="1" operator="equal">
      <formula>#REF!</formula>
    </cfRule>
    <cfRule type="cellIs" dxfId="48" priority="35" stopIfTrue="1" operator="equal">
      <formula>#REF!</formula>
    </cfRule>
    <cfRule type="cellIs" dxfId="47" priority="36" stopIfTrue="1" operator="equal">
      <formula>#REF!</formula>
    </cfRule>
  </conditionalFormatting>
  <conditionalFormatting sqref="H41">
    <cfRule type="expression" dxfId="46" priority="32" stopIfTrue="1">
      <formula>$J$33&gt;0</formula>
    </cfRule>
  </conditionalFormatting>
  <conditionalFormatting sqref="K117">
    <cfRule type="expression" dxfId="45" priority="30" stopIfTrue="1">
      <formula>AND(OR(K117&lt;1,K117&gt;5),K117&lt;&gt;0)</formula>
    </cfRule>
    <cfRule type="expression" dxfId="44" priority="31" stopIfTrue="1">
      <formula>$O$116</formula>
    </cfRule>
  </conditionalFormatting>
  <conditionalFormatting sqref="K148">
    <cfRule type="expression" dxfId="43" priority="14" stopIfTrue="1">
      <formula>AND(OR(K148&lt;1,K148&gt;5),K148&lt;&gt;0)</formula>
    </cfRule>
    <cfRule type="expression" dxfId="42" priority="15" stopIfTrue="1">
      <formula>$O$147</formula>
    </cfRule>
  </conditionalFormatting>
  <conditionalFormatting sqref="L33">
    <cfRule type="expression" dxfId="41" priority="26" stopIfTrue="1">
      <formula>AND(OR(L33&lt;1,L33&gt;5),L33&lt;&gt;0)</formula>
    </cfRule>
    <cfRule type="expression" dxfId="40" priority="27" stopIfTrue="1">
      <formula>O33&gt;0</formula>
    </cfRule>
  </conditionalFormatting>
  <dataValidations xWindow="404" yWindow="579" count="6">
    <dataValidation type="list" allowBlank="1" showInputMessage="1" sqref="F13 F103 F92 F148" xr:uid="{00000000-0002-0000-0B00-000000000000}">
      <formula1>$B14:$B19</formula1>
    </dataValidation>
    <dataValidation type="list" allowBlank="1" showInputMessage="1" sqref="F117" xr:uid="{00000000-0002-0000-0B00-000001000000}">
      <formula1>$B$118:$B$123</formula1>
    </dataValidation>
    <dataValidation allowBlank="1" showInputMessage="1" sqref="H41" xr:uid="{00000000-0002-0000-0B00-000002000000}"/>
    <dataValidation type="list" allowBlank="1" showInputMessage="1" sqref="K117 K148" xr:uid="{00000000-0002-0000-0B00-000003000000}">
      <formula1>$C$118:$C$123</formula1>
    </dataValidation>
    <dataValidation type="list" allowBlank="1" showInputMessage="1" sqref="L33" xr:uid="{00000000-0002-0000-0B00-000004000000}">
      <formula1>$C$34:$C$39</formula1>
    </dataValidation>
    <dataValidation type="list" allowBlank="1" showInputMessage="1" showErrorMessage="1" sqref="L45:L57" xr:uid="{00000000-0002-0000-0B00-000005000000}">
      <formula1>$M$3:$M$4</formula1>
    </dataValidation>
  </dataValidations>
  <printOptions horizontalCentered="1"/>
  <pageMargins left="0.59055118110236227" right="0.59055118110236227" top="0.78740157480314965" bottom="0.59055118110236227" header="0.51181102362204722" footer="0.51181102362204722"/>
  <pageSetup paperSize="9" scale="80" fitToHeight="0" orientation="portrait" verticalDpi="4294967293" r:id="rId1"/>
  <headerFooter alignWithMargins="0">
    <oddHeader>&amp;L&amp;F&amp;R&amp;A</oddHeader>
    <oddFooter>&amp;C&amp;P/&amp;N</oddFooter>
  </headerFooter>
  <rowBreaks count="2" manualBreakCount="2">
    <brk id="59" min="2" max="15" man="1"/>
    <brk id="113" min="2" max="15"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AB323"/>
  <sheetViews>
    <sheetView showGridLines="0" zoomScaleNormal="100" workbookViewId="0"/>
  </sheetViews>
  <sheetFormatPr defaultColWidth="0" defaultRowHeight="13.5" zeroHeight="1"/>
  <cols>
    <col min="1" max="2" width="1.375" customWidth="1"/>
    <col min="3" max="3" width="2.125" customWidth="1"/>
    <col min="4" max="4" width="2.5" customWidth="1"/>
    <col min="5" max="5" width="10.75" customWidth="1"/>
    <col min="6" max="6" width="9.625" customWidth="1"/>
    <col min="7" max="7" width="9.25" customWidth="1"/>
    <col min="8" max="8" width="9.5" customWidth="1"/>
    <col min="9" max="9" width="1.25" customWidth="1"/>
    <col min="10" max="10" width="9.875" customWidth="1"/>
    <col min="11" max="11" width="7.875" customWidth="1"/>
    <col min="12" max="13" width="9.5" customWidth="1"/>
    <col min="14" max="14" width="8.875" customWidth="1"/>
    <col min="15" max="15" width="2.375" customWidth="1"/>
    <col min="16" max="16" width="8.875" customWidth="1"/>
    <col min="17" max="17" width="2.125" customWidth="1"/>
    <col min="18" max="18" width="1" customWidth="1"/>
    <col min="19" max="19" width="23.5" hidden="1" customWidth="1"/>
    <col min="20" max="20" width="13.375" hidden="1" customWidth="1"/>
    <col min="21" max="21" width="6.75" hidden="1" customWidth="1"/>
    <col min="22" max="22" width="9.125" hidden="1" customWidth="1"/>
    <col min="23" max="23" width="13.875" hidden="1" customWidth="1"/>
    <col min="24" max="24" width="12.75" hidden="1" customWidth="1"/>
    <col min="25" max="25" width="6.75" hidden="1" customWidth="1"/>
    <col min="26" max="26" width="6.5" hidden="1" customWidth="1"/>
    <col min="27" max="27" width="13.875" hidden="1" customWidth="1"/>
    <col min="28" max="28" width="12.75" hidden="1" customWidth="1"/>
    <col min="29" max="16384" width="9" hidden="1"/>
  </cols>
  <sheetData>
    <row r="1" spans="2:28" ht="9.75" customHeight="1" thickBot="1"/>
    <row r="2" spans="2:28" ht="25.5" customHeight="1">
      <c r="B2" s="2766"/>
      <c r="C2" s="1302" t="s">
        <v>2687</v>
      </c>
      <c r="D2" s="1303"/>
      <c r="E2" s="1303"/>
      <c r="F2" s="1304"/>
      <c r="G2" s="1304"/>
      <c r="H2" s="1305"/>
      <c r="I2" s="1303"/>
      <c r="J2" s="1303"/>
      <c r="K2" s="1303"/>
      <c r="L2" s="1303"/>
      <c r="M2" s="1306" t="s">
        <v>2279</v>
      </c>
      <c r="N2" s="1307" t="str">
        <f>メイン!C11</f>
        <v>○○ビル</v>
      </c>
      <c r="O2" s="1307"/>
      <c r="P2" s="1307"/>
      <c r="Q2" s="1308"/>
    </row>
    <row r="3" spans="2:28">
      <c r="B3" s="1312"/>
      <c r="C3" s="7"/>
      <c r="D3" s="7"/>
      <c r="E3" s="7"/>
      <c r="F3" s="7"/>
      <c r="G3" s="7"/>
      <c r="H3" s="7"/>
      <c r="I3" s="7"/>
      <c r="J3" s="7"/>
      <c r="K3" s="7"/>
      <c r="L3" s="7"/>
      <c r="M3" s="7"/>
      <c r="N3" s="7"/>
      <c r="O3" s="7"/>
      <c r="P3" s="7"/>
      <c r="Q3" s="1412"/>
    </row>
    <row r="4" spans="2:28" hidden="1">
      <c r="B4" s="1312"/>
      <c r="C4" s="7"/>
      <c r="D4" s="7"/>
      <c r="E4" s="7"/>
      <c r="F4" s="7"/>
      <c r="G4" s="7"/>
      <c r="H4" s="1316"/>
      <c r="I4" s="7"/>
      <c r="J4" s="7"/>
      <c r="K4" s="7"/>
      <c r="L4" s="7"/>
      <c r="M4" s="7"/>
      <c r="N4" s="7"/>
      <c r="O4" s="7"/>
      <c r="P4" s="7"/>
      <c r="Q4" s="1412"/>
    </row>
    <row r="5" spans="2:28" ht="14.25" thickBot="1">
      <c r="B5" s="1312"/>
      <c r="C5" s="1413" t="s">
        <v>2689</v>
      </c>
      <c r="D5" s="1309" t="s">
        <v>2839</v>
      </c>
      <c r="E5" s="7"/>
      <c r="F5" s="7"/>
      <c r="G5" s="7"/>
      <c r="H5" s="7"/>
      <c r="I5" s="7"/>
      <c r="J5" s="7"/>
      <c r="K5" s="7"/>
      <c r="L5" s="7"/>
      <c r="M5" s="7"/>
      <c r="N5" s="7"/>
      <c r="O5" s="7"/>
      <c r="P5" s="7"/>
      <c r="Q5" s="1412"/>
      <c r="U5" s="1445">
        <f>IF($H$6&lt;=V10,U11,IF($H$6&lt;=V9,U10,IF($H$6&lt;=V8,U9,IF($H$6&lt;=V7,U8,1))))</f>
        <v>4</v>
      </c>
      <c r="W5">
        <f>VLOOKUP($U$5,U7:X11,3)</f>
        <v>-14.285714285714295</v>
      </c>
      <c r="X5">
        <f>VLOOKUP($U$5,U7:X11,4)</f>
        <v>16.857142857142868</v>
      </c>
      <c r="Y5" s="1445">
        <f>IF($H$6&lt;=Z10,Y11,IF($H$6&lt;=Z9,Y10,IF($H$6&lt;=Z8,Y9,IF($H$6&lt;=Z7,Y8,1))))</f>
        <v>4</v>
      </c>
      <c r="AA5">
        <f>VLOOKUP($Y$5,Y7:AB11,3)</f>
        <v>-25.000000000000046</v>
      </c>
      <c r="AB5">
        <f>VLOOKUP($Y$5,Y7:AB11,4)</f>
        <v>27.250000000000043</v>
      </c>
    </row>
    <row r="6" spans="2:28" ht="14.25" thickBot="1">
      <c r="B6" s="1312"/>
      <c r="C6" s="7"/>
      <c r="D6" s="1309"/>
      <c r="E6" s="1309" t="s">
        <v>91</v>
      </c>
      <c r="F6" s="1309"/>
      <c r="G6" s="1425" t="s">
        <v>2691</v>
      </c>
      <c r="H6" s="1629">
        <v>0.97</v>
      </c>
      <c r="I6" s="7"/>
      <c r="J6" s="993">
        <f>メイン!F12</f>
        <v>0</v>
      </c>
      <c r="K6" s="7"/>
      <c r="L6" s="1590" t="s">
        <v>2717</v>
      </c>
      <c r="M6" s="1776">
        <f>IF(H6="",1,IF(H6&lt;=V11,U11,IF(H6&gt;=V7,U7,H6*W5+X5)))</f>
        <v>3.0000000000000018</v>
      </c>
      <c r="N6" s="7"/>
      <c r="O6" s="7"/>
      <c r="P6" s="7"/>
      <c r="Q6" s="1412"/>
      <c r="T6" t="s">
        <v>2512</v>
      </c>
      <c r="U6" s="1" t="s">
        <v>2096</v>
      </c>
      <c r="V6" s="1" t="s">
        <v>2095</v>
      </c>
      <c r="W6" t="s">
        <v>2356</v>
      </c>
      <c r="X6" t="s">
        <v>2357</v>
      </c>
      <c r="Y6" s="1" t="s">
        <v>2096</v>
      </c>
      <c r="Z6" s="1" t="str">
        <f>メイン!I18</f>
        <v>８地域</v>
      </c>
      <c r="AA6" t="s">
        <v>2356</v>
      </c>
      <c r="AB6" t="s">
        <v>2357</v>
      </c>
    </row>
    <row r="7" spans="2:28">
      <c r="B7" s="1312"/>
      <c r="C7" s="7"/>
      <c r="D7" s="7"/>
      <c r="E7" s="7"/>
      <c r="F7" s="7"/>
      <c r="G7" s="7"/>
      <c r="H7" s="7"/>
      <c r="I7" s="7"/>
      <c r="J7" s="7"/>
      <c r="K7" s="7"/>
      <c r="L7" s="1590" t="s">
        <v>2716</v>
      </c>
      <c r="M7" s="1776">
        <f>IF(H6="",1,IF(H6&lt;=Z11,Y11,IF(H6&gt;=Z7,Y7,H6*AA5+AB5)))</f>
        <v>3</v>
      </c>
      <c r="N7" s="7"/>
      <c r="O7" s="1589"/>
      <c r="P7" s="7"/>
      <c r="Q7" s="1625"/>
      <c r="T7" t="s">
        <v>2434</v>
      </c>
      <c r="U7" s="1">
        <v>1</v>
      </c>
      <c r="V7" s="1">
        <v>1.03</v>
      </c>
      <c r="W7" s="1445">
        <v>0</v>
      </c>
      <c r="X7" s="1445">
        <v>1</v>
      </c>
      <c r="Y7" s="1">
        <v>1</v>
      </c>
      <c r="Z7" s="1">
        <v>1.03</v>
      </c>
      <c r="AA7" s="1445">
        <v>0</v>
      </c>
      <c r="AB7" s="1445">
        <v>1</v>
      </c>
    </row>
    <row r="8" spans="2:28" ht="7.5" customHeight="1" thickBot="1">
      <c r="B8" s="1312"/>
      <c r="C8" s="7"/>
      <c r="D8" s="7"/>
      <c r="E8" s="7"/>
      <c r="F8" s="7"/>
      <c r="G8" s="7"/>
      <c r="H8" s="7"/>
      <c r="I8" s="7"/>
      <c r="J8" s="1415"/>
      <c r="K8" s="7"/>
      <c r="L8" s="7"/>
      <c r="M8" s="7"/>
      <c r="N8" s="7"/>
      <c r="O8" s="7"/>
      <c r="P8" s="7"/>
      <c r="Q8" s="1412"/>
      <c r="T8" t="s">
        <v>2435</v>
      </c>
      <c r="U8" s="1">
        <v>2</v>
      </c>
      <c r="V8" s="1">
        <v>1</v>
      </c>
      <c r="W8">
        <f>(U8-U7)/(V8-V7)</f>
        <v>-33.3333333333333</v>
      </c>
      <c r="X8">
        <f>U8-W8*V8</f>
        <v>35.3333333333333</v>
      </c>
      <c r="Y8" s="1">
        <v>2</v>
      </c>
      <c r="Z8" s="1">
        <v>1</v>
      </c>
      <c r="AA8">
        <f>(Y8-Y7)/(Z8-Z7)</f>
        <v>-33.3333333333333</v>
      </c>
      <c r="AB8">
        <f>Y8-AA8*Z8</f>
        <v>35.3333333333333</v>
      </c>
    </row>
    <row r="9" spans="2:28" ht="14.25" thickBot="1">
      <c r="B9" s="1312"/>
      <c r="C9" s="7"/>
      <c r="D9" s="7"/>
      <c r="E9" s="1309" t="s">
        <v>2690</v>
      </c>
      <c r="F9" s="7"/>
      <c r="G9" s="1352" t="s">
        <v>538</v>
      </c>
      <c r="H9" s="1582" t="s">
        <v>2435</v>
      </c>
      <c r="I9" s="7" t="s">
        <v>2714</v>
      </c>
      <c r="J9" s="7"/>
      <c r="K9" s="7"/>
      <c r="L9" s="7"/>
      <c r="M9" s="7"/>
      <c r="N9" s="7"/>
      <c r="O9" s="7"/>
      <c r="P9" s="7"/>
      <c r="Q9" s="1412"/>
      <c r="T9" t="s">
        <v>2358</v>
      </c>
      <c r="U9" s="1">
        <v>3</v>
      </c>
      <c r="V9" s="1">
        <v>0.97</v>
      </c>
      <c r="W9">
        <f>(U9-U8)/(V9-V8)</f>
        <v>-33.3333333333333</v>
      </c>
      <c r="X9">
        <f>U9-W9*V9</f>
        <v>35.3333333333333</v>
      </c>
      <c r="Y9" s="1">
        <v>3</v>
      </c>
      <c r="Z9" s="1">
        <v>0.97</v>
      </c>
      <c r="AA9">
        <f>(Y9-Y8)/(Z9-Z8)</f>
        <v>-33.3333333333333</v>
      </c>
      <c r="AB9">
        <f>Y9-AA9*Z9</f>
        <v>35.3333333333333</v>
      </c>
    </row>
    <row r="10" spans="2:28" ht="22.5" customHeight="1">
      <c r="B10" s="1312"/>
      <c r="C10" s="7"/>
      <c r="D10" s="1590"/>
      <c r="E10" s="1646" t="s">
        <v>2715</v>
      </c>
      <c r="F10" s="3419" t="s">
        <v>3007</v>
      </c>
      <c r="G10" s="3419"/>
      <c r="H10" s="3419"/>
      <c r="I10" s="3419"/>
      <c r="J10" s="3419"/>
      <c r="K10" s="3419"/>
      <c r="L10" s="3419"/>
      <c r="M10" s="3419"/>
      <c r="N10" s="3419"/>
      <c r="O10" s="3419"/>
      <c r="P10" s="3419"/>
      <c r="Q10" s="1412"/>
      <c r="T10" t="s">
        <v>2436</v>
      </c>
      <c r="U10" s="1">
        <v>4</v>
      </c>
      <c r="V10" s="1">
        <v>0.9</v>
      </c>
      <c r="W10">
        <f>(U10-U9)/(V10-V9)</f>
        <v>-14.285714285714295</v>
      </c>
      <c r="X10">
        <f>U10-W10*V10</f>
        <v>16.857142857142868</v>
      </c>
      <c r="Y10" s="1">
        <v>4</v>
      </c>
      <c r="Z10" s="1">
        <v>0.93</v>
      </c>
      <c r="AA10">
        <f>(Y10-Y9)/(Z10-Z9)</f>
        <v>-25.000000000000046</v>
      </c>
      <c r="AB10">
        <f>Y10-AA10*Z10</f>
        <v>27.250000000000043</v>
      </c>
    </row>
    <row r="11" spans="2:28">
      <c r="B11" s="1312"/>
      <c r="C11" s="7"/>
      <c r="D11" s="1591"/>
      <c r="E11" s="1646" t="s">
        <v>2713</v>
      </c>
      <c r="F11" s="612" t="s">
        <v>2712</v>
      </c>
      <c r="G11" s="612"/>
      <c r="H11" s="612"/>
      <c r="I11" s="612"/>
      <c r="J11" s="612"/>
      <c r="K11" s="612"/>
      <c r="L11" s="612"/>
      <c r="M11" s="612"/>
      <c r="N11" s="612"/>
      <c r="O11" s="612"/>
      <c r="P11" s="612"/>
      <c r="Q11" s="1412"/>
      <c r="T11" t="s">
        <v>2692</v>
      </c>
      <c r="U11" s="1">
        <v>5</v>
      </c>
      <c r="V11" s="1">
        <v>0.8</v>
      </c>
      <c r="W11">
        <f>(U11-U10)/(V11-V10)</f>
        <v>-10.000000000000002</v>
      </c>
      <c r="X11">
        <f>U11-W11*V11</f>
        <v>13.000000000000002</v>
      </c>
      <c r="Y11" s="1">
        <v>5</v>
      </c>
      <c r="Z11" s="1">
        <v>0.85</v>
      </c>
      <c r="AA11">
        <f>(Y11-Y10)/(Z11-Z10)</f>
        <v>-12.499999999999989</v>
      </c>
      <c r="AB11">
        <f>Y11-AA11*Z11</f>
        <v>15.624999999999991</v>
      </c>
    </row>
    <row r="12" spans="2:28" ht="55.5" customHeight="1">
      <c r="B12" s="1312"/>
      <c r="C12" s="7"/>
      <c r="D12" s="7"/>
      <c r="E12" s="614"/>
      <c r="F12" s="1646" t="s">
        <v>2717</v>
      </c>
      <c r="G12" s="3419" t="s">
        <v>3008</v>
      </c>
      <c r="H12" s="3419"/>
      <c r="I12" s="3419"/>
      <c r="J12" s="3419"/>
      <c r="K12" s="3419"/>
      <c r="L12" s="3419"/>
      <c r="M12" s="3419"/>
      <c r="N12" s="3419"/>
      <c r="O12" s="3419"/>
      <c r="P12" s="3419"/>
      <c r="Q12" s="1412"/>
      <c r="T12" t="s">
        <v>2437</v>
      </c>
    </row>
    <row r="13" spans="2:28" ht="20.25" customHeight="1">
      <c r="B13" s="1312"/>
      <c r="C13" s="7"/>
      <c r="D13" s="7"/>
      <c r="E13" s="614"/>
      <c r="F13" s="1646" t="s">
        <v>2716</v>
      </c>
      <c r="G13" s="1647" t="s">
        <v>3009</v>
      </c>
      <c r="H13" s="614"/>
      <c r="I13" s="614"/>
      <c r="J13" s="614"/>
      <c r="K13" s="614"/>
      <c r="L13" s="614"/>
      <c r="M13" s="614"/>
      <c r="N13" s="614"/>
      <c r="O13" s="1626"/>
      <c r="P13" s="612"/>
      <c r="Q13" s="1412"/>
      <c r="T13" t="s">
        <v>2739</v>
      </c>
    </row>
    <row r="14" spans="2:28" ht="14.25" thickBot="1">
      <c r="B14" s="1312"/>
      <c r="C14" s="7"/>
      <c r="D14" s="7"/>
      <c r="E14" s="1309"/>
      <c r="F14" s="7"/>
      <c r="G14" s="1584" t="s">
        <v>2710</v>
      </c>
      <c r="H14" s="1584" t="s">
        <v>2736</v>
      </c>
      <c r="I14" s="7"/>
      <c r="J14" s="7"/>
      <c r="K14" s="7"/>
      <c r="L14" s="1581"/>
      <c r="M14" s="7"/>
      <c r="N14" s="7"/>
      <c r="O14" s="7"/>
      <c r="P14" s="7"/>
      <c r="Q14" s="1412"/>
    </row>
    <row r="15" spans="2:28" ht="14.25" thickBot="1">
      <c r="B15" s="1312"/>
      <c r="C15" s="7"/>
      <c r="D15" s="7"/>
      <c r="E15" s="1309"/>
      <c r="F15" s="1316" t="s">
        <v>91</v>
      </c>
      <c r="G15" s="1888">
        <v>54000</v>
      </c>
      <c r="H15" s="1414">
        <f>IF(G15+G16=0,0,G15/(G15+G16))</f>
        <v>1</v>
      </c>
      <c r="I15" s="7"/>
      <c r="J15" s="1735">
        <f>IF(H6="",1,IF(J6=Z6,M7,M6))</f>
        <v>3.0000000000000018</v>
      </c>
      <c r="K15" s="1543"/>
      <c r="L15" s="1581"/>
      <c r="M15" s="7"/>
      <c r="N15" s="7"/>
      <c r="O15" s="7"/>
      <c r="P15" s="7"/>
      <c r="Q15" s="1412"/>
    </row>
    <row r="16" spans="2:28" ht="14.25" thickBot="1">
      <c r="B16" s="1312"/>
      <c r="C16" s="7"/>
      <c r="D16" s="7"/>
      <c r="E16" s="1309"/>
      <c r="F16" s="1316" t="s">
        <v>2690</v>
      </c>
      <c r="G16" s="1321">
        <f>IF(H9=T6,0,メイン!C64)</f>
        <v>0</v>
      </c>
      <c r="H16" s="1414">
        <f>IF(G15+G16=0,0,G16/(G15+G16))</f>
        <v>0</v>
      </c>
      <c r="I16" s="7"/>
      <c r="J16" s="1735">
        <f>IF(H9="",$T12,IF(H9=T11,U11,IF(H9=T10,U10,IF(H9=T9,U9,IF(H9=T8,U8,U7)))))</f>
        <v>2</v>
      </c>
      <c r="K16" s="7"/>
      <c r="L16" s="1581"/>
      <c r="M16" s="7"/>
      <c r="N16" s="7"/>
      <c r="O16" s="7"/>
      <c r="P16" s="7"/>
      <c r="Q16" s="1412"/>
    </row>
    <row r="17" spans="2:24" ht="6.75" customHeight="1" thickBot="1">
      <c r="B17" s="1312"/>
      <c r="C17" s="7"/>
      <c r="D17" s="7"/>
      <c r="E17" s="1309"/>
      <c r="F17" s="7"/>
      <c r="G17" s="7"/>
      <c r="H17" s="7"/>
      <c r="I17" s="7"/>
      <c r="J17" s="7"/>
      <c r="K17" s="7"/>
      <c r="L17" s="1581"/>
      <c r="M17" s="7"/>
      <c r="N17" s="7"/>
      <c r="O17" s="7"/>
      <c r="P17" s="7"/>
      <c r="Q17" s="1412"/>
    </row>
    <row r="18" spans="2:24" ht="14.25" thickBot="1">
      <c r="B18" s="1312"/>
      <c r="C18" s="7"/>
      <c r="D18" s="1309" t="s">
        <v>905</v>
      </c>
      <c r="E18" s="1309"/>
      <c r="F18" s="7"/>
      <c r="G18" s="1316"/>
      <c r="H18" s="1735">
        <f>SUMPRODUCT(H15:H16,J15:J16)</f>
        <v>3.0000000000000018</v>
      </c>
      <c r="I18" s="7"/>
      <c r="J18" s="7"/>
      <c r="K18" s="7"/>
      <c r="L18" s="7"/>
      <c r="M18" s="7"/>
      <c r="N18" s="7"/>
      <c r="O18" s="7"/>
      <c r="P18" s="7"/>
      <c r="Q18" s="1412"/>
    </row>
    <row r="19" spans="2:24">
      <c r="B19" s="1312"/>
      <c r="C19" s="7"/>
      <c r="D19" s="7"/>
      <c r="E19" s="7"/>
      <c r="F19" s="7"/>
      <c r="G19" s="7"/>
      <c r="H19" s="7"/>
      <c r="I19" s="7"/>
      <c r="J19" s="7"/>
      <c r="K19" s="7"/>
      <c r="L19" s="7"/>
      <c r="M19" s="7"/>
      <c r="N19" s="7"/>
      <c r="O19" s="7"/>
      <c r="P19" s="7"/>
      <c r="Q19" s="1412"/>
    </row>
    <row r="20" spans="2:24" ht="6" hidden="1" customHeight="1">
      <c r="B20" s="1312"/>
      <c r="C20" s="7"/>
      <c r="D20" s="7"/>
      <c r="E20" s="7"/>
      <c r="F20" s="7"/>
      <c r="G20" s="7"/>
      <c r="H20" s="7"/>
      <c r="I20" s="7"/>
      <c r="J20" s="7"/>
      <c r="K20" s="7"/>
      <c r="L20" s="1581"/>
      <c r="M20" s="7"/>
      <c r="N20" s="7"/>
      <c r="O20" s="7"/>
      <c r="P20" s="7"/>
      <c r="Q20" s="1412"/>
    </row>
    <row r="21" spans="2:24">
      <c r="B21" s="1312"/>
      <c r="C21" s="1413" t="s">
        <v>2688</v>
      </c>
      <c r="D21" s="1309" t="s">
        <v>2980</v>
      </c>
      <c r="E21" s="7"/>
      <c r="F21" s="7"/>
      <c r="G21" s="7"/>
      <c r="H21" s="7"/>
      <c r="I21" s="7"/>
      <c r="J21" s="7"/>
      <c r="K21" s="7"/>
      <c r="L21" s="1581"/>
      <c r="M21" s="7"/>
      <c r="N21" s="7"/>
      <c r="O21" s="7"/>
      <c r="P21" s="7"/>
      <c r="Q21" s="1412"/>
    </row>
    <row r="22" spans="2:24" ht="5.25" customHeight="1" thickBot="1">
      <c r="B22" s="1312"/>
      <c r="C22" s="1413"/>
      <c r="D22" s="1309"/>
      <c r="E22" s="7"/>
      <c r="F22" s="7"/>
      <c r="G22" s="1543"/>
      <c r="H22" s="1309"/>
      <c r="I22" s="7"/>
      <c r="J22" s="7"/>
      <c r="K22" s="7"/>
      <c r="L22" s="1581"/>
      <c r="M22" s="7"/>
      <c r="N22" s="7"/>
      <c r="O22" s="7"/>
      <c r="P22" s="7"/>
      <c r="Q22" s="1311"/>
    </row>
    <row r="23" spans="2:24" ht="14.25" thickBot="1">
      <c r="B23" s="1312"/>
      <c r="C23" s="7"/>
      <c r="D23" s="1309" t="s">
        <v>2992</v>
      </c>
      <c r="E23" s="1309"/>
      <c r="F23" s="1309"/>
      <c r="G23" s="1425" t="s">
        <v>2916</v>
      </c>
      <c r="H23" s="1630">
        <v>0.8</v>
      </c>
      <c r="I23" s="7"/>
      <c r="J23" s="1735">
        <f>IF(H35=0,0,IF($H$23&lt;=V35,U35,IF(H23&gt;=V31,U31,H23*W29+X29)))</f>
        <v>3</v>
      </c>
      <c r="K23" s="1543" t="s">
        <v>2993</v>
      </c>
      <c r="L23" s="1581"/>
      <c r="M23" s="7"/>
      <c r="N23" s="7"/>
      <c r="O23" s="7"/>
      <c r="P23" s="7"/>
      <c r="Q23" s="1412"/>
    </row>
    <row r="24" spans="2:24" hidden="1">
      <c r="B24" s="1312"/>
      <c r="C24" s="7"/>
      <c r="D24" s="1309"/>
      <c r="E24" s="1779" t="s">
        <v>2861</v>
      </c>
      <c r="F24" s="1309"/>
      <c r="G24" s="1309"/>
      <c r="H24" s="1309"/>
      <c r="I24" s="1309"/>
      <c r="J24" s="1309"/>
      <c r="K24" s="1309"/>
      <c r="L24" s="1309"/>
      <c r="M24" s="7"/>
      <c r="N24" s="7"/>
      <c r="O24" s="7"/>
      <c r="P24" s="7"/>
      <c r="Q24" s="1412"/>
    </row>
    <row r="25" spans="2:24" hidden="1">
      <c r="B25" s="1312"/>
      <c r="C25" s="7"/>
      <c r="D25" s="1309"/>
      <c r="E25" s="1780" t="s">
        <v>2864</v>
      </c>
      <c r="F25" s="1309"/>
      <c r="G25" s="1309"/>
      <c r="H25" s="1309"/>
      <c r="I25" s="1309"/>
      <c r="J25" s="1309"/>
      <c r="K25" s="1309"/>
      <c r="L25" s="1309"/>
      <c r="M25" s="7"/>
      <c r="N25" s="7"/>
      <c r="O25" s="7"/>
      <c r="P25" s="7"/>
      <c r="Q25" s="1412"/>
    </row>
    <row r="26" spans="2:24" ht="3" customHeight="1" thickBot="1">
      <c r="B26" s="1312"/>
      <c r="C26" s="7"/>
      <c r="D26" s="1309"/>
      <c r="E26" s="1309"/>
      <c r="F26" s="1309"/>
      <c r="G26" s="1309"/>
      <c r="H26" s="1309"/>
      <c r="I26" s="1309"/>
      <c r="J26" s="1309"/>
      <c r="K26" s="1309"/>
      <c r="L26" s="1309"/>
      <c r="M26" s="7"/>
      <c r="N26" s="7"/>
      <c r="O26" s="7"/>
      <c r="P26" s="7"/>
      <c r="Q26" s="1412"/>
    </row>
    <row r="27" spans="2:24" ht="13.5" customHeight="1" thickBot="1">
      <c r="B27" s="1312"/>
      <c r="C27" s="7"/>
      <c r="D27" s="1309"/>
      <c r="E27" s="7" t="s">
        <v>3006</v>
      </c>
      <c r="F27" s="1309"/>
      <c r="G27" s="1316" t="s">
        <v>2916</v>
      </c>
      <c r="H27" s="1630">
        <v>0.8</v>
      </c>
      <c r="I27" s="7"/>
      <c r="J27" s="1543" t="s">
        <v>3012</v>
      </c>
      <c r="K27" s="1543"/>
      <c r="L27" s="1543"/>
      <c r="M27" s="1543"/>
      <c r="N27" s="1543"/>
      <c r="O27" s="1543"/>
      <c r="P27" s="1543"/>
      <c r="Q27" s="1412"/>
    </row>
    <row r="28" spans="2:24">
      <c r="B28" s="1312"/>
      <c r="C28" s="7"/>
      <c r="D28" s="1309"/>
      <c r="E28" s="7"/>
      <c r="F28" s="7"/>
      <c r="G28" s="7"/>
      <c r="H28" s="7"/>
      <c r="I28" s="7"/>
      <c r="J28" s="1543" t="s">
        <v>3014</v>
      </c>
      <c r="K28" s="7"/>
      <c r="L28" s="7"/>
      <c r="M28" s="7"/>
      <c r="N28" s="7"/>
      <c r="O28" s="1889"/>
      <c r="P28" s="1889"/>
      <c r="Q28" s="1412"/>
    </row>
    <row r="29" spans="2:24">
      <c r="B29" s="1312"/>
      <c r="C29" s="7"/>
      <c r="D29" s="1309"/>
      <c r="E29" s="7"/>
      <c r="F29" s="1309"/>
      <c r="G29" s="1317"/>
      <c r="H29" s="1778"/>
      <c r="I29" s="7"/>
      <c r="J29" s="1543" t="s">
        <v>3013</v>
      </c>
      <c r="K29" s="7"/>
      <c r="L29" s="1581"/>
      <c r="M29" s="7"/>
      <c r="N29" s="7"/>
      <c r="O29" s="7"/>
      <c r="P29" s="7"/>
      <c r="Q29" s="1412"/>
      <c r="U29" s="1588">
        <f>IF($H$23&lt;=V35,U35,IF($H$23&lt;=V34,U34,IF($H$23&lt;=V33,U33,IF($H$23&lt;=V32,U32,U31))))</f>
        <v>3</v>
      </c>
      <c r="W29">
        <f>VLOOKUP($U$29,U31:X35,3)</f>
        <v>-9.9999999999999911</v>
      </c>
      <c r="X29">
        <f>VLOOKUP($U$29,U31:X35,4)</f>
        <v>10.999999999999993</v>
      </c>
    </row>
    <row r="30" spans="2:24" ht="72.599999999999994" customHeight="1">
      <c r="B30" s="1312"/>
      <c r="C30" s="7"/>
      <c r="D30" s="1309"/>
      <c r="E30" s="3423" t="s">
        <v>3719</v>
      </c>
      <c r="F30" s="3423"/>
      <c r="G30" s="3423"/>
      <c r="H30" s="3423"/>
      <c r="I30" s="3423"/>
      <c r="J30" s="3423"/>
      <c r="K30" s="3423"/>
      <c r="L30" s="3423"/>
      <c r="M30" s="3423"/>
      <c r="N30" s="3423"/>
      <c r="O30" s="3423"/>
      <c r="P30" s="7"/>
      <c r="Q30" s="1412"/>
      <c r="U30" s="1" t="s">
        <v>2096</v>
      </c>
      <c r="V30" s="1" t="s">
        <v>1964</v>
      </c>
      <c r="W30" t="s">
        <v>2356</v>
      </c>
      <c r="X30" t="s">
        <v>2357</v>
      </c>
    </row>
    <row r="31" spans="2:24">
      <c r="B31" s="1312"/>
      <c r="C31" s="7"/>
      <c r="D31" s="7" t="s">
        <v>2711</v>
      </c>
      <c r="E31" s="1317"/>
      <c r="F31" s="1316"/>
      <c r="G31" s="1584" t="s">
        <v>2710</v>
      </c>
      <c r="H31" s="1584" t="s">
        <v>2736</v>
      </c>
      <c r="I31" s="7"/>
      <c r="J31" s="501" t="s">
        <v>2709</v>
      </c>
      <c r="K31" s="1583" t="s">
        <v>2708</v>
      </c>
      <c r="L31" s="501" t="s">
        <v>1357</v>
      </c>
      <c r="M31" s="501" t="s">
        <v>2985</v>
      </c>
      <c r="N31" s="501" t="s">
        <v>1359</v>
      </c>
      <c r="O31" s="1309"/>
      <c r="P31" s="7"/>
      <c r="Q31" s="1412"/>
      <c r="U31" s="1">
        <v>1</v>
      </c>
      <c r="V31" s="1521">
        <f>J35</f>
        <v>1.1000000000000001</v>
      </c>
      <c r="W31">
        <f>(U32-U31)/(V32-V31)</f>
        <v>-9.9999999999999911</v>
      </c>
      <c r="X31">
        <f>U32-W31*V32</f>
        <v>11.999999999999991</v>
      </c>
    </row>
    <row r="32" spans="2:24">
      <c r="B32" s="1312"/>
      <c r="C32" s="7"/>
      <c r="D32" s="1309"/>
      <c r="E32" s="7"/>
      <c r="F32" s="1316" t="s">
        <v>2705</v>
      </c>
      <c r="G32" s="1587">
        <f>メイン!C47+メイン!C49+メイン!E60</f>
        <v>5000</v>
      </c>
      <c r="H32" s="1627">
        <f>IF($G$35=0,0,G32/$G$35)</f>
        <v>1</v>
      </c>
      <c r="I32" s="7"/>
      <c r="J32" s="1585">
        <v>1.1000000000000001</v>
      </c>
      <c r="K32" s="1586">
        <v>1</v>
      </c>
      <c r="L32" s="1585">
        <v>0.8</v>
      </c>
      <c r="M32" s="1585">
        <v>0.7</v>
      </c>
      <c r="N32" s="1585">
        <v>0.6</v>
      </c>
      <c r="O32" s="1309"/>
      <c r="P32" s="7"/>
      <c r="Q32" s="1412"/>
      <c r="U32" s="1">
        <v>2</v>
      </c>
      <c r="V32" s="1521">
        <f>K35</f>
        <v>1</v>
      </c>
      <c r="W32">
        <f>(U33-U32)/(V33-V32)</f>
        <v>-5.0000000000000009</v>
      </c>
      <c r="X32">
        <f>U33-W32*V33</f>
        <v>7.0000000000000009</v>
      </c>
    </row>
    <row r="33" spans="2:24">
      <c r="B33" s="1312"/>
      <c r="C33" s="7"/>
      <c r="D33" s="1309"/>
      <c r="E33" s="7"/>
      <c r="F33" s="1316" t="s">
        <v>2706</v>
      </c>
      <c r="G33" s="1587">
        <f>メイン!C54+メイン!C56+メイン!C57+メイン!C61+メイン!C62</f>
        <v>0</v>
      </c>
      <c r="H33" s="1627">
        <f>IF($G$35=0,0,G33/$G$35)</f>
        <v>0</v>
      </c>
      <c r="I33" s="7"/>
      <c r="J33" s="1585">
        <v>1.1000000000000001</v>
      </c>
      <c r="K33" s="1586">
        <v>1</v>
      </c>
      <c r="L33" s="1585">
        <v>0.8</v>
      </c>
      <c r="M33" s="1585">
        <v>0.75</v>
      </c>
      <c r="N33" s="1585">
        <v>0.7</v>
      </c>
      <c r="O33" s="1309"/>
      <c r="P33" s="7"/>
      <c r="Q33" s="1412"/>
      <c r="U33" s="1">
        <v>3</v>
      </c>
      <c r="V33" s="1521">
        <f>L35</f>
        <v>0.8</v>
      </c>
      <c r="W33">
        <f>(U34-U33)/(V34-V33)</f>
        <v>-9.9999999999999911</v>
      </c>
      <c r="X33">
        <f>U34-W33*V34</f>
        <v>10.999999999999993</v>
      </c>
    </row>
    <row r="34" spans="2:24">
      <c r="B34" s="1312"/>
      <c r="C34" s="7"/>
      <c r="D34" s="1309"/>
      <c r="E34" s="7"/>
      <c r="F34" s="1316" t="s">
        <v>2707</v>
      </c>
      <c r="G34" s="1319">
        <f>メイン!C64</f>
        <v>0</v>
      </c>
      <c r="H34" s="1627">
        <f>IF($G$35=0,0,G34/$G$35)</f>
        <v>0</v>
      </c>
      <c r="I34" s="7"/>
      <c r="J34" s="1585">
        <v>1.2</v>
      </c>
      <c r="K34" s="1586">
        <v>1.1000000000000001</v>
      </c>
      <c r="L34" s="1585">
        <v>1</v>
      </c>
      <c r="M34" s="1585">
        <v>0.9</v>
      </c>
      <c r="N34" s="1585">
        <v>0.85</v>
      </c>
      <c r="O34" s="1309"/>
      <c r="P34" s="7"/>
      <c r="Q34" s="1412"/>
      <c r="U34" s="1">
        <v>4</v>
      </c>
      <c r="V34" s="1521">
        <f>M35</f>
        <v>0.7</v>
      </c>
      <c r="W34">
        <f>(U35-U34)/(V35-V34)</f>
        <v>-10.000000000000002</v>
      </c>
      <c r="X34">
        <f>U35-W34*V35</f>
        <v>11</v>
      </c>
    </row>
    <row r="35" spans="2:24">
      <c r="B35" s="1312"/>
      <c r="C35" s="7"/>
      <c r="D35" s="1309"/>
      <c r="E35" s="7"/>
      <c r="F35" s="1425" t="s">
        <v>2704</v>
      </c>
      <c r="G35" s="1587">
        <f>SUM(G32:G34)</f>
        <v>5000</v>
      </c>
      <c r="H35" s="1587">
        <f>SUM(H32:H34)</f>
        <v>1</v>
      </c>
      <c r="I35" s="7"/>
      <c r="J35" s="1585">
        <f>SUMPRODUCT(J32:J34,$H$32:$H$34)</f>
        <v>1.1000000000000001</v>
      </c>
      <c r="K35" s="1586">
        <f>SUMPRODUCT(K32:K34,$H$32:$H$34)</f>
        <v>1</v>
      </c>
      <c r="L35" s="1585">
        <f>SUMPRODUCT(L32:L34,$H$32:$H$34)</f>
        <v>0.8</v>
      </c>
      <c r="M35" s="1585">
        <f>SUMPRODUCT(M32:M34,$H$32:$H$34)</f>
        <v>0.7</v>
      </c>
      <c r="N35" s="1585">
        <f>SUMPRODUCT(N32:N34,$H$32:$H$34)</f>
        <v>0.6</v>
      </c>
      <c r="O35" s="1309"/>
      <c r="P35" s="7"/>
      <c r="Q35" s="1412"/>
      <c r="U35" s="1">
        <v>5</v>
      </c>
      <c r="V35" s="1521">
        <f>N35</f>
        <v>0.6</v>
      </c>
    </row>
    <row r="36" spans="2:24" ht="14.25" thickBot="1">
      <c r="B36" s="1312"/>
      <c r="C36" s="7"/>
      <c r="D36" s="7"/>
      <c r="E36" s="7"/>
      <c r="F36" s="1543"/>
      <c r="G36" s="1543"/>
      <c r="H36" s="1543"/>
      <c r="I36" s="1543"/>
      <c r="J36" s="1648"/>
      <c r="K36" s="1543"/>
      <c r="L36" s="1543"/>
      <c r="M36" s="1543"/>
      <c r="N36" s="1543"/>
      <c r="O36" s="7"/>
      <c r="P36" s="7"/>
      <c r="Q36" s="1412"/>
    </row>
    <row r="37" spans="2:24" ht="14.25" thickBot="1">
      <c r="B37" s="1312"/>
      <c r="C37" s="7"/>
      <c r="D37" s="1309" t="s">
        <v>540</v>
      </c>
      <c r="E37" s="1309"/>
      <c r="F37" s="1309"/>
      <c r="G37" s="7"/>
      <c r="H37" s="1735">
        <f>IF(H23="",J77,J23)</f>
        <v>3</v>
      </c>
      <c r="I37" s="7"/>
      <c r="J37" s="7"/>
      <c r="K37" s="1309"/>
      <c r="L37" s="1309"/>
      <c r="M37" s="1309"/>
      <c r="N37" s="7"/>
      <c r="O37" s="1309"/>
      <c r="P37" s="7"/>
      <c r="Q37" s="1412"/>
    </row>
    <row r="38" spans="2:24">
      <c r="B38" s="1312"/>
      <c r="C38" s="7"/>
      <c r="D38" s="1309"/>
      <c r="E38" s="7"/>
      <c r="F38" s="1309"/>
      <c r="G38" s="7"/>
      <c r="H38" s="492"/>
      <c r="I38" s="7"/>
      <c r="J38" s="1309"/>
      <c r="K38" s="1309"/>
      <c r="L38" s="1309"/>
      <c r="M38" s="7"/>
      <c r="N38" s="7"/>
      <c r="O38" s="1309"/>
      <c r="P38" s="7"/>
      <c r="Q38" s="1412"/>
    </row>
    <row r="39" spans="2:24" ht="46.5" customHeight="1">
      <c r="B39" s="1312"/>
      <c r="C39" s="1413"/>
      <c r="D39" s="3423" t="s">
        <v>3011</v>
      </c>
      <c r="E39" s="3423"/>
      <c r="F39" s="3423"/>
      <c r="G39" s="3423"/>
      <c r="H39" s="3423"/>
      <c r="I39" s="3423"/>
      <c r="J39" s="3423"/>
      <c r="K39" s="3423"/>
      <c r="L39" s="3423"/>
      <c r="M39" s="3423"/>
      <c r="N39" s="3423"/>
      <c r="O39" s="3423"/>
      <c r="P39" s="7"/>
      <c r="Q39" s="1412"/>
    </row>
    <row r="40" spans="2:24" ht="14.25" thickBot="1">
      <c r="B40" s="1312"/>
      <c r="C40" s="7"/>
      <c r="D40" s="1309" t="s">
        <v>2986</v>
      </c>
      <c r="E40" s="7"/>
      <c r="F40" s="1309"/>
      <c r="G40" s="7"/>
      <c r="H40" s="7"/>
      <c r="I40" s="7"/>
      <c r="J40" s="7"/>
      <c r="K40" s="1309"/>
      <c r="L40" s="1309"/>
      <c r="M40" s="7"/>
      <c r="N40" s="7"/>
      <c r="O40" s="1309"/>
      <c r="P40" s="7"/>
      <c r="Q40" s="1412"/>
    </row>
    <row r="41" spans="2:24" ht="14.25" thickBot="1">
      <c r="B41" s="1312"/>
      <c r="C41" s="7"/>
      <c r="D41" s="1309"/>
      <c r="E41" s="7"/>
      <c r="F41" s="1309"/>
      <c r="G41" s="1425" t="s">
        <v>2981</v>
      </c>
      <c r="H41" s="1630"/>
      <c r="I41" s="1425"/>
      <c r="J41" s="1735" t="str">
        <f>IF(H41="",S41,IF(H41&lt;=V48,U48,IF(H41&gt;=V44,U44,H41*W42+X42)))</f>
        <v>BEI未入力</v>
      </c>
      <c r="K41" s="1543" t="s">
        <v>3002</v>
      </c>
      <c r="L41" s="1309"/>
      <c r="M41" s="7"/>
      <c r="N41" s="7"/>
      <c r="O41" s="1309"/>
      <c r="P41" s="7"/>
      <c r="Q41" s="1412"/>
      <c r="S41" t="s">
        <v>2738</v>
      </c>
    </row>
    <row r="42" spans="2:24">
      <c r="B42" s="1312"/>
      <c r="C42" s="7"/>
      <c r="D42" s="1309"/>
      <c r="E42" s="1317" t="s">
        <v>2990</v>
      </c>
      <c r="F42" s="1309"/>
      <c r="G42" s="7"/>
      <c r="H42" s="7"/>
      <c r="I42" s="7"/>
      <c r="J42" s="7"/>
      <c r="K42" s="1309"/>
      <c r="L42" s="1309"/>
      <c r="M42" s="7"/>
      <c r="N42" s="7"/>
      <c r="O42" s="1309"/>
      <c r="P42" s="7"/>
      <c r="Q42" s="1412"/>
      <c r="U42" s="1588" t="e">
        <f>IF($H$41&lt;=V48,U48,IF($H$41&lt;=V47,U47,IF($H$41&lt;=V46,U46,IF($H$41&lt;=V45,U45,U44))))</f>
        <v>#DIV/0!</v>
      </c>
      <c r="W42" t="e">
        <f>VLOOKUP($U$42,U44:X48,3)</f>
        <v>#DIV/0!</v>
      </c>
      <c r="X42" t="e">
        <f>VLOOKUP($U$42,U44:X48,4)</f>
        <v>#DIV/0!</v>
      </c>
    </row>
    <row r="43" spans="2:24">
      <c r="B43" s="1312"/>
      <c r="C43" s="7"/>
      <c r="D43" s="7"/>
      <c r="E43" s="1316"/>
      <c r="F43" s="1584" t="s">
        <v>2710</v>
      </c>
      <c r="G43" s="1584" t="s">
        <v>2989</v>
      </c>
      <c r="H43" s="1584" t="s">
        <v>2736</v>
      </c>
      <c r="I43" s="7"/>
      <c r="J43" s="501" t="s">
        <v>2709</v>
      </c>
      <c r="K43" s="1583" t="s">
        <v>2708</v>
      </c>
      <c r="L43" s="501" t="s">
        <v>1357</v>
      </c>
      <c r="M43" s="501" t="s">
        <v>1358</v>
      </c>
      <c r="N43" s="501" t="s">
        <v>1359</v>
      </c>
      <c r="O43" s="1309"/>
      <c r="P43" s="7"/>
      <c r="Q43" s="1412"/>
      <c r="U43" s="1" t="s">
        <v>955</v>
      </c>
      <c r="V43" s="1" t="s">
        <v>1964</v>
      </c>
      <c r="W43" t="s">
        <v>2356</v>
      </c>
      <c r="X43" t="s">
        <v>2357</v>
      </c>
    </row>
    <row r="44" spans="2:24">
      <c r="B44" s="1312"/>
      <c r="C44" s="7"/>
      <c r="D44" s="7"/>
      <c r="E44" s="1316" t="s">
        <v>2705</v>
      </c>
      <c r="F44" s="1587">
        <f>G32</f>
        <v>5000</v>
      </c>
      <c r="G44" s="1888"/>
      <c r="H44" s="1482" t="e">
        <f>G44/G47</f>
        <v>#DIV/0!</v>
      </c>
      <c r="I44" s="7"/>
      <c r="J44" s="1585">
        <v>1.1000000000000001</v>
      </c>
      <c r="K44" s="1586">
        <v>1</v>
      </c>
      <c r="L44" s="1585">
        <v>0.8</v>
      </c>
      <c r="M44" s="1585">
        <v>0.7</v>
      </c>
      <c r="N44" s="1585">
        <v>0.6</v>
      </c>
      <c r="O44" s="1309"/>
      <c r="P44" s="7"/>
      <c r="Q44" s="1412"/>
      <c r="U44" s="1">
        <v>1</v>
      </c>
      <c r="V44" s="1521" t="e">
        <f>J47</f>
        <v>#DIV/0!</v>
      </c>
      <c r="W44" t="e">
        <f>(U45-U44)/(V45-V44)</f>
        <v>#DIV/0!</v>
      </c>
      <c r="X44" t="e">
        <f>U45-W44*V45</f>
        <v>#DIV/0!</v>
      </c>
    </row>
    <row r="45" spans="2:24">
      <c r="B45" s="1312"/>
      <c r="C45" s="7"/>
      <c r="D45" s="1309"/>
      <c r="E45" s="1316" t="s">
        <v>2706</v>
      </c>
      <c r="F45" s="1587">
        <f>G33</f>
        <v>0</v>
      </c>
      <c r="G45" s="1888"/>
      <c r="H45" s="1482" t="e">
        <f>G45/G47</f>
        <v>#DIV/0!</v>
      </c>
      <c r="I45" s="7"/>
      <c r="J45" s="1585">
        <v>1.1000000000000001</v>
      </c>
      <c r="K45" s="1586">
        <v>1</v>
      </c>
      <c r="L45" s="1585">
        <v>0.8</v>
      </c>
      <c r="M45" s="1585">
        <v>0.75</v>
      </c>
      <c r="N45" s="1585">
        <v>0.7</v>
      </c>
      <c r="O45" s="1309"/>
      <c r="P45" s="7"/>
      <c r="Q45" s="1412"/>
      <c r="U45" s="1">
        <v>2</v>
      </c>
      <c r="V45" s="1521" t="e">
        <f>K47</f>
        <v>#DIV/0!</v>
      </c>
      <c r="W45" t="e">
        <f>(U46-U45)/(V46-V45)</f>
        <v>#DIV/0!</v>
      </c>
      <c r="X45" t="e">
        <f>U46-W45*V46</f>
        <v>#DIV/0!</v>
      </c>
    </row>
    <row r="46" spans="2:24">
      <c r="B46" s="1312"/>
      <c r="C46" s="7"/>
      <c r="D46" s="1309"/>
      <c r="E46" s="1316" t="s">
        <v>2982</v>
      </c>
      <c r="F46" s="1587">
        <f>メイン!C64</f>
        <v>0</v>
      </c>
      <c r="G46" s="1888"/>
      <c r="H46" s="1482" t="e">
        <f>G46/G47</f>
        <v>#DIV/0!</v>
      </c>
      <c r="I46" s="7"/>
      <c r="J46" s="1585">
        <v>1.2</v>
      </c>
      <c r="K46" s="1586">
        <v>1.1000000000000001</v>
      </c>
      <c r="L46" s="1585">
        <v>1</v>
      </c>
      <c r="M46" s="1585">
        <v>0.9</v>
      </c>
      <c r="N46" s="1585">
        <v>0.85</v>
      </c>
      <c r="O46" s="1309"/>
      <c r="P46" s="7"/>
      <c r="Q46" s="1412"/>
      <c r="U46" s="1">
        <v>3</v>
      </c>
      <c r="V46" s="1521" t="e">
        <f>L47</f>
        <v>#DIV/0!</v>
      </c>
      <c r="W46" t="e">
        <f>(U47-U46)/(V47-V46)</f>
        <v>#DIV/0!</v>
      </c>
      <c r="X46" t="e">
        <f>U47-W46*V47</f>
        <v>#DIV/0!</v>
      </c>
    </row>
    <row r="47" spans="2:24">
      <c r="B47" s="1312"/>
      <c r="C47" s="7"/>
      <c r="D47" s="1309"/>
      <c r="E47" s="1425" t="s">
        <v>2994</v>
      </c>
      <c r="F47" s="1587">
        <f>SUM(F44:F46)</f>
        <v>5000</v>
      </c>
      <c r="G47" s="1587">
        <f>SUM(G44:G46)</f>
        <v>0</v>
      </c>
      <c r="H47" s="1587" t="e">
        <f>SUM(H44:H46)</f>
        <v>#DIV/0!</v>
      </c>
      <c r="I47" s="7"/>
      <c r="J47" s="1585" t="e">
        <f>SUMPRODUCT(J44:J46,$H$44:$H$46)</f>
        <v>#DIV/0!</v>
      </c>
      <c r="K47" s="1586" t="e">
        <f>SUMPRODUCT(K44:K46,$H$44:$H$46)</f>
        <v>#DIV/0!</v>
      </c>
      <c r="L47" s="1585" t="e">
        <f>SUMPRODUCT(L44:L46,$H$44:$H$46)</f>
        <v>#DIV/0!</v>
      </c>
      <c r="M47" s="1585" t="e">
        <f>SUMPRODUCT(M44:M46,$H$44:$H$46)</f>
        <v>#DIV/0!</v>
      </c>
      <c r="N47" s="1585" t="e">
        <f>SUMPRODUCT(N44:N46,$H$44:$H$46)</f>
        <v>#DIV/0!</v>
      </c>
      <c r="O47" s="1309"/>
      <c r="P47" s="7"/>
      <c r="Q47" s="1412"/>
      <c r="U47" s="1">
        <v>4</v>
      </c>
      <c r="V47" s="1521" t="e">
        <f>M47</f>
        <v>#DIV/0!</v>
      </c>
      <c r="W47" t="e">
        <f>(U48-U47)/(V48-V47)</f>
        <v>#DIV/0!</v>
      </c>
      <c r="X47" t="e">
        <f>U48-W47*V48</f>
        <v>#DIV/0!</v>
      </c>
    </row>
    <row r="48" spans="2:24">
      <c r="B48" s="1312"/>
      <c r="C48" s="7"/>
      <c r="D48" s="1309"/>
      <c r="E48" s="7"/>
      <c r="F48" s="1309"/>
      <c r="G48" s="7"/>
      <c r="H48" s="7"/>
      <c r="I48" s="7"/>
      <c r="J48" s="7"/>
      <c r="K48" s="1309"/>
      <c r="L48" s="1309"/>
      <c r="M48" s="7"/>
      <c r="N48" s="7"/>
      <c r="O48" s="1309"/>
      <c r="P48" s="7"/>
      <c r="Q48" s="1412"/>
      <c r="U48" s="1">
        <v>5</v>
      </c>
      <c r="V48" s="1521" t="e">
        <f>N47</f>
        <v>#DIV/0!</v>
      </c>
    </row>
    <row r="49" spans="2:24" ht="14.25" thickBot="1">
      <c r="B49" s="1312"/>
      <c r="C49" s="7"/>
      <c r="D49" s="1309" t="s">
        <v>2987</v>
      </c>
      <c r="E49" s="7"/>
      <c r="F49" s="1309"/>
      <c r="G49" s="7"/>
      <c r="H49" s="7"/>
      <c r="I49" s="7"/>
      <c r="J49" s="7"/>
      <c r="K49" s="1309"/>
      <c r="L49" s="1309"/>
      <c r="M49" s="7"/>
      <c r="N49" s="7"/>
      <c r="O49" s="1309"/>
      <c r="P49" s="7"/>
      <c r="Q49" s="1412"/>
    </row>
    <row r="50" spans="2:24" ht="14.25" thickBot="1">
      <c r="B50" s="1312"/>
      <c r="C50" s="7"/>
      <c r="D50" s="1309"/>
      <c r="E50" s="7"/>
      <c r="F50" s="1309"/>
      <c r="G50" s="1425" t="s">
        <v>2988</v>
      </c>
      <c r="H50" s="1630"/>
      <c r="I50" s="1425"/>
      <c r="J50" s="1735" t="str">
        <f>IF(H50="",S50,IF(H50&lt;=V57,U57,IF(H50&gt;=V53,U53,H50*W51+X51)))</f>
        <v>BEI未入力</v>
      </c>
      <c r="K50" s="1309"/>
      <c r="L50" s="1309"/>
      <c r="M50" s="7"/>
      <c r="N50" s="7"/>
      <c r="O50" s="1309"/>
      <c r="P50" s="7"/>
      <c r="Q50" s="1412"/>
      <c r="S50" t="s">
        <v>2738</v>
      </c>
    </row>
    <row r="51" spans="2:24">
      <c r="B51" s="1312"/>
      <c r="C51" s="7"/>
      <c r="D51" s="1309"/>
      <c r="E51" s="1317" t="s">
        <v>2990</v>
      </c>
      <c r="F51" s="1309"/>
      <c r="G51" s="7"/>
      <c r="H51" s="7"/>
      <c r="I51" s="7"/>
      <c r="J51" s="7"/>
      <c r="K51" s="1309"/>
      <c r="L51" s="1309"/>
      <c r="M51" s="7"/>
      <c r="N51" s="7"/>
      <c r="O51" s="1309"/>
      <c r="P51" s="7"/>
      <c r="Q51" s="1412"/>
      <c r="U51" s="1588" t="e">
        <f>IF($H$50&lt;=V57,U57,IF($H$50&lt;=V56,U56,IF($H$50&lt;=V55,U55,IF($H$50&lt;=V54,U54,U53))))</f>
        <v>#DIV/0!</v>
      </c>
      <c r="W51" t="e">
        <f>VLOOKUP($U$51,U53:X57,3)</f>
        <v>#DIV/0!</v>
      </c>
      <c r="X51" t="e">
        <f>VLOOKUP($U$51,U53:X57,4)</f>
        <v>#DIV/0!</v>
      </c>
    </row>
    <row r="52" spans="2:24">
      <c r="B52" s="1312"/>
      <c r="C52" s="7"/>
      <c r="D52" s="1309"/>
      <c r="E52" s="1316"/>
      <c r="F52" s="1584" t="s">
        <v>2710</v>
      </c>
      <c r="G52" s="1584" t="s">
        <v>2989</v>
      </c>
      <c r="H52" s="1584" t="s">
        <v>2736</v>
      </c>
      <c r="I52" s="7"/>
      <c r="J52" s="501" t="s">
        <v>2709</v>
      </c>
      <c r="K52" s="1583" t="s">
        <v>2708</v>
      </c>
      <c r="L52" s="501" t="s">
        <v>1357</v>
      </c>
      <c r="M52" s="501" t="s">
        <v>1358</v>
      </c>
      <c r="N52" s="501" t="s">
        <v>1359</v>
      </c>
      <c r="O52" s="1309"/>
      <c r="P52" s="7"/>
      <c r="Q52" s="1412"/>
      <c r="U52" s="1" t="s">
        <v>955</v>
      </c>
      <c r="V52" s="1" t="s">
        <v>1964</v>
      </c>
      <c r="W52" t="s">
        <v>2356</v>
      </c>
      <c r="X52" t="s">
        <v>2357</v>
      </c>
    </row>
    <row r="53" spans="2:24">
      <c r="B53" s="1312"/>
      <c r="C53" s="7"/>
      <c r="D53" s="1309"/>
      <c r="E53" s="1316" t="s">
        <v>2705</v>
      </c>
      <c r="F53" s="1587">
        <f>F44</f>
        <v>5000</v>
      </c>
      <c r="G53" s="1888"/>
      <c r="H53" s="1482" t="e">
        <f>G53/G56</f>
        <v>#DIV/0!</v>
      </c>
      <c r="I53" s="7"/>
      <c r="J53" s="1585">
        <v>1.1000000000000001</v>
      </c>
      <c r="K53" s="1586">
        <v>1</v>
      </c>
      <c r="L53" s="1585">
        <v>0.8</v>
      </c>
      <c r="M53" s="1585">
        <v>0.7</v>
      </c>
      <c r="N53" s="1585">
        <v>0.6</v>
      </c>
      <c r="O53" s="1309"/>
      <c r="P53" s="7"/>
      <c r="Q53" s="1412"/>
      <c r="U53" s="1">
        <v>1</v>
      </c>
      <c r="V53" s="1521" t="e">
        <f>J56</f>
        <v>#DIV/0!</v>
      </c>
      <c r="W53" t="e">
        <f>(U54-U53)/(V54-V53)</f>
        <v>#DIV/0!</v>
      </c>
      <c r="X53" t="e">
        <f>U54-W53*V54</f>
        <v>#DIV/0!</v>
      </c>
    </row>
    <row r="54" spans="2:24">
      <c r="B54" s="1312"/>
      <c r="C54" s="7"/>
      <c r="D54" s="1309"/>
      <c r="E54" s="1316" t="s">
        <v>2706</v>
      </c>
      <c r="F54" s="1587">
        <f>F45</f>
        <v>0</v>
      </c>
      <c r="G54" s="1888"/>
      <c r="H54" s="1482" t="e">
        <f>G54/G56</f>
        <v>#DIV/0!</v>
      </c>
      <c r="I54" s="7"/>
      <c r="J54" s="1585">
        <v>1.1000000000000001</v>
      </c>
      <c r="K54" s="1586">
        <v>1</v>
      </c>
      <c r="L54" s="1585">
        <v>0.8</v>
      </c>
      <c r="M54" s="1585">
        <v>0.75</v>
      </c>
      <c r="N54" s="1585">
        <v>0.7</v>
      </c>
      <c r="O54" s="1309"/>
      <c r="P54" s="7"/>
      <c r="Q54" s="1412"/>
      <c r="U54" s="1">
        <v>2</v>
      </c>
      <c r="V54" s="1521" t="e">
        <f>K56</f>
        <v>#DIV/0!</v>
      </c>
      <c r="W54" t="e">
        <f>(U55-U54)/(V55-V54)</f>
        <v>#DIV/0!</v>
      </c>
      <c r="X54" t="e">
        <f>U55-W54*V55</f>
        <v>#DIV/0!</v>
      </c>
    </row>
    <row r="55" spans="2:24" hidden="1">
      <c r="B55" s="1312"/>
      <c r="C55" s="7"/>
      <c r="D55" s="1309"/>
      <c r="E55" s="1316" t="s">
        <v>1575</v>
      </c>
      <c r="F55" s="1587"/>
      <c r="G55" s="1587"/>
      <c r="H55" s="1482" t="e">
        <f>G55/G56</f>
        <v>#DIV/0!</v>
      </c>
      <c r="I55" s="7"/>
      <c r="J55" s="1585">
        <v>1.2</v>
      </c>
      <c r="K55" s="1586">
        <v>1.1000000000000001</v>
      </c>
      <c r="L55" s="1585">
        <v>1</v>
      </c>
      <c r="M55" s="1585">
        <v>0.9</v>
      </c>
      <c r="N55" s="1585">
        <v>0.85</v>
      </c>
      <c r="O55" s="1309"/>
      <c r="P55" s="7"/>
      <c r="Q55" s="1412"/>
      <c r="U55" s="1">
        <v>3</v>
      </c>
      <c r="V55" s="1521" t="e">
        <f>L56</f>
        <v>#DIV/0!</v>
      </c>
      <c r="W55" t="e">
        <f>(U56-U55)/(V56-V55)</f>
        <v>#DIV/0!</v>
      </c>
      <c r="X55" t="e">
        <f>U56-W55*V56</f>
        <v>#DIV/0!</v>
      </c>
    </row>
    <row r="56" spans="2:24">
      <c r="B56" s="1312"/>
      <c r="C56" s="7"/>
      <c r="D56" s="1309"/>
      <c r="E56" s="1425" t="s">
        <v>2994</v>
      </c>
      <c r="F56" s="1587">
        <f>SUM(F53:F55)</f>
        <v>5000</v>
      </c>
      <c r="G56" s="1587">
        <f>SUM(G53:G55)</f>
        <v>0</v>
      </c>
      <c r="H56" s="1587" t="e">
        <f>SUM(H53:H55)</f>
        <v>#DIV/0!</v>
      </c>
      <c r="I56" s="7"/>
      <c r="J56" s="1585" t="e">
        <f>SUMPRODUCT(J53:J55,$H$53:$H$55)</f>
        <v>#DIV/0!</v>
      </c>
      <c r="K56" s="1585" t="e">
        <f t="shared" ref="K56:L56" si="0">SUMPRODUCT(K53:K55,$H$53:$H$55)</f>
        <v>#DIV/0!</v>
      </c>
      <c r="L56" s="1585" t="e">
        <f t="shared" si="0"/>
        <v>#DIV/0!</v>
      </c>
      <c r="M56" s="1585" t="e">
        <f>SUMPRODUCT(M53:M55,$H$53:$H$55)</f>
        <v>#DIV/0!</v>
      </c>
      <c r="N56" s="1585" t="e">
        <f>SUMPRODUCT(N53:N55,$H$53:$H$55)</f>
        <v>#DIV/0!</v>
      </c>
      <c r="O56" s="1309"/>
      <c r="P56" s="7"/>
      <c r="Q56" s="1412"/>
      <c r="U56" s="1">
        <v>4</v>
      </c>
      <c r="V56" s="1521" t="e">
        <f>M56</f>
        <v>#DIV/0!</v>
      </c>
      <c r="W56" t="e">
        <f>(U57-U56)/(V57-V56)</f>
        <v>#DIV/0!</v>
      </c>
      <c r="X56" t="e">
        <f>U57-W56*V57</f>
        <v>#DIV/0!</v>
      </c>
    </row>
    <row r="57" spans="2:24">
      <c r="B57" s="1312"/>
      <c r="C57" s="7"/>
      <c r="D57" s="1309"/>
      <c r="E57" s="1425"/>
      <c r="F57" s="1884"/>
      <c r="G57" s="1884"/>
      <c r="H57" s="1885"/>
      <c r="I57" s="7"/>
      <c r="J57" s="1886"/>
      <c r="K57" s="1886"/>
      <c r="L57" s="1886"/>
      <c r="M57" s="1886"/>
      <c r="N57" s="1886"/>
      <c r="O57" s="1309"/>
      <c r="P57" s="7"/>
      <c r="Q57" s="1412"/>
      <c r="U57" s="1">
        <v>5</v>
      </c>
      <c r="V57" s="1521" t="e">
        <f>N56</f>
        <v>#DIV/0!</v>
      </c>
    </row>
    <row r="58" spans="2:24">
      <c r="B58" s="1312"/>
      <c r="C58" s="7"/>
      <c r="D58" s="1309" t="s">
        <v>2991</v>
      </c>
      <c r="E58" s="7"/>
      <c r="F58" s="1309"/>
      <c r="G58" s="7"/>
      <c r="H58" s="7"/>
      <c r="I58" s="7"/>
      <c r="J58" s="7"/>
      <c r="K58" s="7"/>
      <c r="L58" s="7"/>
      <c r="M58" s="7"/>
      <c r="N58" s="7"/>
      <c r="O58" s="7"/>
      <c r="P58" s="7"/>
      <c r="Q58" s="1412"/>
    </row>
    <row r="59" spans="2:24">
      <c r="B59" s="1312"/>
      <c r="C59" s="7"/>
      <c r="D59" s="7"/>
      <c r="E59" s="7" t="s">
        <v>2983</v>
      </c>
      <c r="F59" s="1309"/>
      <c r="G59" s="1309"/>
      <c r="H59" s="1309"/>
      <c r="I59" s="1309"/>
      <c r="J59" s="1309"/>
      <c r="K59" s="1309"/>
      <c r="L59" s="1309"/>
      <c r="M59" s="7"/>
      <c r="N59" s="7"/>
      <c r="O59" s="7"/>
      <c r="P59" s="7"/>
      <c r="Q59" s="1412"/>
      <c r="S59" s="1445" t="s">
        <v>2494</v>
      </c>
    </row>
    <row r="60" spans="2:24" ht="13.5" customHeight="1">
      <c r="B60" s="1312"/>
      <c r="C60" s="7"/>
      <c r="D60" s="7"/>
      <c r="E60" s="3418" t="s">
        <v>2721</v>
      </c>
      <c r="F60" s="3418"/>
      <c r="G60" s="3418"/>
      <c r="H60" s="3418"/>
      <c r="I60" s="3418"/>
      <c r="J60" s="3418"/>
      <c r="K60" s="3418"/>
      <c r="L60" s="3418"/>
      <c r="M60" s="3418"/>
      <c r="N60" s="3418"/>
      <c r="O60" s="3418"/>
      <c r="P60" s="7"/>
      <c r="Q60" s="1412"/>
      <c r="S60">
        <v>1</v>
      </c>
    </row>
    <row r="61" spans="2:24" ht="31.5" customHeight="1" thickBot="1">
      <c r="B61" s="1312"/>
      <c r="C61" s="7"/>
      <c r="D61" s="7"/>
      <c r="E61" s="3418"/>
      <c r="F61" s="3418"/>
      <c r="G61" s="3418"/>
      <c r="H61" s="3418"/>
      <c r="I61" s="3418"/>
      <c r="J61" s="3418"/>
      <c r="K61" s="3418"/>
      <c r="L61" s="3418"/>
      <c r="M61" s="3418"/>
      <c r="N61" s="3418"/>
      <c r="O61" s="3418"/>
      <c r="P61" s="7"/>
      <c r="Q61" s="1412"/>
      <c r="S61">
        <v>3</v>
      </c>
    </row>
    <row r="62" spans="2:24" ht="14.25" thickBot="1">
      <c r="B62" s="1312"/>
      <c r="C62" s="7"/>
      <c r="D62" s="7"/>
      <c r="E62" s="1592" t="s">
        <v>2501</v>
      </c>
      <c r="F62" s="3420" t="s">
        <v>2494</v>
      </c>
      <c r="G62" s="3421"/>
      <c r="H62" s="3422"/>
      <c r="I62" s="1581"/>
      <c r="J62" s="1581"/>
      <c r="K62" s="1581"/>
      <c r="L62" s="7"/>
      <c r="M62" s="7"/>
      <c r="N62" s="7"/>
      <c r="O62" s="7"/>
      <c r="P62" s="7"/>
      <c r="Q62" s="1412"/>
    </row>
    <row r="63" spans="2:24" ht="7.5" customHeight="1" thickBot="1">
      <c r="B63" s="1312"/>
      <c r="C63" s="7"/>
      <c r="D63" s="7"/>
      <c r="E63" s="7"/>
      <c r="F63" s="7"/>
      <c r="G63" s="7"/>
      <c r="H63" s="7"/>
      <c r="I63" s="7"/>
      <c r="J63" s="1309"/>
      <c r="K63" s="7"/>
      <c r="L63" s="7"/>
      <c r="M63" s="7"/>
      <c r="N63" s="7"/>
      <c r="O63" s="7"/>
      <c r="P63" s="7"/>
      <c r="Q63" s="1412"/>
    </row>
    <row r="64" spans="2:24" ht="14.25" thickBot="1">
      <c r="B64" s="1312"/>
      <c r="C64" s="7"/>
      <c r="D64" s="7"/>
      <c r="E64" s="1592" t="s">
        <v>1965</v>
      </c>
      <c r="F64" s="1310"/>
      <c r="G64" s="7"/>
      <c r="H64" s="7"/>
      <c r="I64" s="7"/>
      <c r="J64" s="1309"/>
      <c r="K64" s="1592" t="s">
        <v>1966</v>
      </c>
      <c r="L64" s="1310"/>
      <c r="M64" s="7"/>
      <c r="N64" s="7"/>
      <c r="O64" s="7"/>
      <c r="P64" s="7"/>
      <c r="Q64" s="1412"/>
      <c r="S64" t="s">
        <v>1959</v>
      </c>
      <c r="T64" t="s">
        <v>1957</v>
      </c>
    </row>
    <row r="65" spans="2:20">
      <c r="B65" s="1312"/>
      <c r="C65" s="7"/>
      <c r="D65" s="7"/>
      <c r="E65" s="7"/>
      <c r="F65" s="1543" t="s">
        <v>2495</v>
      </c>
      <c r="G65" s="1543"/>
      <c r="H65" s="1543"/>
      <c r="I65" s="1543"/>
      <c r="J65" s="1648"/>
      <c r="K65" s="1648"/>
      <c r="L65" s="1543" t="s">
        <v>2499</v>
      </c>
      <c r="M65" s="1543"/>
      <c r="N65" s="1543"/>
      <c r="O65" s="7"/>
      <c r="P65" s="7"/>
      <c r="Q65" s="1412"/>
      <c r="S65" t="s">
        <v>1961</v>
      </c>
      <c r="T65" t="s">
        <v>1960</v>
      </c>
    </row>
    <row r="66" spans="2:20">
      <c r="B66" s="1312"/>
      <c r="C66" s="7"/>
      <c r="D66" s="7"/>
      <c r="E66" s="7"/>
      <c r="F66" s="1543" t="s">
        <v>2496</v>
      </c>
      <c r="G66" s="1543"/>
      <c r="H66" s="1543"/>
      <c r="I66" s="1543"/>
      <c r="J66" s="1648"/>
      <c r="K66" s="1648"/>
      <c r="L66" s="1543" t="s">
        <v>2500</v>
      </c>
      <c r="M66" s="1543"/>
      <c r="N66" s="1543"/>
      <c r="O66" s="7"/>
      <c r="P66" s="7"/>
      <c r="Q66" s="1412"/>
      <c r="S66" t="s">
        <v>1962</v>
      </c>
      <c r="T66" t="s">
        <v>1968</v>
      </c>
    </row>
    <row r="67" spans="2:20">
      <c r="B67" s="1312"/>
      <c r="C67" s="7"/>
      <c r="D67" s="7"/>
      <c r="E67" s="7"/>
      <c r="F67" s="1543" t="s">
        <v>2497</v>
      </c>
      <c r="G67" s="1543"/>
      <c r="H67" s="1543"/>
      <c r="I67" s="1543"/>
      <c r="J67" s="1648"/>
      <c r="K67" s="1648"/>
      <c r="L67" s="1543" t="s">
        <v>2498</v>
      </c>
      <c r="M67" s="1543"/>
      <c r="N67" s="1543"/>
      <c r="O67" s="7"/>
      <c r="P67" s="7"/>
      <c r="Q67" s="1412"/>
      <c r="S67" t="s">
        <v>1968</v>
      </c>
    </row>
    <row r="68" spans="2:20">
      <c r="B68" s="1312"/>
      <c r="C68" s="7"/>
      <c r="D68" s="7"/>
      <c r="E68" s="7"/>
      <c r="F68" s="1543" t="s">
        <v>2498</v>
      </c>
      <c r="G68" s="1543"/>
      <c r="H68" s="1543"/>
      <c r="I68" s="1543"/>
      <c r="J68" s="1648"/>
      <c r="K68" s="1543"/>
      <c r="L68" s="1543"/>
      <c r="M68" s="1543"/>
      <c r="N68" s="1543"/>
      <c r="O68" s="7"/>
      <c r="P68" s="7"/>
      <c r="Q68" s="1412"/>
    </row>
    <row r="69" spans="2:20" ht="14.25" hidden="1" thickBot="1">
      <c r="B69" s="1312"/>
      <c r="C69" s="7"/>
      <c r="D69" s="1309"/>
      <c r="E69" s="7"/>
      <c r="F69" s="1309"/>
      <c r="G69" s="7"/>
      <c r="H69" s="1879"/>
      <c r="I69" s="1880" t="s">
        <v>2735</v>
      </c>
      <c r="J69" s="1881">
        <v>0.8</v>
      </c>
      <c r="K69" s="1543"/>
      <c r="L69" s="1309"/>
      <c r="M69" s="7"/>
      <c r="N69" s="7"/>
      <c r="O69" s="1309"/>
      <c r="P69" s="7"/>
      <c r="Q69" s="1412"/>
    </row>
    <row r="70" spans="2:20">
      <c r="B70" s="1312"/>
      <c r="C70" s="7"/>
      <c r="D70" s="1309"/>
      <c r="E70" s="1317" t="s">
        <v>2999</v>
      </c>
      <c r="F70" s="1309"/>
      <c r="G70" s="1888"/>
      <c r="H70" s="7" t="s">
        <v>3000</v>
      </c>
      <c r="I70" s="7"/>
      <c r="J70" s="7" t="s">
        <v>3001</v>
      </c>
      <c r="K70" s="1543"/>
      <c r="L70" s="1309"/>
      <c r="M70" s="7"/>
      <c r="N70" s="7"/>
      <c r="O70" s="1309"/>
      <c r="P70" s="7"/>
      <c r="Q70" s="1412"/>
    </row>
    <row r="71" spans="2:20">
      <c r="B71" s="1312"/>
      <c r="C71" s="7"/>
      <c r="D71" s="1309"/>
      <c r="E71" s="1317"/>
      <c r="F71" s="1309"/>
      <c r="G71" s="7"/>
      <c r="H71" s="7"/>
      <c r="I71" s="7"/>
      <c r="J71" s="7"/>
      <c r="K71" s="1543"/>
      <c r="L71" s="1309"/>
      <c r="M71" s="7"/>
      <c r="N71" s="7"/>
      <c r="O71" s="1309"/>
      <c r="P71" s="7"/>
      <c r="Q71" s="1412"/>
    </row>
    <row r="72" spans="2:20">
      <c r="B72" s="1312"/>
      <c r="C72" s="7"/>
      <c r="D72" s="1317" t="s">
        <v>2995</v>
      </c>
      <c r="E72" s="1317"/>
      <c r="F72" s="1309"/>
      <c r="G72" s="1309"/>
      <c r="H72" s="1309"/>
      <c r="I72" s="7"/>
      <c r="J72" s="1309"/>
      <c r="K72" s="1309"/>
      <c r="L72" s="1309"/>
      <c r="M72" s="1309"/>
      <c r="N72" s="7"/>
      <c r="O72" s="1309"/>
      <c r="P72" s="7"/>
      <c r="Q72" s="1412"/>
    </row>
    <row r="73" spans="2:20" ht="14.25" thickBot="1">
      <c r="B73" s="1312"/>
      <c r="C73" s="7"/>
      <c r="D73" s="1317"/>
      <c r="E73" s="7"/>
      <c r="F73" s="1317"/>
      <c r="G73" s="1584" t="s">
        <v>2989</v>
      </c>
      <c r="H73" s="1584" t="s">
        <v>2736</v>
      </c>
      <c r="I73" s="7"/>
      <c r="J73" s="1309"/>
      <c r="K73" s="1309"/>
      <c r="L73" s="1309"/>
      <c r="M73" s="1309"/>
      <c r="N73" s="7"/>
      <c r="O73" s="1309"/>
      <c r="P73" s="7"/>
      <c r="Q73" s="1412"/>
    </row>
    <row r="74" spans="2:20" ht="14.25" thickBot="1">
      <c r="B74" s="1312"/>
      <c r="C74" s="7"/>
      <c r="D74" s="1309"/>
      <c r="E74" s="7"/>
      <c r="F74" s="1316" t="s">
        <v>2996</v>
      </c>
      <c r="G74" s="1587">
        <f>G47</f>
        <v>0</v>
      </c>
      <c r="H74" s="1482" t="e">
        <f>G74/G$77</f>
        <v>#DIV/0!</v>
      </c>
      <c r="I74" s="7"/>
      <c r="J74" s="1735" t="str">
        <f>J41</f>
        <v>BEI未入力</v>
      </c>
      <c r="K74" s="1309"/>
      <c r="L74" s="1309"/>
      <c r="M74" s="1309"/>
      <c r="N74" s="7"/>
      <c r="O74" s="1309"/>
      <c r="P74" s="7"/>
      <c r="Q74" s="1412"/>
    </row>
    <row r="75" spans="2:20" ht="14.25" thickBot="1">
      <c r="B75" s="1312"/>
      <c r="C75" s="7"/>
      <c r="D75" s="1309"/>
      <c r="E75" s="7"/>
      <c r="F75" s="1316" t="s">
        <v>2997</v>
      </c>
      <c r="G75" s="1587">
        <f>G56</f>
        <v>0</v>
      </c>
      <c r="H75" s="1482" t="e">
        <f t="shared" ref="H75:H76" si="1">G75/G$77</f>
        <v>#DIV/0!</v>
      </c>
      <c r="I75" s="7"/>
      <c r="J75" s="1735" t="str">
        <f>J50</f>
        <v>BEI未入力</v>
      </c>
      <c r="K75" s="1309"/>
      <c r="L75" s="1309"/>
      <c r="M75" s="1309"/>
      <c r="N75" s="7"/>
      <c r="O75" s="1309"/>
      <c r="P75" s="7"/>
      <c r="Q75" s="1412"/>
    </row>
    <row r="76" spans="2:20" ht="14.25" thickBot="1">
      <c r="B76" s="1312"/>
      <c r="C76" s="7"/>
      <c r="D76" s="1309"/>
      <c r="E76" s="7"/>
      <c r="F76" s="1316" t="s">
        <v>2998</v>
      </c>
      <c r="G76" s="1587">
        <f>G70</f>
        <v>0</v>
      </c>
      <c r="H76" s="1482" t="e">
        <f t="shared" si="1"/>
        <v>#DIV/0!</v>
      </c>
      <c r="I76" s="7"/>
      <c r="J76" s="1736" t="str">
        <f>F62</f>
        <v>算定プログラムによる評価</v>
      </c>
      <c r="K76" s="1309"/>
      <c r="L76" s="1309"/>
      <c r="M76" s="1309"/>
      <c r="N76" s="7"/>
      <c r="O76" s="1309"/>
      <c r="P76" s="7"/>
      <c r="Q76" s="1412"/>
    </row>
    <row r="77" spans="2:20" ht="14.25" thickBot="1">
      <c r="B77" s="1312"/>
      <c r="C77" s="7"/>
      <c r="D77" s="1309"/>
      <c r="E77" s="7"/>
      <c r="F77" s="1425" t="s">
        <v>3003</v>
      </c>
      <c r="G77" s="1587">
        <f>SUM(G74:G76)</f>
        <v>0</v>
      </c>
      <c r="H77" s="1587" t="e">
        <f>SUM(H74:H76)</f>
        <v>#DIV/0!</v>
      </c>
      <c r="I77" s="7"/>
      <c r="J77" s="1735">
        <f>IF(G77=0,0,SUMPRODUCT(H74:H76,J74:J76))</f>
        <v>0</v>
      </c>
      <c r="K77" s="1887" t="str">
        <f>IF(G77&lt;&gt;G35,"建物全体の面積と評価対象面積の合計があっていません。","")</f>
        <v>建物全体の面積と評価対象面積の合計があっていません。</v>
      </c>
      <c r="L77" s="1309"/>
      <c r="M77" s="7"/>
      <c r="N77" s="7"/>
      <c r="O77" s="1309"/>
      <c r="P77" s="7"/>
      <c r="Q77" s="1412"/>
    </row>
    <row r="78" spans="2:20">
      <c r="B78" s="1312"/>
      <c r="C78" s="1413"/>
      <c r="D78" s="1309"/>
      <c r="E78" s="7"/>
      <c r="F78" s="7"/>
      <c r="G78" s="7"/>
      <c r="H78" s="1309"/>
      <c r="I78" s="7"/>
      <c r="J78" s="7"/>
      <c r="K78" s="7"/>
      <c r="L78" s="1581"/>
      <c r="M78" s="7"/>
      <c r="N78" s="7"/>
      <c r="O78" s="7"/>
      <c r="P78" s="7"/>
      <c r="Q78" s="1412"/>
    </row>
    <row r="79" spans="2:20">
      <c r="B79" s="1312"/>
      <c r="C79" s="1733" t="s">
        <v>2838</v>
      </c>
      <c r="D79" s="1309" t="s">
        <v>2984</v>
      </c>
      <c r="E79" s="7"/>
      <c r="F79" s="1309"/>
      <c r="G79" s="7"/>
      <c r="H79" s="492"/>
      <c r="I79" s="7"/>
      <c r="J79" s="1309"/>
      <c r="K79" s="1309"/>
      <c r="L79" s="1309"/>
      <c r="M79" s="7"/>
      <c r="N79" s="7"/>
      <c r="O79" s="1309"/>
      <c r="P79" s="7"/>
      <c r="Q79" s="1412"/>
    </row>
    <row r="80" spans="2:20">
      <c r="B80" s="1312"/>
      <c r="C80" s="1413"/>
      <c r="D80" s="1733"/>
      <c r="E80" s="1309"/>
      <c r="F80" s="1309"/>
      <c r="G80" s="7"/>
      <c r="H80" s="492"/>
      <c r="I80" s="7"/>
      <c r="J80" s="1656" t="s">
        <v>91</v>
      </c>
      <c r="K80" s="1655" t="s">
        <v>2690</v>
      </c>
      <c r="L80" s="1654"/>
      <c r="M80" s="1654"/>
      <c r="N80" s="1656" t="s">
        <v>386</v>
      </c>
      <c r="O80" s="1309"/>
      <c r="P80" s="7"/>
      <c r="Q80" s="1412"/>
    </row>
    <row r="81" spans="2:20" ht="37.5" customHeight="1">
      <c r="B81" s="1312"/>
      <c r="C81" s="7"/>
      <c r="D81" s="1309"/>
      <c r="E81" s="7"/>
      <c r="F81" s="1309"/>
      <c r="G81" s="7"/>
      <c r="H81" s="1309"/>
      <c r="I81" s="1309"/>
      <c r="J81" s="1657"/>
      <c r="K81" s="1584" t="s">
        <v>2737</v>
      </c>
      <c r="L81" s="2696" t="s">
        <v>3010</v>
      </c>
      <c r="M81" s="1882" t="s">
        <v>2748</v>
      </c>
      <c r="N81" s="1657"/>
      <c r="O81" s="1648"/>
      <c r="P81" s="7"/>
      <c r="Q81" s="1412"/>
    </row>
    <row r="82" spans="2:20" ht="14.25" customHeight="1">
      <c r="B82" s="1312"/>
      <c r="C82" s="7"/>
      <c r="D82" s="7" t="s">
        <v>2746</v>
      </c>
      <c r="E82" s="7"/>
      <c r="F82" s="7"/>
      <c r="G82" s="7"/>
      <c r="H82" s="7"/>
      <c r="I82" s="7"/>
      <c r="J82" s="513"/>
      <c r="K82" s="1883"/>
      <c r="L82" s="1883"/>
      <c r="M82" s="1883"/>
      <c r="N82" s="1319">
        <f>SUM(J82:M82)</f>
        <v>0</v>
      </c>
      <c r="O82" s="1543" t="s">
        <v>539</v>
      </c>
      <c r="P82" s="7"/>
      <c r="Q82" s="1412"/>
    </row>
    <row r="83" spans="2:20" ht="14.25" customHeight="1">
      <c r="B83" s="1312"/>
      <c r="C83" s="7"/>
      <c r="D83" s="7" t="s">
        <v>2747</v>
      </c>
      <c r="E83" s="7"/>
      <c r="F83" s="7"/>
      <c r="G83" s="7"/>
      <c r="H83" s="7"/>
      <c r="I83" s="7"/>
      <c r="J83" s="513"/>
      <c r="K83" s="1883"/>
      <c r="L83" s="1883"/>
      <c r="M83" s="1883"/>
      <c r="N83" s="1319">
        <f>SUM(J83:M83)</f>
        <v>0</v>
      </c>
      <c r="O83" s="7"/>
      <c r="P83" s="7"/>
      <c r="Q83" s="1412"/>
    </row>
    <row r="84" spans="2:20">
      <c r="B84" s="1312"/>
      <c r="C84" s="7"/>
      <c r="D84" s="7" t="s">
        <v>2742</v>
      </c>
      <c r="E84" s="7"/>
      <c r="F84" s="7"/>
      <c r="G84" s="7"/>
      <c r="H84" s="7"/>
      <c r="I84" s="1316" t="s">
        <v>2744</v>
      </c>
      <c r="J84" s="1883">
        <v>0</v>
      </c>
      <c r="K84" s="1883"/>
      <c r="L84" s="1883"/>
      <c r="M84" s="1882"/>
      <c r="N84" s="1319">
        <f>SUM(J84:L84)</f>
        <v>0</v>
      </c>
      <c r="O84" s="1543"/>
      <c r="P84" s="7"/>
      <c r="Q84" s="1412"/>
    </row>
    <row r="85" spans="2:20">
      <c r="B85" s="1312"/>
      <c r="C85" s="7"/>
      <c r="D85" s="7"/>
      <c r="E85" s="7"/>
      <c r="F85" s="7"/>
      <c r="G85" s="7"/>
      <c r="H85" s="7"/>
      <c r="I85" s="1316" t="s">
        <v>2743</v>
      </c>
      <c r="J85" s="1883"/>
      <c r="K85" s="1883"/>
      <c r="L85" s="1883"/>
      <c r="M85" s="1882"/>
      <c r="N85" s="1319">
        <f>SUM(J85:L85)</f>
        <v>0</v>
      </c>
      <c r="O85" s="1543"/>
      <c r="P85" s="7"/>
      <c r="Q85" s="1412"/>
    </row>
    <row r="86" spans="2:20">
      <c r="B86" s="1312"/>
      <c r="C86" s="7"/>
      <c r="D86" s="7"/>
      <c r="E86" s="1543" t="s">
        <v>2745</v>
      </c>
      <c r="F86" s="7"/>
      <c r="G86" s="7"/>
      <c r="H86" s="7"/>
      <c r="I86" s="7"/>
      <c r="J86" s="7"/>
      <c r="K86" s="7"/>
      <c r="L86" s="7"/>
      <c r="M86" s="7"/>
      <c r="N86" s="7"/>
      <c r="O86" s="7"/>
      <c r="P86" s="7"/>
      <c r="Q86" s="1412"/>
    </row>
    <row r="87" spans="2:20" ht="39" customHeight="1">
      <c r="B87" s="1312"/>
      <c r="C87" s="7"/>
      <c r="D87" s="7"/>
      <c r="E87" s="1590" t="s">
        <v>2967</v>
      </c>
      <c r="F87" s="3418" t="s">
        <v>2968</v>
      </c>
      <c r="G87" s="3418"/>
      <c r="H87" s="3418"/>
      <c r="I87" s="3418"/>
      <c r="J87" s="3418"/>
      <c r="K87" s="3418"/>
      <c r="L87" s="3418"/>
      <c r="M87" s="3418"/>
      <c r="N87" s="3418"/>
      <c r="O87" s="3418"/>
      <c r="P87" s="3418"/>
      <c r="Q87" s="1412"/>
    </row>
    <row r="88" spans="2:20" ht="3.75" customHeight="1" thickBot="1">
      <c r="B88" s="1416"/>
      <c r="C88" s="1417"/>
      <c r="D88" s="1417"/>
      <c r="E88" s="1624"/>
      <c r="F88" s="1623"/>
      <c r="G88" s="1623"/>
      <c r="H88" s="1623"/>
      <c r="I88" s="1623"/>
      <c r="J88" s="1623"/>
      <c r="K88" s="1623"/>
      <c r="L88" s="1623"/>
      <c r="M88" s="1417"/>
      <c r="N88" s="1623"/>
      <c r="O88" s="1623"/>
      <c r="P88" s="1623"/>
      <c r="Q88" s="1418"/>
    </row>
    <row r="89" spans="2:20" ht="3.75" customHeight="1" thickBot="1">
      <c r="B89" s="474"/>
      <c r="C89" s="474"/>
      <c r="D89" s="474"/>
      <c r="E89" s="474"/>
      <c r="F89" s="474"/>
      <c r="G89" s="474"/>
      <c r="H89" s="474"/>
      <c r="I89" s="474"/>
      <c r="J89" s="474"/>
      <c r="K89" s="474"/>
      <c r="L89" s="474"/>
      <c r="M89" s="474"/>
      <c r="N89" s="474"/>
      <c r="O89" s="474"/>
      <c r="P89" s="474"/>
      <c r="Q89" s="474"/>
    </row>
    <row r="90" spans="2:20" ht="27" customHeight="1">
      <c r="B90" s="1419"/>
      <c r="C90" s="1420" t="s">
        <v>1821</v>
      </c>
      <c r="D90" s="1421"/>
      <c r="E90" s="1421"/>
      <c r="F90" s="1421"/>
      <c r="G90" s="1421"/>
      <c r="H90" s="1421"/>
      <c r="I90" s="1421"/>
      <c r="J90" s="1421"/>
      <c r="K90" s="1421"/>
      <c r="L90" s="1421"/>
      <c r="M90" s="1421"/>
      <c r="N90" s="1422"/>
      <c r="O90" s="1423"/>
      <c r="P90" s="1422"/>
      <c r="Q90" s="1424"/>
    </row>
    <row r="91" spans="2:20">
      <c r="B91" s="1315"/>
      <c r="C91" s="499" t="s">
        <v>2741</v>
      </c>
      <c r="D91" s="499"/>
      <c r="E91" s="7"/>
      <c r="F91" s="7"/>
      <c r="G91" s="1309"/>
      <c r="H91" s="7"/>
      <c r="I91" s="7"/>
      <c r="J91" s="7"/>
      <c r="K91" s="7"/>
      <c r="L91" s="7"/>
      <c r="M91" s="7"/>
      <c r="N91" s="7" t="s">
        <v>2002</v>
      </c>
      <c r="O91" s="7"/>
      <c r="P91" s="1507" t="s">
        <v>2003</v>
      </c>
      <c r="Q91" s="1405"/>
    </row>
    <row r="92" spans="2:20">
      <c r="B92" s="1315"/>
      <c r="C92" s="499"/>
      <c r="D92" s="1309" t="s">
        <v>91</v>
      </c>
      <c r="E92" s="1309"/>
      <c r="F92" s="1316" t="s">
        <v>2740</v>
      </c>
      <c r="G92" s="1318">
        <f>IF(H27="",S92,H27)</f>
        <v>0.8</v>
      </c>
      <c r="H92" s="7"/>
      <c r="I92" s="7"/>
      <c r="J92" s="1317" t="s">
        <v>2695</v>
      </c>
      <c r="K92" s="7"/>
      <c r="L92" s="1314" t="s">
        <v>92</v>
      </c>
      <c r="M92" s="7"/>
      <c r="N92" s="1481" t="s">
        <v>539</v>
      </c>
      <c r="O92" s="504"/>
      <c r="P92" s="1481" t="s">
        <v>539</v>
      </c>
      <c r="Q92" s="498"/>
      <c r="S92" t="s">
        <v>2738</v>
      </c>
    </row>
    <row r="93" spans="2:20">
      <c r="B93" s="1315"/>
      <c r="C93" s="499"/>
      <c r="D93" s="499"/>
      <c r="E93" s="499"/>
      <c r="F93" s="1316" t="s">
        <v>2693</v>
      </c>
      <c r="G93" s="1318">
        <f>J85</f>
        <v>0</v>
      </c>
      <c r="H93" s="1649" t="s">
        <v>539</v>
      </c>
      <c r="I93" s="7"/>
      <c r="J93" s="1319">
        <f>(H117*N117+N118*H118)/1000</f>
        <v>0</v>
      </c>
      <c r="K93" s="1649" t="s">
        <v>539</v>
      </c>
      <c r="L93" s="1406">
        <f>N121</f>
        <v>1</v>
      </c>
      <c r="M93" s="1320"/>
      <c r="N93" s="1407">
        <f>(J113*G92+G93-J93)*L93</f>
        <v>5920</v>
      </c>
      <c r="O93" s="504"/>
      <c r="P93" s="1407">
        <f>J113</f>
        <v>7400</v>
      </c>
      <c r="Q93" s="1410"/>
    </row>
    <row r="94" spans="2:20" ht="6.75" customHeight="1">
      <c r="B94" s="1312"/>
      <c r="C94" s="7"/>
      <c r="D94" s="7"/>
      <c r="E94" s="7"/>
      <c r="F94" s="7"/>
      <c r="G94" s="7"/>
      <c r="H94" s="7"/>
      <c r="I94" s="7"/>
      <c r="J94" s="7"/>
      <c r="K94" s="7"/>
      <c r="L94" s="7"/>
      <c r="M94" s="7"/>
      <c r="N94" s="7"/>
      <c r="O94" s="7"/>
      <c r="P94" s="7"/>
      <c r="Q94" s="1412"/>
    </row>
    <row r="95" spans="2:20">
      <c r="B95" s="1312"/>
      <c r="C95" s="7"/>
      <c r="D95" s="7"/>
      <c r="E95" s="7"/>
      <c r="F95" s="7"/>
      <c r="G95" s="1314"/>
      <c r="H95" s="1314" t="s">
        <v>544</v>
      </c>
      <c r="I95" s="7"/>
      <c r="J95" s="1314" t="s">
        <v>2694</v>
      </c>
      <c r="K95" s="1314"/>
      <c r="L95" s="1314" t="s">
        <v>2117</v>
      </c>
      <c r="M95" s="7"/>
      <c r="N95" s="7"/>
      <c r="O95" s="7"/>
      <c r="P95" s="7"/>
      <c r="Q95" s="1412"/>
    </row>
    <row r="96" spans="2:20">
      <c r="B96" s="1312"/>
      <c r="C96" s="7"/>
      <c r="D96" s="7"/>
      <c r="E96" s="7"/>
      <c r="F96" s="7"/>
      <c r="G96" s="1316"/>
      <c r="H96" s="1316" t="s">
        <v>2017</v>
      </c>
      <c r="I96" s="7"/>
      <c r="J96" s="1314" t="s">
        <v>541</v>
      </c>
      <c r="K96" s="1314"/>
      <c r="L96" s="1650" t="s">
        <v>1491</v>
      </c>
      <c r="M96" s="7"/>
      <c r="N96" s="7"/>
      <c r="O96" s="7"/>
      <c r="P96" s="7"/>
      <c r="Q96" s="1412"/>
      <c r="S96" t="s">
        <v>586</v>
      </c>
      <c r="T96" s="1434">
        <f>T113/P93</f>
        <v>0.9</v>
      </c>
    </row>
    <row r="97" spans="2:19">
      <c r="B97" s="1312"/>
      <c r="C97" s="7"/>
      <c r="D97" s="7"/>
      <c r="E97" s="1631" t="s">
        <v>1486</v>
      </c>
      <c r="F97" s="1632" t="s">
        <v>377</v>
      </c>
      <c r="G97" s="1633"/>
      <c r="H97" s="1321">
        <f>メイン!R47</f>
        <v>5000</v>
      </c>
      <c r="I97" s="7"/>
      <c r="J97" s="1321">
        <f>CO2データ!H190</f>
        <v>1480</v>
      </c>
      <c r="K97" s="7"/>
      <c r="L97" s="1634" t="e">
        <f>CO2データ!R190</f>
        <v>#VALUE!</v>
      </c>
      <c r="M97" s="7"/>
      <c r="N97" s="7"/>
      <c r="O97" s="7"/>
      <c r="P97" s="7"/>
      <c r="Q97" s="1412"/>
      <c r="S97" s="1432">
        <f>CO2データ!N190</f>
        <v>0.9</v>
      </c>
    </row>
    <row r="98" spans="2:19">
      <c r="B98" s="1312"/>
      <c r="C98" s="7"/>
      <c r="D98" s="7"/>
      <c r="E98" s="1635"/>
      <c r="F98" s="1632" t="s">
        <v>1929</v>
      </c>
      <c r="G98" s="1633"/>
      <c r="H98" s="1321">
        <f>メイン!R48</f>
        <v>0</v>
      </c>
      <c r="I98" s="7"/>
      <c r="J98" s="1321">
        <f>CO2データ!H191</f>
        <v>0</v>
      </c>
      <c r="K98" s="7"/>
      <c r="L98" s="1634" t="e">
        <f>CO2データ!R191</f>
        <v>#VALUE!</v>
      </c>
      <c r="M98" s="7"/>
      <c r="N98" s="7"/>
      <c r="O98" s="7"/>
      <c r="P98" s="7"/>
      <c r="Q98" s="1412"/>
      <c r="S98" s="1432">
        <f>CO2データ!N191</f>
        <v>0.82</v>
      </c>
    </row>
    <row r="99" spans="2:19">
      <c r="B99" s="1312"/>
      <c r="C99" s="7"/>
      <c r="D99" s="7"/>
      <c r="E99" s="1636" t="s">
        <v>1933</v>
      </c>
      <c r="F99" s="1632" t="s">
        <v>1934</v>
      </c>
      <c r="G99" s="1633"/>
      <c r="H99" s="1321">
        <f>メイン!R49</f>
        <v>0</v>
      </c>
      <c r="I99" s="7"/>
      <c r="J99" s="1321">
        <f>CO2データ!H192</f>
        <v>0</v>
      </c>
      <c r="K99" s="7"/>
      <c r="L99" s="1634" t="e">
        <f>CO2データ!R192</f>
        <v>#VALUE!</v>
      </c>
      <c r="M99" s="7"/>
      <c r="N99" s="7"/>
      <c r="O99" s="7"/>
      <c r="P99" s="7"/>
      <c r="Q99" s="1412"/>
      <c r="S99" s="1432">
        <f>CO2データ!N192</f>
        <v>0.68</v>
      </c>
    </row>
    <row r="100" spans="2:19">
      <c r="B100" s="1312"/>
      <c r="C100" s="7"/>
      <c r="D100" s="7"/>
      <c r="E100" s="1636"/>
      <c r="F100" s="1637" t="s">
        <v>1935</v>
      </c>
      <c r="G100" s="1638" t="s">
        <v>1936</v>
      </c>
      <c r="H100" s="1321">
        <f>メイン!R50</f>
        <v>0</v>
      </c>
      <c r="I100" s="7"/>
      <c r="J100" s="1321">
        <f>CO2データ!H193</f>
        <v>0</v>
      </c>
      <c r="K100" s="7"/>
      <c r="L100" s="1634" t="e">
        <f>CO2データ!R193</f>
        <v>#VALUE!</v>
      </c>
      <c r="M100" s="7"/>
      <c r="N100" s="7"/>
      <c r="O100" s="7"/>
      <c r="P100" s="7"/>
      <c r="Q100" s="1412"/>
      <c r="S100" s="1432">
        <f>CO2データ!N193</f>
        <v>0.40660921848225862</v>
      </c>
    </row>
    <row r="101" spans="2:19">
      <c r="B101" s="1312"/>
      <c r="C101" s="7"/>
      <c r="D101" s="7"/>
      <c r="E101" s="1636"/>
      <c r="F101" s="1639"/>
      <c r="G101" s="1638" t="s">
        <v>2286</v>
      </c>
      <c r="H101" s="1321">
        <f>メイン!R51</f>
        <v>0</v>
      </c>
      <c r="I101" s="7"/>
      <c r="J101" s="1321">
        <f>CO2データ!H194</f>
        <v>0</v>
      </c>
      <c r="K101" s="7"/>
      <c r="L101" s="1634" t="e">
        <f>CO2データ!R194</f>
        <v>#VALUE!</v>
      </c>
      <c r="M101" s="7"/>
      <c r="N101" s="7"/>
      <c r="O101" s="7"/>
      <c r="P101" s="7"/>
      <c r="Q101" s="1412"/>
      <c r="S101" s="1432">
        <f>CO2データ!N194</f>
        <v>0.70611799443264323</v>
      </c>
    </row>
    <row r="102" spans="2:19">
      <c r="B102" s="1312"/>
      <c r="C102" s="7"/>
      <c r="D102" s="7"/>
      <c r="E102" s="1636"/>
      <c r="F102" s="1632" t="s">
        <v>1937</v>
      </c>
      <c r="G102" s="1633"/>
      <c r="H102" s="1321">
        <f>メイン!R52</f>
        <v>0</v>
      </c>
      <c r="I102" s="7"/>
      <c r="J102" s="1321">
        <f>CO2データ!H195</f>
        <v>0</v>
      </c>
      <c r="K102" s="7"/>
      <c r="L102" s="1634" t="e">
        <f>CO2データ!R195</f>
        <v>#VALUE!</v>
      </c>
      <c r="M102" s="7"/>
      <c r="N102" s="7"/>
      <c r="O102" s="7"/>
      <c r="P102" s="7"/>
      <c r="Q102" s="1412"/>
      <c r="S102" s="1432">
        <f>CO2データ!N195</f>
        <v>0.73</v>
      </c>
    </row>
    <row r="103" spans="2:19">
      <c r="B103" s="1312"/>
      <c r="C103" s="7"/>
      <c r="D103" s="7"/>
      <c r="E103" s="1635"/>
      <c r="F103" s="1632" t="s">
        <v>1938</v>
      </c>
      <c r="G103" s="1633"/>
      <c r="H103" s="1321">
        <f>メイン!R53</f>
        <v>0</v>
      </c>
      <c r="I103" s="7"/>
      <c r="J103" s="1321">
        <f>CO2データ!H196</f>
        <v>0</v>
      </c>
      <c r="K103" s="7"/>
      <c r="L103" s="1634" t="e">
        <f>CO2データ!R196</f>
        <v>#VALUE!</v>
      </c>
      <c r="M103" s="7"/>
      <c r="N103" s="7"/>
      <c r="O103" s="7"/>
      <c r="P103" s="7"/>
      <c r="Q103" s="1412"/>
      <c r="S103" s="1432">
        <f>CO2データ!N196</f>
        <v>0.75</v>
      </c>
    </row>
    <row r="104" spans="2:19">
      <c r="B104" s="1312"/>
      <c r="C104" s="7"/>
      <c r="D104" s="7"/>
      <c r="E104" s="1631" t="s">
        <v>1930</v>
      </c>
      <c r="F104" s="1632" t="s">
        <v>1641</v>
      </c>
      <c r="G104" s="1633"/>
      <c r="H104" s="1321">
        <f>メイン!R54</f>
        <v>0</v>
      </c>
      <c r="I104" s="7"/>
      <c r="J104" s="1321">
        <f>CO2データ!H197</f>
        <v>0</v>
      </c>
      <c r="K104" s="7"/>
      <c r="L104" s="1634" t="e">
        <f>CO2データ!R197</f>
        <v>#VALUE!</v>
      </c>
      <c r="M104" s="7"/>
      <c r="N104" s="7"/>
      <c r="O104" s="7"/>
      <c r="P104" s="7"/>
      <c r="Q104" s="1412"/>
      <c r="S104" s="1432">
        <f>CO2データ!N197</f>
        <v>0.92</v>
      </c>
    </row>
    <row r="105" spans="2:19">
      <c r="B105" s="1312"/>
      <c r="C105" s="7"/>
      <c r="D105" s="7"/>
      <c r="E105" s="1635"/>
      <c r="F105" s="1632" t="s">
        <v>1931</v>
      </c>
      <c r="G105" s="1633"/>
      <c r="H105" s="1321">
        <f>メイン!R55</f>
        <v>0</v>
      </c>
      <c r="I105" s="7"/>
      <c r="J105" s="1321">
        <f>CO2データ!H198</f>
        <v>0</v>
      </c>
      <c r="K105" s="7"/>
      <c r="L105" s="1634" t="e">
        <f>CO2データ!R198</f>
        <v>#VALUE!</v>
      </c>
      <c r="M105" s="7"/>
      <c r="N105" s="7"/>
      <c r="O105" s="7"/>
      <c r="P105" s="7"/>
      <c r="Q105" s="1412"/>
      <c r="S105" s="1432">
        <f>CO2データ!N198</f>
        <v>0.93</v>
      </c>
    </row>
    <row r="106" spans="2:19">
      <c r="B106" s="1312"/>
      <c r="C106" s="7"/>
      <c r="D106" s="7"/>
      <c r="E106" s="1632" t="s">
        <v>380</v>
      </c>
      <c r="F106" s="1640"/>
      <c r="G106" s="1633"/>
      <c r="H106" s="1321">
        <f>メイン!R56</f>
        <v>0</v>
      </c>
      <c r="I106" s="7"/>
      <c r="J106" s="1321">
        <f>CO2データ!H199</f>
        <v>0</v>
      </c>
      <c r="K106" s="7"/>
      <c r="L106" s="1634" t="e">
        <f>CO2データ!R199</f>
        <v>#VALUE!</v>
      </c>
      <c r="M106" s="7"/>
      <c r="N106" s="7"/>
      <c r="O106" s="7"/>
      <c r="P106" s="7"/>
      <c r="Q106" s="1412"/>
      <c r="S106" s="1432">
        <f>CO2データ!N199</f>
        <v>0.49</v>
      </c>
    </row>
    <row r="107" spans="2:19">
      <c r="B107" s="1312"/>
      <c r="C107" s="7"/>
      <c r="D107" s="7"/>
      <c r="E107" s="1631" t="s">
        <v>1939</v>
      </c>
      <c r="F107" s="1632" t="s">
        <v>1940</v>
      </c>
      <c r="G107" s="1633"/>
      <c r="H107" s="1321">
        <f>メイン!R57</f>
        <v>0</v>
      </c>
      <c r="I107" s="7"/>
      <c r="J107" s="1321">
        <f>CO2データ!H200</f>
        <v>0</v>
      </c>
      <c r="K107" s="7"/>
      <c r="L107" s="1634" t="e">
        <f>CO2データ!R200</f>
        <v>#VALUE!</v>
      </c>
      <c r="M107" s="7"/>
      <c r="N107" s="7"/>
      <c r="O107" s="7"/>
      <c r="P107" s="7"/>
      <c r="Q107" s="1412"/>
      <c r="S107" s="1432">
        <f>CO2データ!N200</f>
        <v>0.76</v>
      </c>
    </row>
    <row r="108" spans="2:19">
      <c r="B108" s="1312"/>
      <c r="C108" s="7"/>
      <c r="D108" s="7"/>
      <c r="E108" s="1636"/>
      <c r="F108" s="1632" t="s">
        <v>1941</v>
      </c>
      <c r="G108" s="1633"/>
      <c r="H108" s="1321">
        <f>メイン!R58</f>
        <v>0</v>
      </c>
      <c r="I108" s="7"/>
      <c r="J108" s="1321">
        <f>CO2データ!H201</f>
        <v>0</v>
      </c>
      <c r="K108" s="7"/>
      <c r="L108" s="1634" t="e">
        <f>CO2データ!R201</f>
        <v>#VALUE!</v>
      </c>
      <c r="M108" s="7"/>
      <c r="N108" s="7"/>
      <c r="O108" s="7"/>
      <c r="P108" s="7"/>
      <c r="Q108" s="1412"/>
      <c r="S108" s="1432">
        <f>CO2データ!N201</f>
        <v>0.81</v>
      </c>
    </row>
    <row r="109" spans="2:19">
      <c r="B109" s="1312"/>
      <c r="C109" s="7"/>
      <c r="D109" s="7"/>
      <c r="E109" s="1636"/>
      <c r="F109" s="1637" t="s">
        <v>1942</v>
      </c>
      <c r="G109" s="1641"/>
      <c r="H109" s="1321">
        <f>メイン!R59</f>
        <v>0</v>
      </c>
      <c r="I109" s="7"/>
      <c r="J109" s="1321">
        <f>CO2データ!H202</f>
        <v>0</v>
      </c>
      <c r="K109" s="7"/>
      <c r="L109" s="1634" t="e">
        <f>CO2データ!R202</f>
        <v>#VALUE!</v>
      </c>
      <c r="M109" s="7"/>
      <c r="N109" s="7"/>
      <c r="O109" s="7"/>
      <c r="P109" s="7"/>
      <c r="Q109" s="1412"/>
      <c r="S109" s="1432">
        <f>CO2データ!N202</f>
        <v>0.61</v>
      </c>
    </row>
    <row r="110" spans="2:19">
      <c r="B110" s="1312"/>
      <c r="C110" s="7"/>
      <c r="D110" s="7"/>
      <c r="E110" s="1632" t="s">
        <v>385</v>
      </c>
      <c r="F110" s="1640"/>
      <c r="G110" s="1633"/>
      <c r="H110" s="1321">
        <f>メイン!E60</f>
        <v>0</v>
      </c>
      <c r="I110" s="7"/>
      <c r="J110" s="1321">
        <f>CO2データ!H203</f>
        <v>0</v>
      </c>
      <c r="K110" s="7"/>
      <c r="L110" s="1634" t="e">
        <f>CO2データ!R203</f>
        <v>#VALUE!</v>
      </c>
      <c r="M110" s="7"/>
      <c r="N110" s="7"/>
      <c r="O110" s="7"/>
      <c r="P110" s="7"/>
      <c r="Q110" s="1412"/>
      <c r="S110" s="1432">
        <f>CO2データ!N203</f>
        <v>1</v>
      </c>
    </row>
    <row r="111" spans="2:19">
      <c r="B111" s="1312"/>
      <c r="C111" s="7"/>
      <c r="D111" s="7"/>
      <c r="E111" s="1632" t="s">
        <v>382</v>
      </c>
      <c r="F111" s="1640"/>
      <c r="G111" s="1633"/>
      <c r="H111" s="1321">
        <f>メイン!R61</f>
        <v>0</v>
      </c>
      <c r="I111" s="7"/>
      <c r="J111" s="1321">
        <f>CO2データ!H204</f>
        <v>0</v>
      </c>
      <c r="K111" s="7"/>
      <c r="L111" s="1634" t="e">
        <f>CO2データ!R204</f>
        <v>#VALUE!</v>
      </c>
      <c r="M111" s="7"/>
      <c r="N111" s="7"/>
      <c r="O111" s="7"/>
      <c r="P111" s="7"/>
      <c r="Q111" s="1412"/>
      <c r="S111" s="1432">
        <f>CO2データ!N204</f>
        <v>0.56000000000000005</v>
      </c>
    </row>
    <row r="112" spans="2:19" ht="14.25" thickBot="1">
      <c r="B112" s="1312"/>
      <c r="C112" s="7"/>
      <c r="D112" s="7"/>
      <c r="E112" s="1632" t="s">
        <v>1932</v>
      </c>
      <c r="F112" s="1640"/>
      <c r="G112" s="1633"/>
      <c r="H112" s="1321">
        <f>メイン!R62</f>
        <v>0</v>
      </c>
      <c r="I112" s="7"/>
      <c r="J112" s="1321">
        <f>CO2データ!H205</f>
        <v>0</v>
      </c>
      <c r="K112" s="7"/>
      <c r="L112" s="1642" t="e">
        <f>CO2データ!R205</f>
        <v>#VALUE!</v>
      </c>
      <c r="M112" s="7"/>
      <c r="N112" s="7"/>
      <c r="O112" s="7"/>
      <c r="P112" s="7"/>
      <c r="Q112" s="1412"/>
      <c r="S112" s="1432">
        <f>CO2データ!N205</f>
        <v>0.56000000000000005</v>
      </c>
    </row>
    <row r="113" spans="2:20" ht="14.25" thickBot="1">
      <c r="B113" s="1312"/>
      <c r="C113" s="7"/>
      <c r="D113" s="7"/>
      <c r="E113" s="1632" t="s">
        <v>91</v>
      </c>
      <c r="F113" s="1640" t="s">
        <v>386</v>
      </c>
      <c r="G113" s="1633"/>
      <c r="H113" s="1321">
        <f>SUM(H97:H112)</f>
        <v>5000</v>
      </c>
      <c r="I113" s="7"/>
      <c r="J113" s="1321">
        <f>SUMPRODUCT(H97:H112,J97:J112)/1000</f>
        <v>7400</v>
      </c>
      <c r="K113" s="1543" t="s">
        <v>539</v>
      </c>
      <c r="L113" s="1643" t="e">
        <f>SUMPRODUCT(H97:H112,L97:L112)/H113</f>
        <v>#VALUE!</v>
      </c>
      <c r="M113" s="7"/>
      <c r="N113" s="7"/>
      <c r="O113" s="7"/>
      <c r="P113" s="7"/>
      <c r="Q113" s="1412"/>
      <c r="S113" t="s">
        <v>2696</v>
      </c>
      <c r="T113" s="1433">
        <f>SUMPRODUCT(H97:H112,J97:J112,S97:S112)/1000</f>
        <v>6660</v>
      </c>
    </row>
    <row r="114" spans="2:20">
      <c r="B114" s="1312"/>
      <c r="C114" s="7"/>
      <c r="D114" s="7"/>
      <c r="E114" s="7"/>
      <c r="F114" s="7"/>
      <c r="G114" s="7"/>
      <c r="H114" s="7"/>
      <c r="I114" s="7"/>
      <c r="J114" s="7"/>
      <c r="K114" s="7"/>
      <c r="L114" s="7"/>
      <c r="M114" s="7"/>
      <c r="N114" s="7"/>
      <c r="O114" s="7"/>
      <c r="P114" s="7"/>
      <c r="Q114" s="1412"/>
    </row>
    <row r="115" spans="2:20">
      <c r="B115" s="1312"/>
      <c r="C115" s="7"/>
      <c r="D115" s="7"/>
      <c r="E115" s="506" t="s">
        <v>1820</v>
      </c>
      <c r="F115" s="1317"/>
      <c r="G115" s="7"/>
      <c r="H115" s="1314" t="s">
        <v>544</v>
      </c>
      <c r="I115" s="7"/>
      <c r="J115" s="7"/>
      <c r="K115" s="7"/>
      <c r="L115" s="7"/>
      <c r="M115" s="7"/>
      <c r="N115" s="7"/>
      <c r="O115" s="7"/>
      <c r="P115" s="7"/>
      <c r="Q115" s="1412"/>
    </row>
    <row r="116" spans="2:20">
      <c r="B116" s="1322"/>
      <c r="C116" s="499"/>
      <c r="D116" s="499"/>
      <c r="E116" s="506"/>
      <c r="F116" s="506" t="s">
        <v>2507</v>
      </c>
      <c r="G116" s="1317"/>
      <c r="H116" s="1652" t="s">
        <v>2017</v>
      </c>
      <c r="I116" s="1316"/>
      <c r="J116" s="501" t="s">
        <v>1357</v>
      </c>
      <c r="K116" s="501" t="s">
        <v>1358</v>
      </c>
      <c r="L116" s="501" t="s">
        <v>1359</v>
      </c>
      <c r="M116" s="502" t="s">
        <v>273</v>
      </c>
      <c r="N116" s="502" t="s">
        <v>1751</v>
      </c>
      <c r="O116" s="1324"/>
      <c r="P116" s="1628"/>
      <c r="Q116" s="1325"/>
    </row>
    <row r="117" spans="2:20">
      <c r="B117" s="1322"/>
      <c r="C117" s="499"/>
      <c r="D117" s="499"/>
      <c r="E117" s="506"/>
      <c r="F117" s="506"/>
      <c r="G117" s="1316" t="s">
        <v>3015</v>
      </c>
      <c r="H117" s="1319">
        <f>H100+H101+H102+G16</f>
        <v>0</v>
      </c>
      <c r="I117" s="1316"/>
      <c r="J117" s="1866">
        <v>0</v>
      </c>
      <c r="K117" s="1866">
        <v>1</v>
      </c>
      <c r="L117" s="1866">
        <v>15</v>
      </c>
      <c r="M117" s="1326">
        <f>採点LR1!L33</f>
        <v>3</v>
      </c>
      <c r="N117" s="1429">
        <f>IF(M117&gt;=5,$L117,IF(M117&gt;=4,$K117,$J117))</f>
        <v>0</v>
      </c>
      <c r="O117" s="7"/>
      <c r="P117" s="1628"/>
      <c r="Q117" s="1325"/>
    </row>
    <row r="118" spans="2:20">
      <c r="B118" s="1322"/>
      <c r="C118" s="499"/>
      <c r="D118" s="499"/>
      <c r="E118" s="506"/>
      <c r="F118" s="506"/>
      <c r="G118" s="1317" t="s">
        <v>1713</v>
      </c>
      <c r="H118" s="1644">
        <f>H113-H100-H101-H102</f>
        <v>5000</v>
      </c>
      <c r="I118" s="1316"/>
      <c r="J118" s="1866">
        <v>0</v>
      </c>
      <c r="K118" s="1866">
        <v>1</v>
      </c>
      <c r="L118" s="1866">
        <f>採点LR1!H41</f>
        <v>0</v>
      </c>
      <c r="M118" s="1326">
        <f>採点LR1!G44</f>
        <v>3</v>
      </c>
      <c r="N118" s="1429">
        <f>IF(M118&gt;=5,$L118,IF(M118&gt;=4,$K118,$J118))</f>
        <v>0</v>
      </c>
      <c r="O118" s="1543" t="s">
        <v>2438</v>
      </c>
      <c r="P118" s="1628"/>
      <c r="Q118" s="1325"/>
    </row>
    <row r="119" spans="2:20">
      <c r="B119" s="1322"/>
      <c r="C119" s="499"/>
      <c r="D119" s="499"/>
      <c r="E119" s="1328"/>
      <c r="F119" s="1328"/>
      <c r="G119" s="1323"/>
      <c r="H119" s="1317"/>
      <c r="I119" s="1317"/>
      <c r="J119" s="1317"/>
      <c r="K119" s="1317"/>
      <c r="L119" s="1317"/>
      <c r="M119" s="1317"/>
      <c r="N119" s="1317"/>
      <c r="O119" s="1324"/>
      <c r="P119" s="1628"/>
      <c r="Q119" s="1325"/>
    </row>
    <row r="120" spans="2:20">
      <c r="B120" s="1315"/>
      <c r="C120" s="499"/>
      <c r="D120" s="499"/>
      <c r="E120" s="506" t="s">
        <v>311</v>
      </c>
      <c r="F120" s="1328"/>
      <c r="G120" s="7"/>
      <c r="H120" s="1426"/>
      <c r="I120" s="7"/>
      <c r="J120" s="501" t="s">
        <v>1357</v>
      </c>
      <c r="K120" s="501" t="s">
        <v>1358</v>
      </c>
      <c r="L120" s="501" t="s">
        <v>1359</v>
      </c>
      <c r="M120" s="502" t="s">
        <v>273</v>
      </c>
      <c r="N120" s="502" t="s">
        <v>542</v>
      </c>
      <c r="O120" s="504"/>
      <c r="P120" s="1628"/>
      <c r="Q120" s="1325"/>
    </row>
    <row r="121" spans="2:20">
      <c r="B121" s="1315"/>
      <c r="C121" s="499"/>
      <c r="D121" s="499"/>
      <c r="E121" s="506"/>
      <c r="F121" s="506" t="s">
        <v>543</v>
      </c>
      <c r="G121" s="7"/>
      <c r="H121" s="7"/>
      <c r="I121" s="7"/>
      <c r="J121" s="1482">
        <v>1</v>
      </c>
      <c r="K121" s="1867">
        <v>0.97499999999999998</v>
      </c>
      <c r="L121" s="1482">
        <v>0.95</v>
      </c>
      <c r="M121" s="1326">
        <f>スコア!Q139</f>
        <v>3</v>
      </c>
      <c r="N121" s="1327">
        <f>IF(M121&gt;=5,$L121,IF(M121&gt;=4,$K121,$J121))</f>
        <v>1</v>
      </c>
      <c r="O121" s="504"/>
      <c r="P121" s="1628"/>
      <c r="Q121" s="1325"/>
    </row>
    <row r="122" spans="2:20">
      <c r="B122" s="1315"/>
      <c r="C122" s="499"/>
      <c r="D122" s="7"/>
      <c r="E122" s="7"/>
      <c r="F122" s="7"/>
      <c r="G122" s="7"/>
      <c r="H122" s="7"/>
      <c r="I122" s="7"/>
      <c r="J122" s="7"/>
      <c r="K122" s="7"/>
      <c r="L122" s="7"/>
      <c r="M122" s="7"/>
      <c r="N122" s="496"/>
      <c r="O122" s="504"/>
      <c r="P122" s="496"/>
      <c r="Q122" s="498"/>
    </row>
    <row r="123" spans="2:20">
      <c r="B123" s="1315"/>
      <c r="C123" s="499"/>
      <c r="D123" s="7"/>
      <c r="E123" s="1309"/>
      <c r="F123" s="7"/>
      <c r="G123" s="1337"/>
      <c r="H123" s="7"/>
      <c r="I123" s="7"/>
      <c r="J123" s="7"/>
      <c r="K123" s="7"/>
      <c r="L123" s="7"/>
      <c r="M123" s="7"/>
      <c r="N123" s="7" t="s">
        <v>2002</v>
      </c>
      <c r="O123" s="7"/>
      <c r="P123" s="1507" t="s">
        <v>2003</v>
      </c>
      <c r="Q123" s="1405"/>
    </row>
    <row r="124" spans="2:20">
      <c r="B124" s="1315"/>
      <c r="C124" s="499"/>
      <c r="D124" s="1309" t="s">
        <v>2690</v>
      </c>
      <c r="E124" s="1309"/>
      <c r="F124" s="1317"/>
      <c r="G124" s="1337"/>
      <c r="H124" s="7"/>
      <c r="I124" s="7"/>
      <c r="J124" s="7"/>
      <c r="K124" s="7"/>
      <c r="L124" s="7"/>
      <c r="M124" s="7"/>
      <c r="N124" s="1481" t="s">
        <v>539</v>
      </c>
      <c r="O124" s="504"/>
      <c r="P124" s="1481" t="s">
        <v>539</v>
      </c>
      <c r="Q124" s="498"/>
    </row>
    <row r="125" spans="2:20">
      <c r="B125" s="1315"/>
      <c r="C125" s="499"/>
      <c r="D125" s="7"/>
      <c r="E125" s="1317" t="s">
        <v>1963</v>
      </c>
      <c r="F125" s="1317"/>
      <c r="G125" s="1317"/>
      <c r="H125" s="1317"/>
      <c r="I125" s="1317"/>
      <c r="J125" s="1317"/>
      <c r="K125" s="1317" t="s">
        <v>2002</v>
      </c>
      <c r="L125" s="1317" t="s">
        <v>2003</v>
      </c>
      <c r="M125" s="7"/>
      <c r="N125" s="1407" t="e">
        <f>K83+K85+H127*K127/1000</f>
        <v>#N/A</v>
      </c>
      <c r="O125" s="7"/>
      <c r="P125" s="1407" t="e">
        <f>K82+H127*L127/1000</f>
        <v>#N/A</v>
      </c>
      <c r="Q125" s="1410"/>
      <c r="S125" s="1432"/>
    </row>
    <row r="126" spans="2:20">
      <c r="B126" s="1315"/>
      <c r="C126" s="499"/>
      <c r="D126" s="7"/>
      <c r="E126" s="1317"/>
      <c r="F126" s="1316"/>
      <c r="G126" s="1316" t="s">
        <v>3004</v>
      </c>
      <c r="H126" s="1407">
        <f>メイン!E64-H127</f>
        <v>0</v>
      </c>
      <c r="I126" s="1651" t="s">
        <v>558</v>
      </c>
      <c r="J126" s="1317"/>
      <c r="K126" s="1645">
        <f>K83+K85</f>
        <v>0</v>
      </c>
      <c r="L126" s="1645">
        <f>K82</f>
        <v>0</v>
      </c>
      <c r="M126" s="1486" t="s">
        <v>539</v>
      </c>
      <c r="N126" s="1409"/>
      <c r="O126" s="7"/>
      <c r="P126" s="1409"/>
      <c r="Q126" s="1410"/>
    </row>
    <row r="127" spans="2:20">
      <c r="B127" s="1315"/>
      <c r="C127" s="499"/>
      <c r="D127" s="7"/>
      <c r="E127" s="1317"/>
      <c r="F127" s="7"/>
      <c r="G127" s="1316" t="s">
        <v>3005</v>
      </c>
      <c r="H127" s="1407">
        <f>G70</f>
        <v>0</v>
      </c>
      <c r="I127" s="1651" t="s">
        <v>558</v>
      </c>
      <c r="J127" s="1317"/>
      <c r="K127" s="1645" t="e">
        <f>CO2データ!I235</f>
        <v>#N/A</v>
      </c>
      <c r="L127" s="1645" t="e">
        <f>CO2データ!I236</f>
        <v>#N/A</v>
      </c>
      <c r="M127" s="1653" t="s">
        <v>2438</v>
      </c>
      <c r="N127" s="7"/>
      <c r="O127" s="504"/>
      <c r="P127" s="496"/>
      <c r="Q127" s="498"/>
    </row>
    <row r="128" spans="2:20">
      <c r="B128" s="1315"/>
      <c r="C128" s="499"/>
      <c r="D128" s="7"/>
      <c r="E128" s="1317" t="s">
        <v>690</v>
      </c>
      <c r="F128" s="7"/>
      <c r="G128" s="1317"/>
      <c r="H128" s="7"/>
      <c r="I128" s="7"/>
      <c r="J128" s="1317"/>
      <c r="K128" s="1313"/>
      <c r="L128" s="1314"/>
      <c r="M128" s="7"/>
      <c r="N128" s="1407" t="str">
        <f>IF(L83=0,"-",L83+M83+L85)</f>
        <v>-</v>
      </c>
      <c r="O128" s="504"/>
      <c r="P128" s="1407">
        <f>L82+M82</f>
        <v>0</v>
      </c>
      <c r="Q128" s="1410"/>
      <c r="S128" s="1432"/>
    </row>
    <row r="129" spans="2:17" ht="14.25" thickBot="1">
      <c r="B129" s="1416"/>
      <c r="C129" s="1417"/>
      <c r="D129" s="1417"/>
      <c r="E129" s="1417"/>
      <c r="F129" s="1417"/>
      <c r="G129" s="1417"/>
      <c r="H129" s="1417"/>
      <c r="I129" s="1417"/>
      <c r="J129" s="1417"/>
      <c r="K129" s="1417"/>
      <c r="L129" s="1417"/>
      <c r="M129" s="1417"/>
      <c r="N129" s="1417"/>
      <c r="O129" s="1417"/>
      <c r="P129" s="1417"/>
      <c r="Q129" s="1418"/>
    </row>
    <row r="130" spans="2:17">
      <c r="H130" s="830"/>
    </row>
    <row r="323"/>
  </sheetData>
  <sheetProtection algorithmName="SHA-512" hashValue="uwIaWdD5QjQbvYpERLrcgrhG/bXJlJWxw/g9ku9SSY6NYNxZjvafAuLgRxQBUzCZ0iBnEZZME2sPIo+xw1wtqQ==" saltValue="9AveePw65Dp1kh22Smlp+Q==" spinCount="100000" sheet="1" objects="1" scenarios="1"/>
  <mergeCells count="7">
    <mergeCell ref="F87:P87"/>
    <mergeCell ref="F10:P10"/>
    <mergeCell ref="G12:P12"/>
    <mergeCell ref="F62:H62"/>
    <mergeCell ref="E60:O61"/>
    <mergeCell ref="E30:O30"/>
    <mergeCell ref="D39:O39"/>
  </mergeCells>
  <phoneticPr fontId="22"/>
  <conditionalFormatting sqref="F62:H62 F64 L64 K84:L85">
    <cfRule type="expression" dxfId="39" priority="348">
      <formula>$G$34=0</formula>
    </cfRule>
  </conditionalFormatting>
  <conditionalFormatting sqref="H6">
    <cfRule type="expression" dxfId="38" priority="22">
      <formula>$G$15=0</formula>
    </cfRule>
  </conditionalFormatting>
  <conditionalFormatting sqref="H9">
    <cfRule type="expression" dxfId="37" priority="26">
      <formula>$G$16=0</formula>
    </cfRule>
  </conditionalFormatting>
  <conditionalFormatting sqref="H41 H50 J69 J84:J85">
    <cfRule type="expression" dxfId="36" priority="346">
      <formula>$G$32+$G$33=0</formula>
    </cfRule>
  </conditionalFormatting>
  <conditionalFormatting sqref="J69">
    <cfRule type="expression" dxfId="35" priority="365">
      <formula>$F$62=$S$59</formula>
    </cfRule>
    <cfRule type="expression" dxfId="34" priority="366">
      <formula>$G$34=0</formula>
    </cfRule>
  </conditionalFormatting>
  <conditionalFormatting sqref="J85">
    <cfRule type="expression" dxfId="33" priority="357">
      <formula>$J$84=0</formula>
    </cfRule>
  </conditionalFormatting>
  <conditionalFormatting sqref="K85">
    <cfRule type="expression" dxfId="32" priority="355">
      <formula>$K$84=0</formula>
    </cfRule>
  </conditionalFormatting>
  <conditionalFormatting sqref="K82:M83">
    <cfRule type="expression" dxfId="31" priority="1">
      <formula>$G$34=0</formula>
    </cfRule>
  </conditionalFormatting>
  <conditionalFormatting sqref="L85">
    <cfRule type="expression" dxfId="30" priority="362">
      <formula>$L$84=0</formula>
    </cfRule>
  </conditionalFormatting>
  <dataValidations count="4">
    <dataValidation type="list" allowBlank="1" showInputMessage="1" showErrorMessage="1" sqref="F64" xr:uid="{00000000-0002-0000-0C00-000000000000}">
      <formula1>$S$64:$S$67</formula1>
    </dataValidation>
    <dataValidation type="list" allowBlank="1" showInputMessage="1" showErrorMessage="1" sqref="L64" xr:uid="{00000000-0002-0000-0C00-000001000000}">
      <formula1>$T$64:$T$66</formula1>
    </dataValidation>
    <dataValidation type="list" allowBlank="1" showInputMessage="1" sqref="F62" xr:uid="{00000000-0002-0000-0C00-000002000000}">
      <formula1>$S$59:$S$61</formula1>
    </dataValidation>
    <dataValidation type="list" allowBlank="1" showInputMessage="1" showErrorMessage="1" sqref="H9" xr:uid="{00000000-0002-0000-0C00-000003000000}">
      <formula1>$T$6:$T$11</formula1>
    </dataValidation>
  </dataValidations>
  <pageMargins left="0.78740157480314965" right="0.78740157480314965" top="0.98425196850393704" bottom="0.98425196850393704" header="0.51181102362204722" footer="0.51181102362204722"/>
  <pageSetup paperSize="9" scale="75" fitToHeight="0" orientation="portrait" r:id="rId1"/>
  <headerFooter alignWithMargins="0">
    <oddHeader>&amp;L&amp;F&amp;R&amp;A</oddHeader>
    <oddFooter>&amp;C&amp;P/&amp;N</oddFooter>
  </headerFooter>
  <rowBreaks count="1" manualBreakCount="1">
    <brk id="61" max="16"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autoPageBreaks="0" fitToPage="1"/>
  </sheetPr>
  <dimension ref="A1:V440"/>
  <sheetViews>
    <sheetView showGridLines="0" topLeftCell="A44" zoomScaleNormal="100" workbookViewId="0"/>
  </sheetViews>
  <sheetFormatPr defaultColWidth="0" defaultRowHeight="13.5" zeroHeight="1"/>
  <cols>
    <col min="1" max="1" width="2.5" customWidth="1"/>
    <col min="2" max="3" width="4.875" hidden="1" customWidth="1"/>
    <col min="4" max="4" width="4.875" style="1281" customWidth="1"/>
    <col min="5" max="5" width="1.5" style="1281" customWidth="1"/>
    <col min="6" max="15" width="10.625" style="1281" customWidth="1"/>
    <col min="16" max="16" width="2.25" customWidth="1"/>
    <col min="17" max="18" width="13.875" hidden="1" customWidth="1"/>
    <col min="19" max="19" width="6.75" hidden="1" customWidth="1"/>
    <col min="20" max="20" width="10.25" hidden="1" customWidth="1"/>
    <col min="21" max="21" width="13" hidden="1" customWidth="1"/>
    <col min="22" max="22" width="11" hidden="1" customWidth="1"/>
    <col min="23" max="16384" width="9" hidden="1"/>
  </cols>
  <sheetData>
    <row r="1" spans="2:15" ht="15.75">
      <c r="D1" s="542"/>
      <c r="E1" s="543"/>
      <c r="F1" s="543"/>
      <c r="G1" s="543"/>
      <c r="H1" s="543"/>
      <c r="I1" s="543"/>
      <c r="J1" s="543"/>
      <c r="K1" s="543"/>
      <c r="L1" s="831" t="s">
        <v>2279</v>
      </c>
      <c r="M1" s="545" t="str">
        <f>メイン!C11</f>
        <v>○○ビル</v>
      </c>
      <c r="N1" s="545"/>
      <c r="O1" s="832"/>
    </row>
    <row r="2" spans="2:15" ht="15.75" hidden="1">
      <c r="D2" s="542"/>
      <c r="E2" s="543"/>
      <c r="F2">
        <v>1</v>
      </c>
      <c r="G2" t="s">
        <v>953</v>
      </c>
      <c r="H2" t="s">
        <v>954</v>
      </c>
      <c r="I2" s="543"/>
      <c r="J2" s="543"/>
      <c r="K2" s="543"/>
      <c r="L2" s="2565"/>
      <c r="M2" s="474"/>
      <c r="N2" s="474"/>
      <c r="O2" s="543"/>
    </row>
    <row r="3" spans="2:15" ht="15.75" hidden="1">
      <c r="D3" s="542"/>
      <c r="E3" s="543"/>
      <c r="F3">
        <v>2</v>
      </c>
      <c r="G3" t="s">
        <v>1113</v>
      </c>
      <c r="H3" t="s">
        <v>1114</v>
      </c>
      <c r="I3" s="543"/>
      <c r="J3" s="543"/>
      <c r="K3" t="s">
        <v>1112</v>
      </c>
      <c r="L3" t="s">
        <v>1138</v>
      </c>
      <c r="M3" t="s">
        <v>2177</v>
      </c>
      <c r="N3" t="s">
        <v>2856</v>
      </c>
      <c r="O3" t="str">
        <f>メイン!I37</f>
        <v>基本設計段階</v>
      </c>
    </row>
    <row r="4" spans="2:15" ht="15.75" hidden="1">
      <c r="D4" s="542"/>
      <c r="E4" s="543"/>
      <c r="F4">
        <v>3</v>
      </c>
      <c r="G4" t="s">
        <v>1119</v>
      </c>
      <c r="H4" t="s">
        <v>1120</v>
      </c>
      <c r="I4" s="543"/>
      <c r="J4" s="543"/>
      <c r="K4" s="543"/>
      <c r="L4"/>
      <c r="M4"/>
      <c r="N4" t="s">
        <v>2866</v>
      </c>
      <c r="O4" t="str">
        <f>メイン!I38</f>
        <v>実施設計段階</v>
      </c>
    </row>
    <row r="5" spans="2:15" ht="15.75" hidden="1">
      <c r="D5" s="542"/>
      <c r="E5" s="543"/>
      <c r="F5">
        <v>4</v>
      </c>
      <c r="G5" t="s">
        <v>1015</v>
      </c>
      <c r="H5" t="s">
        <v>1016</v>
      </c>
      <c r="I5" s="543"/>
      <c r="J5" s="543"/>
      <c r="K5" s="543"/>
      <c r="L5"/>
      <c r="M5"/>
      <c r="N5"/>
      <c r="O5" t="str">
        <f>メイン!I39</f>
        <v>竣工段階</v>
      </c>
    </row>
    <row r="6" spans="2:15" ht="15.75" hidden="1">
      <c r="D6" s="542"/>
      <c r="E6" s="543"/>
      <c r="F6">
        <v>5</v>
      </c>
      <c r="G6" t="s">
        <v>1022</v>
      </c>
      <c r="H6" t="s">
        <v>1023</v>
      </c>
      <c r="I6" s="543"/>
      <c r="J6" s="543"/>
      <c r="K6" s="543"/>
      <c r="L6"/>
      <c r="M6" t="s">
        <v>951</v>
      </c>
      <c r="N6"/>
      <c r="O6"/>
    </row>
    <row r="7" spans="2:15" ht="15.75" hidden="1">
      <c r="D7" s="542"/>
      <c r="E7" s="543"/>
      <c r="F7">
        <v>0</v>
      </c>
      <c r="G7" t="s">
        <v>955</v>
      </c>
      <c r="H7" t="s">
        <v>955</v>
      </c>
      <c r="I7" s="543"/>
      <c r="J7" s="543"/>
      <c r="K7" s="543"/>
      <c r="L7"/>
      <c r="M7" t="s">
        <v>952</v>
      </c>
      <c r="N7"/>
      <c r="O7"/>
    </row>
    <row r="8" spans="2:15" ht="16.5" thickBot="1">
      <c r="D8" s="542"/>
      <c r="E8" s="543"/>
      <c r="F8" s="543"/>
      <c r="G8" s="543"/>
      <c r="H8" s="543"/>
      <c r="I8" s="543"/>
      <c r="J8" s="543"/>
      <c r="K8" s="543"/>
      <c r="L8" s="833"/>
      <c r="M8" s="543"/>
      <c r="N8" s="543"/>
      <c r="O8" s="543"/>
    </row>
    <row r="9" spans="2:15" ht="18.75" thickBot="1">
      <c r="D9" s="834" t="s">
        <v>462</v>
      </c>
      <c r="E9" s="433"/>
      <c r="F9" s="433"/>
      <c r="G9" s="433"/>
      <c r="H9" s="543"/>
      <c r="I9" s="548"/>
      <c r="J9" s="549" t="str">
        <f>採点Q1!J9</f>
        <v>色欄について、プルダウンメニューから選択、または数値・コメント※を記入。</v>
      </c>
      <c r="K9" s="63"/>
      <c r="L9" s="779"/>
      <c r="M9" s="433"/>
      <c r="N9" s="433"/>
      <c r="O9" s="550" t="str">
        <f>IF(メイン!E39=0,"",メイン!E39)</f>
        <v/>
      </c>
    </row>
    <row r="10" spans="2:15" ht="15.75">
      <c r="D10" s="546"/>
      <c r="E10" s="433"/>
      <c r="F10" s="433"/>
      <c r="G10" s="433"/>
      <c r="H10" s="433"/>
      <c r="I10" s="433"/>
      <c r="J10" s="2743" t="str">
        <f>採点Q1!J10</f>
        <v>※環境配慮の概要は最長30字程度。レベル３を超える場合は必ず記入し、多い場合は配慮シートに記述する。</v>
      </c>
      <c r="K10" s="433"/>
      <c r="L10" s="835"/>
      <c r="M10" s="433"/>
      <c r="N10" s="433"/>
      <c r="O10" s="433"/>
    </row>
    <row r="11" spans="2:15" ht="13.5" customHeight="1">
      <c r="D11" s="542">
        <v>1</v>
      </c>
      <c r="E11" s="551" t="s">
        <v>463</v>
      </c>
      <c r="F11" s="551"/>
      <c r="G11" s="551"/>
      <c r="H11" s="552"/>
      <c r="I11" s="552"/>
      <c r="J11" s="552"/>
      <c r="K11" s="552"/>
      <c r="L11" s="836"/>
      <c r="M11" s="552"/>
      <c r="N11" s="552"/>
      <c r="O11" s="552"/>
    </row>
    <row r="12" spans="2:15" ht="13.5" customHeight="1">
      <c r="D12" s="542">
        <v>1.1000000000000001</v>
      </c>
      <c r="E12" s="551" t="s">
        <v>689</v>
      </c>
      <c r="F12" s="1283"/>
      <c r="G12" s="551"/>
      <c r="H12" s="552"/>
      <c r="I12" s="552"/>
      <c r="J12" t="str">
        <f>IF(OR(F14=0,J13=0),$L$3,"")</f>
        <v/>
      </c>
      <c r="K12" s="552"/>
      <c r="L12" s="836"/>
      <c r="M12" s="552"/>
      <c r="N12" s="552"/>
      <c r="O12" s="552"/>
    </row>
    <row r="13" spans="2:15" ht="13.5" customHeight="1" thickBot="1">
      <c r="D13" s="795"/>
      <c r="E13" s="795"/>
      <c r="F13" s="673"/>
      <c r="G13" s="559"/>
      <c r="H13" s="560"/>
      <c r="I13" s="561" t="s">
        <v>1141</v>
      </c>
      <c r="J13" s="562">
        <f>重み!M147</f>
        <v>0.4</v>
      </c>
      <c r="K13" s="674"/>
      <c r="L13" s="676"/>
      <c r="N13" s="552"/>
      <c r="O13" s="552"/>
    </row>
    <row r="14" spans="2:15" ht="27" customHeight="1" thickBot="1">
      <c r="D14" s="546"/>
      <c r="E14" s="553"/>
      <c r="F14" s="565">
        <v>3</v>
      </c>
      <c r="G14" s="661" t="s">
        <v>464</v>
      </c>
      <c r="H14" s="570"/>
      <c r="I14" s="570"/>
      <c r="J14" s="570"/>
      <c r="K14" s="570"/>
      <c r="L14" s="764"/>
      <c r="M14" s="552"/>
      <c r="N14" s="552"/>
      <c r="O14" s="552"/>
    </row>
    <row r="15" spans="2:15" ht="21" customHeight="1">
      <c r="B15" s="1">
        <v>1</v>
      </c>
      <c r="D15" s="546"/>
      <c r="E15" s="553"/>
      <c r="F15" s="572" t="str">
        <f>IF(F14=$F$7,$G$2,IF(ROUNDDOWN(F14,0)=$F$2,$H$2,$G$2))</f>
        <v>　レベル　1</v>
      </c>
      <c r="G15" s="574" t="s">
        <v>679</v>
      </c>
      <c r="H15" s="575"/>
      <c r="I15" s="575"/>
      <c r="J15" s="575"/>
      <c r="K15" s="575"/>
      <c r="L15" s="837"/>
      <c r="M15" s="552"/>
      <c r="N15" s="552"/>
      <c r="O15" s="552"/>
    </row>
    <row r="16" spans="2:15" ht="21" customHeight="1">
      <c r="B16" s="1" t="s">
        <v>177</v>
      </c>
      <c r="D16" s="546"/>
      <c r="E16" s="553"/>
      <c r="F16" s="577" t="str">
        <f>IF(F14=$F$7,$G$3,IF(ROUNDDOWN(F14,0)=$F$3,$H$3,$G$3))</f>
        <v>　レベル　2</v>
      </c>
      <c r="G16" s="580" t="s">
        <v>1818</v>
      </c>
      <c r="H16" s="581"/>
      <c r="I16" s="581"/>
      <c r="J16" s="581"/>
      <c r="K16" s="581"/>
      <c r="L16" s="838"/>
      <c r="M16" s="552"/>
      <c r="N16" s="552"/>
      <c r="O16" s="552"/>
    </row>
    <row r="17" spans="2:17" ht="21" customHeight="1">
      <c r="B17" s="1">
        <v>3</v>
      </c>
      <c r="D17" s="546"/>
      <c r="E17" s="553"/>
      <c r="F17" s="577" t="str">
        <f>IF(F14=$F$7,$G$4,IF(ROUNDDOWN(F14,0)=$F$4,$H$4,$G$4))</f>
        <v>■レベル　3</v>
      </c>
      <c r="G17" s="580" t="s">
        <v>465</v>
      </c>
      <c r="H17" s="581"/>
      <c r="I17" s="581"/>
      <c r="J17" s="581"/>
      <c r="K17" s="581"/>
      <c r="L17" s="839"/>
      <c r="M17" s="552"/>
      <c r="N17" s="552"/>
      <c r="O17" s="552"/>
    </row>
    <row r="18" spans="2:17" ht="21" customHeight="1">
      <c r="B18" s="1">
        <v>4</v>
      </c>
      <c r="D18" s="546"/>
      <c r="E18" s="553"/>
      <c r="F18" s="577" t="str">
        <f>IF(F14=$F$7,$G$5,IF(ROUNDDOWN(F14,0)=$F$5,$H$5,$G$5))</f>
        <v>　レベル　4</v>
      </c>
      <c r="G18" s="580" t="s">
        <v>680</v>
      </c>
      <c r="H18" s="581"/>
      <c r="I18" s="581"/>
      <c r="J18" s="581"/>
      <c r="K18" s="581"/>
      <c r="L18" s="839"/>
      <c r="M18" s="552"/>
      <c r="N18" s="552"/>
      <c r="O18" s="552"/>
    </row>
    <row r="19" spans="2:17" ht="21" customHeight="1">
      <c r="B19" s="1" t="s">
        <v>177</v>
      </c>
      <c r="D19" s="546"/>
      <c r="E19" s="553"/>
      <c r="F19" s="587" t="str">
        <f>IF(F14=$F$7,$G$6,IF(ROUNDDOWN(F14,0)=$F$6,$H$6,$G$6))</f>
        <v>　レベル　5</v>
      </c>
      <c r="G19" s="591" t="s">
        <v>1818</v>
      </c>
      <c r="H19" s="592"/>
      <c r="I19" s="592"/>
      <c r="J19" s="592"/>
      <c r="K19" s="592"/>
      <c r="L19" s="840"/>
      <c r="M19" s="552"/>
      <c r="N19" s="552"/>
      <c r="O19" s="552"/>
    </row>
    <row r="20" spans="2:17" ht="14.25" customHeight="1">
      <c r="B20" s="594">
        <v>0</v>
      </c>
      <c r="D20" s="546"/>
      <c r="E20" s="553"/>
      <c r="F20" s="887" t="s">
        <v>3402</v>
      </c>
      <c r="G20" s="2423"/>
      <c r="H20" s="2399"/>
      <c r="I20" s="2396"/>
      <c r="J20" s="2397"/>
      <c r="K20" s="2576" t="s">
        <v>3767</v>
      </c>
      <c r="L20" s="2398"/>
      <c r="N20" s="543"/>
      <c r="O20" s="543"/>
    </row>
    <row r="21" spans="2:17" ht="14.25" customHeight="1">
      <c r="D21"/>
      <c r="E21"/>
      <c r="F21"/>
      <c r="G21"/>
      <c r="H21"/>
      <c r="I21"/>
      <c r="J21"/>
      <c r="K21"/>
      <c r="L21"/>
      <c r="M21"/>
      <c r="N21"/>
      <c r="O21"/>
    </row>
    <row r="22" spans="2:17" ht="14.25" customHeight="1">
      <c r="D22" s="542">
        <v>1.2</v>
      </c>
      <c r="E22" s="551" t="s">
        <v>466</v>
      </c>
      <c r="F22" s="551"/>
      <c r="G22" s="552"/>
      <c r="H22" s="555"/>
      <c r="I22" s="552"/>
      <c r="J22" s="552"/>
      <c r="K22" s="552"/>
      <c r="L22" s="552"/>
      <c r="M22" s="552"/>
      <c r="N22" s="552"/>
      <c r="O22" s="552"/>
    </row>
    <row r="23" spans="2:17" ht="14.25" customHeight="1">
      <c r="D23" s="542"/>
      <c r="E23" s="551"/>
      <c r="F23" s="672" t="s">
        <v>681</v>
      </c>
      <c r="G23" s="552"/>
      <c r="H23" s="555"/>
      <c r="I23"/>
      <c r="J23" t="str">
        <f>IF(OR(F25=0,J24=0),$L$3,"")</f>
        <v/>
      </c>
      <c r="K23" s="672" t="s">
        <v>467</v>
      </c>
      <c r="L23" s="843"/>
      <c r="M23" s="552"/>
      <c r="N23"/>
      <c r="O23" t="str">
        <f>IF(OR(K25=0,O24=0),$L$3,"")</f>
        <v/>
      </c>
    </row>
    <row r="24" spans="2:17" ht="14.25" customHeight="1" thickBot="1">
      <c r="B24" t="s">
        <v>956</v>
      </c>
      <c r="C24" t="s">
        <v>957</v>
      </c>
      <c r="D24" s="546"/>
      <c r="E24" s="553"/>
      <c r="F24" s="558"/>
      <c r="G24" s="559"/>
      <c r="H24" s="560"/>
      <c r="I24" s="561" t="s">
        <v>1141</v>
      </c>
      <c r="J24" s="564">
        <f>重み!M149</f>
        <v>0.7</v>
      </c>
      <c r="K24" s="558"/>
      <c r="L24" s="559"/>
      <c r="M24" s="560"/>
      <c r="N24" s="561" t="s">
        <v>1141</v>
      </c>
      <c r="O24" s="564">
        <f>重み!M150</f>
        <v>0.3</v>
      </c>
    </row>
    <row r="25" spans="2:17" ht="27" customHeight="1" thickBot="1">
      <c r="B25" s="757" t="s">
        <v>468</v>
      </c>
      <c r="C25" s="757"/>
      <c r="D25" s="546"/>
      <c r="E25" s="553"/>
      <c r="F25" s="565">
        <v>3</v>
      </c>
      <c r="G25" s="569" t="s">
        <v>407</v>
      </c>
      <c r="H25" s="570"/>
      <c r="I25" s="570"/>
      <c r="J25" s="844"/>
      <c r="K25" s="565">
        <v>3</v>
      </c>
      <c r="L25" s="661" t="s">
        <v>2100</v>
      </c>
      <c r="M25" s="570"/>
      <c r="N25" s="570"/>
      <c r="O25" s="571"/>
    </row>
    <row r="26" spans="2:17" ht="21" customHeight="1">
      <c r="B26" s="1" t="s">
        <v>177</v>
      </c>
      <c r="C26" s="1" t="s">
        <v>177</v>
      </c>
      <c r="D26" s="546"/>
      <c r="E26" s="553"/>
      <c r="F26" s="572" t="str">
        <f>IF(F25=$F$7,$G$2,IF(ROUNDDOWN(F25,0)=$F$2,$H$2,$G$2))</f>
        <v>　レベル　1</v>
      </c>
      <c r="G26" s="575" t="s">
        <v>1818</v>
      </c>
      <c r="H26" s="575"/>
      <c r="I26" s="575"/>
      <c r="J26" s="576"/>
      <c r="K26" s="572" t="str">
        <f>IF(K25=$F$7,$G$2,IF(ROUNDDOWN(K25,0)=$F$2,$H$2,$G$2))</f>
        <v>　レベル　1</v>
      </c>
      <c r="L26" s="574" t="s">
        <v>1818</v>
      </c>
      <c r="M26" s="575"/>
      <c r="N26" s="575"/>
      <c r="O26" s="576"/>
    </row>
    <row r="27" spans="2:17" ht="21" customHeight="1">
      <c r="B27" s="1" t="s">
        <v>177</v>
      </c>
      <c r="C27" s="1" t="s">
        <v>177</v>
      </c>
      <c r="D27" s="546"/>
      <c r="E27" s="553"/>
      <c r="F27" s="577" t="str">
        <f>IF(F25=$F$7,$G$3,IF(ROUNDDOWN(F25,0)=$F$3,$H$3,$G$3))</f>
        <v>　レベル　2</v>
      </c>
      <c r="G27" s="580" t="s">
        <v>1818</v>
      </c>
      <c r="H27" s="581"/>
      <c r="I27" s="581"/>
      <c r="J27" s="582"/>
      <c r="K27" s="577" t="str">
        <f>IF(K25=$F$7,$G$3,IF(ROUNDDOWN(K25,0)=$F$3,$H$3,$G$3))</f>
        <v>　レベル　2</v>
      </c>
      <c r="L27" s="580" t="s">
        <v>1818</v>
      </c>
      <c r="M27" s="581"/>
      <c r="N27" s="581"/>
      <c r="O27" s="582"/>
    </row>
    <row r="28" spans="2:17" ht="21" customHeight="1">
      <c r="B28" s="1">
        <v>3</v>
      </c>
      <c r="C28" s="1">
        <v>3</v>
      </c>
      <c r="D28" s="546"/>
      <c r="E28" s="553"/>
      <c r="F28" s="577" t="str">
        <f>IF(F25=$F$7,$G$4,IF(ROUNDDOWN(F25,0)=$F$4,$H$4,$G$4))</f>
        <v>■レベル　3</v>
      </c>
      <c r="G28" s="580" t="s">
        <v>682</v>
      </c>
      <c r="H28" s="581"/>
      <c r="I28" s="581"/>
      <c r="J28" s="582"/>
      <c r="K28" s="577" t="str">
        <f>IF(K25=$F$7,$G$4,IF(ROUNDDOWN(K25,0)=$F$4,$H$4,$G$4))</f>
        <v>■レベル　3</v>
      </c>
      <c r="L28" s="580" t="s">
        <v>1470</v>
      </c>
      <c r="M28" s="581"/>
      <c r="N28" s="581"/>
      <c r="O28" s="582"/>
    </row>
    <row r="29" spans="2:17" ht="21" customHeight="1">
      <c r="B29" s="1">
        <v>4</v>
      </c>
      <c r="C29" s="1">
        <v>4</v>
      </c>
      <c r="D29" s="546"/>
      <c r="E29" s="553"/>
      <c r="F29" s="577" t="str">
        <f>IF(F25=$F$7,$G$5,IF(ROUNDDOWN(F25,0)=$F$5,$H$5,$G$5))</f>
        <v>　レベル　4</v>
      </c>
      <c r="G29" s="580" t="s">
        <v>683</v>
      </c>
      <c r="H29" s="581"/>
      <c r="I29" s="581"/>
      <c r="J29" s="582"/>
      <c r="K29" s="577" t="str">
        <f>IF(K25=$F$7,$G$5,IF(ROUNDDOWN(K25,0)=$F$5,$H$5,$G$5))</f>
        <v>　レベル　4</v>
      </c>
      <c r="L29" s="580" t="s">
        <v>1471</v>
      </c>
      <c r="M29" s="581"/>
      <c r="N29" s="581"/>
      <c r="O29" s="582"/>
      <c r="Q29" s="2431"/>
    </row>
    <row r="30" spans="2:17" ht="21" customHeight="1">
      <c r="B30" s="1">
        <v>5</v>
      </c>
      <c r="C30" s="1">
        <v>5</v>
      </c>
      <c r="D30" s="546"/>
      <c r="E30" s="553"/>
      <c r="F30" s="587" t="str">
        <f>IF(F25=$F$7,$G$6,IF(ROUNDDOWN(F25,0)=$F$6,$H$6,$G$6))</f>
        <v>　レベル　5</v>
      </c>
      <c r="G30" s="591" t="s">
        <v>684</v>
      </c>
      <c r="H30" s="592"/>
      <c r="I30" s="592"/>
      <c r="J30" s="593"/>
      <c r="K30" s="587" t="str">
        <f>IF(K25=$F$7,$G$6,IF(ROUNDDOWN(K25,0)=$F$6,$H$6,$G$6))</f>
        <v>　レベル　5</v>
      </c>
      <c r="L30" s="591" t="s">
        <v>1472</v>
      </c>
      <c r="M30" s="592"/>
      <c r="N30" s="592"/>
      <c r="O30" s="593"/>
      <c r="Q30" s="2431"/>
    </row>
    <row r="31" spans="2:17" ht="15.75">
      <c r="B31" s="594">
        <v>0</v>
      </c>
      <c r="C31" s="594">
        <v>0</v>
      </c>
      <c r="D31" s="546"/>
      <c r="E31" s="553"/>
      <c r="F31" s="887" t="s">
        <v>3402</v>
      </c>
      <c r="G31" s="2423"/>
      <c r="H31" s="2399"/>
      <c r="I31" s="2396"/>
      <c r="J31" s="2397"/>
      <c r="K31" s="887" t="s">
        <v>3402</v>
      </c>
      <c r="L31" s="2423"/>
      <c r="M31" s="2412"/>
      <c r="N31" s="868"/>
      <c r="O31" s="2397"/>
      <c r="Q31" s="842"/>
    </row>
    <row r="32" spans="2:17" ht="15.75">
      <c r="D32" s="546"/>
      <c r="E32" s="553"/>
      <c r="F32" s="2459" t="s">
        <v>3396</v>
      </c>
      <c r="G32" s="2556"/>
      <c r="K32" s="2459" t="s">
        <v>3404</v>
      </c>
      <c r="L32" s="2723" t="s">
        <v>3018</v>
      </c>
      <c r="M32" s="2724" t="s">
        <v>3407</v>
      </c>
      <c r="N32" s="2745"/>
      <c r="O32" s="2747" t="s">
        <v>3805</v>
      </c>
    </row>
    <row r="33" spans="2:15" ht="15.75">
      <c r="D33" s="546"/>
      <c r="E33" s="553"/>
      <c r="F33" s="2459"/>
      <c r="G33" s="2560" t="s">
        <v>3566</v>
      </c>
      <c r="H33" s="845" t="s">
        <v>3572</v>
      </c>
      <c r="I33" s="845"/>
      <c r="J33"/>
      <c r="K33" s="2409" t="s">
        <v>3070</v>
      </c>
      <c r="L33" s="2775" t="str">
        <f>IF(COUNTIF(L34:L36,M3)&gt;0,M3,"")</f>
        <v/>
      </c>
      <c r="M33" s="648" t="s">
        <v>3801</v>
      </c>
      <c r="N33" s="2745"/>
      <c r="O33" s="2769"/>
    </row>
    <row r="34" spans="2:15" ht="15.75">
      <c r="D34" s="546"/>
      <c r="E34" s="553"/>
      <c r="F34" s="841"/>
      <c r="G34" s="2560"/>
      <c r="H34" s="2767"/>
      <c r="I34" s="2767"/>
      <c r="J34" s="2561" t="s">
        <v>3573</v>
      </c>
      <c r="K34"/>
      <c r="L34" s="2551"/>
      <c r="M34" s="603" t="s">
        <v>3806</v>
      </c>
      <c r="N34" s="2768"/>
      <c r="O34" s="2770"/>
    </row>
    <row r="35" spans="2:15" ht="15.75">
      <c r="D35" s="546"/>
      <c r="E35" s="553"/>
      <c r="F35" s="841"/>
      <c r="G35"/>
      <c r="H35"/>
      <c r="I35"/>
      <c r="J35"/>
      <c r="K35"/>
      <c r="L35" s="2404"/>
      <c r="M35" s="2725" t="s">
        <v>3807</v>
      </c>
      <c r="N35" s="755"/>
      <c r="O35" s="2774" t="s">
        <v>3802</v>
      </c>
    </row>
    <row r="36" spans="2:15" ht="15.75">
      <c r="D36" s="546"/>
      <c r="E36" s="553"/>
      <c r="F36" s="841"/>
      <c r="G36" s="2560"/>
      <c r="H36" s="2767"/>
      <c r="I36" s="2767"/>
      <c r="J36"/>
      <c r="K36"/>
      <c r="L36" s="2773"/>
      <c r="M36" s="612" t="s">
        <v>3807</v>
      </c>
      <c r="N36" s="1543"/>
      <c r="O36" s="2780" t="s">
        <v>3784</v>
      </c>
    </row>
    <row r="37" spans="2:15" ht="15.75">
      <c r="D37" s="546"/>
      <c r="E37" s="553"/>
      <c r="F37" s="842"/>
      <c r="G37"/>
      <c r="H37"/>
      <c r="I37"/>
      <c r="J37"/>
      <c r="K37" s="2409" t="s">
        <v>3071</v>
      </c>
      <c r="L37" s="2778"/>
      <c r="M37" s="648" t="s">
        <v>3803</v>
      </c>
      <c r="N37" s="2745"/>
      <c r="O37" s="2771"/>
    </row>
    <row r="38" spans="2:15" ht="15.75">
      <c r="D38" s="546"/>
      <c r="E38" s="553"/>
      <c r="F38" s="543"/>
      <c r="G38" s="842"/>
      <c r="H38" s="846"/>
      <c r="I38" s="842"/>
      <c r="J38" s="842"/>
      <c r="K38" s="2409" t="s">
        <v>3072</v>
      </c>
      <c r="L38" s="2775" t="str">
        <f>IF(COUNTIF(L39:L40,M3)&gt;0,M3,"")</f>
        <v/>
      </c>
      <c r="M38" s="648" t="s">
        <v>3804</v>
      </c>
      <c r="N38" s="2745"/>
      <c r="O38" s="2771"/>
    </row>
    <row r="39" spans="2:15" ht="15.75">
      <c r="D39" s="546"/>
      <c r="E39" s="553"/>
      <c r="F39" s="543"/>
      <c r="G39" s="842"/>
      <c r="H39" s="846"/>
      <c r="I39" s="842"/>
      <c r="J39" s="842"/>
      <c r="K39" s="2409"/>
      <c r="L39" s="2776"/>
      <c r="M39" s="2744" t="s">
        <v>3808</v>
      </c>
      <c r="N39" s="775"/>
      <c r="O39" s="2779" t="s">
        <v>3784</v>
      </c>
    </row>
    <row r="40" spans="2:15">
      <c r="D40"/>
      <c r="E40"/>
      <c r="F40"/>
      <c r="G40"/>
      <c r="H40"/>
      <c r="I40"/>
      <c r="J40"/>
      <c r="K40" s="2409"/>
      <c r="L40" s="2777"/>
      <c r="M40" s="607" t="s">
        <v>3809</v>
      </c>
      <c r="N40" s="2746"/>
      <c r="O40" s="2772"/>
    </row>
    <row r="41" spans="2:15" ht="14.25" customHeight="1">
      <c r="D41" s="542">
        <v>2</v>
      </c>
      <c r="E41" s="551" t="s">
        <v>1070</v>
      </c>
      <c r="F41" s="552"/>
      <c r="G41" s="552"/>
      <c r="H41" s="552"/>
      <c r="I41" s="552"/>
      <c r="J41" s="552"/>
      <c r="K41" s="552"/>
      <c r="L41" s="836"/>
      <c r="M41" s="552"/>
      <c r="N41" s="552"/>
      <c r="O41" s="552"/>
    </row>
    <row r="42" spans="2:15" ht="14.25" customHeight="1">
      <c r="D42" s="546">
        <v>2.1</v>
      </c>
      <c r="E42" s="551" t="s">
        <v>1071</v>
      </c>
      <c r="F42" s="552"/>
      <c r="G42" s="552"/>
      <c r="H42"/>
      <c r="I42"/>
      <c r="J42" t="str">
        <f>IF(OR(F44=0,J43=0),$L$3,"")</f>
        <v/>
      </c>
      <c r="K42"/>
      <c r="L42"/>
      <c r="M42"/>
      <c r="N42"/>
      <c r="O42"/>
    </row>
    <row r="43" spans="2:15" ht="14.25" customHeight="1" thickBot="1">
      <c r="C43" t="s">
        <v>1106</v>
      </c>
      <c r="D43" s="795"/>
      <c r="E43" s="795"/>
      <c r="F43" s="673"/>
      <c r="G43" s="559"/>
      <c r="H43" s="560"/>
      <c r="I43" s="561" t="s">
        <v>1141</v>
      </c>
      <c r="J43" s="562">
        <f>重み!M152</f>
        <v>0.1</v>
      </c>
      <c r="K43" s="560"/>
      <c r="L43" s="674"/>
      <c r="M43" s="674"/>
      <c r="N43" s="674"/>
      <c r="O43" s="676"/>
    </row>
    <row r="44" spans="2:15" ht="27" customHeight="1" thickBot="1">
      <c r="B44" t="s">
        <v>3432</v>
      </c>
      <c r="C44" s="757">
        <v>0</v>
      </c>
      <c r="D44" s="546"/>
      <c r="E44" s="50"/>
      <c r="F44" s="2380">
        <f>G52</f>
        <v>3</v>
      </c>
      <c r="G44" s="661" t="s">
        <v>685</v>
      </c>
      <c r="H44" s="571"/>
      <c r="I44" s="661"/>
      <c r="J44" s="666"/>
      <c r="K44" s="661" t="s">
        <v>1103</v>
      </c>
      <c r="L44" s="571"/>
      <c r="M44" s="1298">
        <v>0</v>
      </c>
      <c r="N44" s="729" t="s">
        <v>1797</v>
      </c>
      <c r="O44" s="847"/>
    </row>
    <row r="45" spans="2:15" ht="21" customHeight="1">
      <c r="B45">
        <v>0</v>
      </c>
      <c r="C45" s="1" t="s">
        <v>2420</v>
      </c>
      <c r="D45" s="546"/>
      <c r="E45" s="50"/>
      <c r="F45" s="572" t="str">
        <f>IF(F44=$F$7,$G$2,IF(ROUNDDOWN(F44,0)=$F$2,$H$2,$G$2))</f>
        <v>　レベル　1</v>
      </c>
      <c r="G45" s="3153" t="s">
        <v>1818</v>
      </c>
      <c r="H45" s="3447"/>
      <c r="I45" s="3447"/>
      <c r="J45" s="3448"/>
      <c r="K45" s="3229" t="s">
        <v>583</v>
      </c>
      <c r="L45" s="3390"/>
      <c r="M45" s="726" t="str">
        <f>IF(M44=$F$7,$G$2,IF(ROUNDDOWN(M44,0)=$F$2,$H$2,$G$2))</f>
        <v>　レベル　1</v>
      </c>
      <c r="N45" s="848" t="s">
        <v>686</v>
      </c>
      <c r="O45" s="849"/>
    </row>
    <row r="46" spans="2:15" ht="39.75" customHeight="1">
      <c r="B46">
        <v>0</v>
      </c>
      <c r="C46" s="1" t="s">
        <v>958</v>
      </c>
      <c r="D46" s="546"/>
      <c r="E46" s="50"/>
      <c r="F46" s="577" t="str">
        <f>IF(F44=$F$7,$G$3,IF(ROUNDDOWN(F44,0)=$F$3,$H$3,$G$3))</f>
        <v>　レベル　2</v>
      </c>
      <c r="G46" s="3175" t="s">
        <v>584</v>
      </c>
      <c r="H46" s="3449"/>
      <c r="I46" s="3449"/>
      <c r="J46" s="3381"/>
      <c r="K46" s="3391"/>
      <c r="L46" s="3392"/>
      <c r="M46" s="727" t="str">
        <f>IF(M44=$F$7,$G$3,IF(ROUNDDOWN(M44,0)=$F$3,$H$3,$G$3))</f>
        <v>　レベル　2</v>
      </c>
      <c r="N46" s="850" t="s">
        <v>686</v>
      </c>
      <c r="O46" s="851"/>
    </row>
    <row r="47" spans="2:15" ht="39.75" customHeight="1">
      <c r="B47">
        <v>1</v>
      </c>
      <c r="C47" s="1">
        <v>3</v>
      </c>
      <c r="D47" s="546"/>
      <c r="E47" s="50"/>
      <c r="F47" s="577" t="str">
        <f>IF(F44=$F$7,$G$4,IF(ROUNDDOWN(F44,0)=$F$4,$H$4,$G$4))</f>
        <v>■レベル　3</v>
      </c>
      <c r="G47" s="3175" t="s">
        <v>585</v>
      </c>
      <c r="H47" s="3449"/>
      <c r="I47" s="3449"/>
      <c r="J47" s="3381"/>
      <c r="K47" s="3391"/>
      <c r="L47" s="3392"/>
      <c r="M47" s="727" t="str">
        <f>IF(M44=$F$7,$G$4,IF(ROUNDDOWN(M44,0)=$F$4,$H$4,$G$4))</f>
        <v>　レベル　3</v>
      </c>
      <c r="N47" s="3226" t="s">
        <v>469</v>
      </c>
      <c r="O47" s="3440"/>
    </row>
    <row r="48" spans="2:15" ht="44.25" customHeight="1">
      <c r="B48">
        <v>3</v>
      </c>
      <c r="C48" s="1" t="s">
        <v>959</v>
      </c>
      <c r="D48" s="546"/>
      <c r="E48" s="50"/>
      <c r="F48" s="577" t="str">
        <f>IF(F44=$F$7,$G$5,IF(ROUNDDOWN(F44,0)=$F$5,$H$5,$G$5))</f>
        <v>　レベル　4</v>
      </c>
      <c r="G48" s="3175" t="s">
        <v>470</v>
      </c>
      <c r="H48" s="3449"/>
      <c r="I48" s="3449"/>
      <c r="J48" s="3381"/>
      <c r="K48" s="3391"/>
      <c r="L48" s="3392"/>
      <c r="M48" s="727" t="str">
        <f>IF(M44=$F$7,$G$5,IF(ROUNDDOWN(M44,0)=$F$5,$H$5,$G$5))</f>
        <v>　レベル　4</v>
      </c>
      <c r="N48" s="850" t="s">
        <v>687</v>
      </c>
      <c r="O48" s="851"/>
    </row>
    <row r="49" spans="2:15" ht="43.5" customHeight="1">
      <c r="B49">
        <v>5</v>
      </c>
      <c r="C49" s="1">
        <v>5</v>
      </c>
      <c r="D49" s="546"/>
      <c r="E49" s="50"/>
      <c r="F49" s="587" t="str">
        <f>IF(F44=$F$7,$G$6,IF(ROUNDDOWN(F44,0)=$F$6,$H$6,$G$6))</f>
        <v>　レベル　5</v>
      </c>
      <c r="G49" s="3176" t="s">
        <v>471</v>
      </c>
      <c r="H49" s="3445"/>
      <c r="I49" s="3445"/>
      <c r="J49" s="3446"/>
      <c r="K49" s="3393"/>
      <c r="L49" s="3394"/>
      <c r="M49" s="728" t="str">
        <f>IF(M44=$F$7,$G$6,IF(ROUNDDOWN(M44,0)=$F$6,$H$6,$G$6))</f>
        <v>　レベル　5</v>
      </c>
      <c r="N49" s="3233" t="s">
        <v>472</v>
      </c>
      <c r="O49" s="3441"/>
    </row>
    <row r="50" spans="2:15">
      <c r="C50" s="594">
        <v>0</v>
      </c>
      <c r="D50" s="65"/>
      <c r="E50" s="433"/>
      <c r="F50" s="887" t="s">
        <v>3402</v>
      </c>
      <c r="G50" s="2423"/>
      <c r="H50" s="2399"/>
      <c r="I50" s="2396"/>
      <c r="J50" s="2397"/>
      <c r="K50" s="2400"/>
      <c r="L50" s="835"/>
      <c r="M50" s="433"/>
      <c r="N50" s="433"/>
      <c r="O50" s="433"/>
    </row>
    <row r="51" spans="2:15">
      <c r="C51" s="918"/>
      <c r="D51" s="65"/>
      <c r="E51" s="433"/>
      <c r="F51" s="550" t="s">
        <v>2070</v>
      </c>
      <c r="G51"/>
      <c r="H51" s="433"/>
      <c r="I51" s="433"/>
      <c r="J51" s="433"/>
      <c r="K51" s="433"/>
      <c r="L51" s="835"/>
      <c r="M51" s="433"/>
      <c r="N51" s="433"/>
      <c r="O51" s="433"/>
    </row>
    <row r="52" spans="2:15" ht="16.5" thickBot="1">
      <c r="D52" s="546"/>
      <c r="E52" s="433"/>
      <c r="F52"/>
      <c r="G52" s="2442">
        <f>IF(G53=M3,0,IF(G57&gt;=B49,5,IF(G57&gt;=B48,4,IF(G57&gt;=B47,3,IF(G57&gt;=B46,2,1)))))</f>
        <v>3</v>
      </c>
      <c r="H52" s="3306" t="s">
        <v>1453</v>
      </c>
      <c r="I52" s="3307"/>
      <c r="J52" s="3308"/>
      <c r="K52" s="2714" t="s">
        <v>1452</v>
      </c>
      <c r="L52" s="2781"/>
      <c r="M52" s="2781"/>
      <c r="N52" s="2781"/>
      <c r="O52" s="751" t="s">
        <v>1454</v>
      </c>
    </row>
    <row r="53" spans="2:15" ht="25.5" customHeight="1" thickBot="1">
      <c r="B53" t="s">
        <v>3433</v>
      </c>
      <c r="D53" s="546"/>
      <c r="E53" s="433"/>
      <c r="F53"/>
      <c r="G53" s="565"/>
      <c r="H53" s="740" t="s">
        <v>1910</v>
      </c>
      <c r="I53" s="741"/>
      <c r="J53" s="741"/>
      <c r="K53" s="741"/>
      <c r="L53" s="741"/>
      <c r="M53" s="741"/>
      <c r="N53" s="741"/>
      <c r="O53" s="742"/>
    </row>
    <row r="54" spans="2:15" ht="37.5" customHeight="1">
      <c r="B54">
        <v>4</v>
      </c>
      <c r="D54" s="546"/>
      <c r="E54" s="433"/>
      <c r="F54" s="2409" t="s">
        <v>3070</v>
      </c>
      <c r="G54" s="2406"/>
      <c r="H54" s="3442" t="s">
        <v>2897</v>
      </c>
      <c r="I54" s="3313"/>
      <c r="J54" s="3230"/>
      <c r="K54" s="3153" t="s">
        <v>3044</v>
      </c>
      <c r="L54" s="3173"/>
      <c r="M54" s="3173"/>
      <c r="N54" s="3159"/>
      <c r="O54" s="1931" t="s">
        <v>3043</v>
      </c>
    </row>
    <row r="55" spans="2:15" ht="37.5" customHeight="1">
      <c r="B55">
        <v>4</v>
      </c>
      <c r="D55" s="546"/>
      <c r="E55" s="433"/>
      <c r="F55" s="2409" t="s">
        <v>3400</v>
      </c>
      <c r="G55" s="2407">
        <v>2</v>
      </c>
      <c r="H55" s="3315" t="s">
        <v>2898</v>
      </c>
      <c r="I55" s="3443"/>
      <c r="J55" s="3444"/>
      <c r="K55" s="3157" t="s">
        <v>3045</v>
      </c>
      <c r="L55" s="3174"/>
      <c r="M55" s="3174"/>
      <c r="N55" s="3201"/>
      <c r="O55" s="1932" t="s">
        <v>3046</v>
      </c>
    </row>
    <row r="56" spans="2:15" ht="37.5" customHeight="1" thickBot="1">
      <c r="B56" s="2377">
        <v>4</v>
      </c>
      <c r="D56" s="546"/>
      <c r="E56" s="433"/>
      <c r="F56" s="2409" t="s">
        <v>3072</v>
      </c>
      <c r="G56" s="2408"/>
      <c r="H56" s="3315" t="s">
        <v>688</v>
      </c>
      <c r="I56" s="3279"/>
      <c r="J56" s="3280"/>
      <c r="K56" s="3157" t="s">
        <v>3047</v>
      </c>
      <c r="L56" s="3174"/>
      <c r="M56" s="3174"/>
      <c r="N56" s="3201"/>
      <c r="O56" s="1932" t="s">
        <v>3048</v>
      </c>
    </row>
    <row r="57" spans="2:15" ht="15.75">
      <c r="D57" s="546"/>
      <c r="E57" s="433"/>
      <c r="F57" s="2409" t="s">
        <v>3416</v>
      </c>
      <c r="G57" s="2433">
        <f>IF(G53=$M3,0,SUM(G54:G56))</f>
        <v>2</v>
      </c>
      <c r="H57" s="1529" t="s">
        <v>3428</v>
      </c>
      <c r="I57" s="756"/>
      <c r="J57" s="756"/>
      <c r="K57" s="748"/>
      <c r="L57" s="854"/>
      <c r="M57" s="2441"/>
      <c r="N57" s="2435"/>
      <c r="O57" s="2688">
        <f>SUM(B54:B56)</f>
        <v>12</v>
      </c>
    </row>
    <row r="58" spans="2:15" ht="6.75" customHeight="1">
      <c r="D58" s="542"/>
      <c r="E58" s="551"/>
      <c r="F58" s="552"/>
      <c r="G58" s="552"/>
      <c r="H58" s="552"/>
      <c r="I58" s="552"/>
      <c r="J58" s="552"/>
      <c r="K58" s="552"/>
      <c r="L58" s="836"/>
      <c r="M58" s="552"/>
      <c r="N58" s="552"/>
      <c r="O58" s="552"/>
    </row>
    <row r="59" spans="2:15" ht="14.25" customHeight="1">
      <c r="D59" s="542">
        <v>2.2000000000000002</v>
      </c>
      <c r="E59" s="551" t="s">
        <v>473</v>
      </c>
      <c r="F59" s="551"/>
      <c r="G59" s="855"/>
      <c r="H59"/>
      <c r="I59"/>
      <c r="J59" t="str">
        <f>IF(OR(F61=0,J60=0),$L$3,"")</f>
        <v/>
      </c>
      <c r="K59"/>
      <c r="L59"/>
      <c r="M59"/>
      <c r="N59"/>
      <c r="O59"/>
    </row>
    <row r="60" spans="2:15" ht="14.25" customHeight="1" thickBot="1">
      <c r="D60" s="795"/>
      <c r="E60" s="795"/>
      <c r="F60" s="673"/>
      <c r="G60" s="559"/>
      <c r="H60" s="560"/>
      <c r="I60" s="561" t="s">
        <v>1141</v>
      </c>
      <c r="J60" s="564">
        <f>重み!M153</f>
        <v>0.2</v>
      </c>
      <c r="K60"/>
      <c r="L60"/>
      <c r="M60"/>
      <c r="N60"/>
      <c r="O60"/>
    </row>
    <row r="61" spans="2:15" ht="27" customHeight="1" thickBot="1">
      <c r="D61" s="546"/>
      <c r="E61" s="543"/>
      <c r="F61" s="565">
        <v>3</v>
      </c>
      <c r="G61" s="569" t="s">
        <v>407</v>
      </c>
      <c r="H61" s="570"/>
      <c r="I61" s="570"/>
      <c r="J61" s="571"/>
      <c r="K61"/>
      <c r="L61"/>
      <c r="M61"/>
      <c r="N61"/>
      <c r="O61"/>
    </row>
    <row r="62" spans="2:15" ht="21" customHeight="1">
      <c r="B62" s="1" t="s">
        <v>177</v>
      </c>
      <c r="D62" s="546"/>
      <c r="E62" s="543"/>
      <c r="F62" s="572" t="str">
        <f>IF(F61=$F$7,$G$2,IF(ROUNDDOWN(F61,0)=$F$2,$H$2,$G$2))</f>
        <v>　レベル　1</v>
      </c>
      <c r="G62" s="574" t="s">
        <v>1818</v>
      </c>
      <c r="H62" s="575"/>
      <c r="I62" s="575"/>
      <c r="J62" s="576"/>
      <c r="K62"/>
      <c r="L62"/>
      <c r="M62"/>
      <c r="N62"/>
      <c r="O62"/>
    </row>
    <row r="63" spans="2:15" ht="21" customHeight="1">
      <c r="B63" s="1" t="s">
        <v>177</v>
      </c>
      <c r="D63" s="546"/>
      <c r="E63" s="543"/>
      <c r="F63" s="577" t="str">
        <f>IF(F61=$F$7,$G$3,IF(ROUNDDOWN(F61,0)=$F$3,$H$3,$G$3))</f>
        <v>　レベル　2</v>
      </c>
      <c r="G63" s="580" t="s">
        <v>1818</v>
      </c>
      <c r="H63" s="581"/>
      <c r="I63" s="581"/>
      <c r="J63" s="582"/>
      <c r="K63"/>
      <c r="L63"/>
      <c r="M63"/>
      <c r="N63"/>
      <c r="O63"/>
    </row>
    <row r="64" spans="2:15" ht="21" customHeight="1">
      <c r="B64" s="1">
        <v>3</v>
      </c>
      <c r="D64" s="546"/>
      <c r="E64" s="543"/>
      <c r="F64" s="577" t="str">
        <f>IF(F61=$F$7,$G$4,IF(ROUNDDOWN(F61,0)=$F$4,$H$4,$G$4))</f>
        <v>■レベル　3</v>
      </c>
      <c r="G64" s="580" t="s">
        <v>48</v>
      </c>
      <c r="H64" s="581"/>
      <c r="I64" s="581"/>
      <c r="J64" s="582"/>
      <c r="K64"/>
      <c r="L64"/>
      <c r="M64"/>
      <c r="N64"/>
      <c r="O64"/>
    </row>
    <row r="65" spans="2:15" ht="21" customHeight="1">
      <c r="B65" s="1" t="s">
        <v>177</v>
      </c>
      <c r="D65" s="546"/>
      <c r="E65" s="543"/>
      <c r="F65" s="577" t="str">
        <f>IF(F61=$F$7,$G$5,IF(ROUNDDOWN(F61,0)=$F$5,$H$5,$G$5))</f>
        <v>　レベル　4</v>
      </c>
      <c r="G65" s="580" t="s">
        <v>1818</v>
      </c>
      <c r="H65" s="581"/>
      <c r="I65" s="581"/>
      <c r="J65" s="582"/>
      <c r="K65"/>
      <c r="L65"/>
      <c r="M65"/>
      <c r="N65"/>
      <c r="O65"/>
    </row>
    <row r="66" spans="2:15" ht="21" customHeight="1">
      <c r="B66" s="1">
        <v>5</v>
      </c>
      <c r="D66" s="546"/>
      <c r="E66" s="543"/>
      <c r="F66" s="587" t="str">
        <f>IF(F61=$F$7,$G$6,IF(ROUNDDOWN(F61,0)=$F$6,$H$6,$G$6))</f>
        <v>　レベル　5</v>
      </c>
      <c r="G66" s="591" t="s">
        <v>474</v>
      </c>
      <c r="H66" s="592"/>
      <c r="I66" s="592"/>
      <c r="J66" s="593"/>
      <c r="K66"/>
      <c r="L66"/>
      <c r="M66"/>
      <c r="N66"/>
      <c r="O66"/>
    </row>
    <row r="67" spans="2:15" ht="13.5" customHeight="1">
      <c r="B67" s="594">
        <v>0</v>
      </c>
      <c r="D67" s="542"/>
      <c r="E67" s="551"/>
      <c r="F67" s="887" t="s">
        <v>3402</v>
      </c>
      <c r="G67" s="2423"/>
      <c r="H67" s="2399"/>
      <c r="I67" s="2396"/>
      <c r="J67" s="2397"/>
      <c r="K67" s="2400"/>
      <c r="L67" s="836"/>
      <c r="M67" s="552"/>
      <c r="N67" s="552"/>
      <c r="O67" s="552"/>
    </row>
    <row r="68" spans="2:15" ht="13.5" customHeight="1">
      <c r="B68" s="918"/>
      <c r="D68" s="542"/>
      <c r="E68" s="551"/>
      <c r="F68" s="552"/>
      <c r="G68" s="552"/>
      <c r="H68" s="552"/>
      <c r="I68" s="552"/>
      <c r="J68" s="552"/>
      <c r="K68" s="552"/>
      <c r="L68" s="836"/>
      <c r="M68" s="552"/>
      <c r="N68" s="552"/>
      <c r="O68" s="552"/>
    </row>
    <row r="69" spans="2:15" ht="14.25" customHeight="1">
      <c r="D69" s="542">
        <v>2.2999999999999998</v>
      </c>
      <c r="E69" s="551" t="s">
        <v>1073</v>
      </c>
      <c r="F69" s="552"/>
      <c r="G69" s="555"/>
      <c r="H69" s="552"/>
      <c r="I69" s="552"/>
      <c r="J69" t="str">
        <f>IF(OR(F71=0,J70=0),$L$3,"")</f>
        <v/>
      </c>
      <c r="K69"/>
      <c r="L69"/>
      <c r="M69"/>
      <c r="N69"/>
      <c r="O69"/>
    </row>
    <row r="70" spans="2:15" ht="14.25" customHeight="1" thickBot="1">
      <c r="D70" s="546"/>
      <c r="E70" s="553"/>
      <c r="F70" s="673"/>
      <c r="G70" s="559"/>
      <c r="H70" s="560"/>
      <c r="I70" s="561" t="s">
        <v>1141</v>
      </c>
      <c r="J70" s="564">
        <f>重み!M154</f>
        <v>0.2</v>
      </c>
      <c r="K70"/>
      <c r="L70"/>
      <c r="M70"/>
      <c r="N70"/>
      <c r="O70"/>
    </row>
    <row r="71" spans="2:15" ht="27" customHeight="1" thickBot="1">
      <c r="D71" s="546"/>
      <c r="E71" s="553"/>
      <c r="F71" s="565">
        <v>3</v>
      </c>
      <c r="G71" s="569" t="s">
        <v>407</v>
      </c>
      <c r="H71" s="570"/>
      <c r="I71" s="570"/>
      <c r="J71" s="571"/>
      <c r="K71"/>
      <c r="L71"/>
      <c r="M71"/>
      <c r="N71"/>
      <c r="O71"/>
    </row>
    <row r="72" spans="2:15" ht="21" customHeight="1">
      <c r="B72" s="1" t="s">
        <v>2418</v>
      </c>
      <c r="C72" s="1">
        <v>1</v>
      </c>
      <c r="D72" s="546"/>
      <c r="E72" s="553"/>
      <c r="F72" s="572" t="str">
        <f>IF(F71=$F$7,$G$2,IF(ROUNDDOWN(F71,0)=$F$2,$H$2,$G$2))</f>
        <v>　レベル　1</v>
      </c>
      <c r="G72" s="574" t="s">
        <v>1818</v>
      </c>
      <c r="H72" s="575"/>
      <c r="I72" s="575"/>
      <c r="J72" s="576"/>
      <c r="K72"/>
      <c r="L72"/>
      <c r="M72"/>
      <c r="N72"/>
      <c r="O72"/>
    </row>
    <row r="73" spans="2:15" ht="21" customHeight="1">
      <c r="B73" s="1" t="s">
        <v>177</v>
      </c>
      <c r="C73" s="1">
        <v>2</v>
      </c>
      <c r="D73" s="546"/>
      <c r="E73" s="553"/>
      <c r="F73" s="577" t="str">
        <f>IF(F71=$F$7,$G$3,IF(ROUNDDOWN(F71,0)=$F$3,$H$3,$G$3))</f>
        <v>　レベル　2</v>
      </c>
      <c r="G73" s="580" t="s">
        <v>1818</v>
      </c>
      <c r="H73" s="581"/>
      <c r="I73" s="581"/>
      <c r="J73" s="582"/>
      <c r="K73"/>
      <c r="L73"/>
      <c r="M73"/>
      <c r="N73"/>
      <c r="O73"/>
    </row>
    <row r="74" spans="2:15" ht="21" customHeight="1">
      <c r="B74" s="1">
        <v>3</v>
      </c>
      <c r="C74" s="1">
        <v>3</v>
      </c>
      <c r="D74" s="546"/>
      <c r="E74" s="553"/>
      <c r="F74" s="577" t="str">
        <f>IF(F71=$F$7,$G$4,IF(ROUNDDOWN(F71,0)=$F$4,$H$4,$G$4))</f>
        <v>■レベル　3</v>
      </c>
      <c r="G74" s="580" t="s">
        <v>49</v>
      </c>
      <c r="H74" s="581"/>
      <c r="I74" s="581"/>
      <c r="J74" s="582"/>
      <c r="K74"/>
      <c r="L74"/>
      <c r="M74"/>
      <c r="N74"/>
      <c r="O74"/>
    </row>
    <row r="75" spans="2:15" ht="21" customHeight="1">
      <c r="B75" s="1" t="s">
        <v>958</v>
      </c>
      <c r="C75" s="1">
        <v>4</v>
      </c>
      <c r="D75" s="546"/>
      <c r="E75" s="553"/>
      <c r="F75" s="577" t="str">
        <f>IF(F71=$F$7,$G$5,IF(ROUNDDOWN(F71,0)=$F$5,$H$5,$G$5))</f>
        <v>　レベル　4</v>
      </c>
      <c r="G75" s="580" t="s">
        <v>1818</v>
      </c>
      <c r="H75" s="581"/>
      <c r="I75" s="581"/>
      <c r="J75" s="582"/>
      <c r="K75"/>
      <c r="L75"/>
      <c r="M75"/>
      <c r="N75"/>
      <c r="O75"/>
    </row>
    <row r="76" spans="2:15" ht="21" customHeight="1">
      <c r="B76" s="1">
        <v>5</v>
      </c>
      <c r="C76" s="1">
        <v>5</v>
      </c>
      <c r="D76" s="546"/>
      <c r="E76" s="553"/>
      <c r="F76" s="587" t="str">
        <f>IF(F71=$F$7,$G$6,IF(ROUNDDOWN(F71,0)=$F$6,$H$6,$G$6))</f>
        <v>　レベル　5</v>
      </c>
      <c r="G76" s="591" t="s">
        <v>50</v>
      </c>
      <c r="H76" s="592"/>
      <c r="I76" s="592"/>
      <c r="J76" s="593"/>
      <c r="K76"/>
      <c r="L76"/>
      <c r="M76"/>
      <c r="N76"/>
      <c r="O76"/>
    </row>
    <row r="77" spans="2:15" ht="15" customHeight="1">
      <c r="B77" s="594">
        <v>0</v>
      </c>
      <c r="C77" s="594">
        <v>0</v>
      </c>
      <c r="F77" s="887" t="s">
        <v>3402</v>
      </c>
      <c r="G77" s="2423"/>
      <c r="H77" s="2399"/>
      <c r="I77" s="2396"/>
      <c r="J77" s="2397"/>
      <c r="K77" s="2576" t="s">
        <v>3763</v>
      </c>
      <c r="L77" s="1408"/>
      <c r="M77" s="44"/>
      <c r="N77" s="44"/>
      <c r="O77" s="44"/>
    </row>
    <row r="78" spans="2:15">
      <c r="B78" s="918"/>
      <c r="C78" s="918"/>
      <c r="F78" s="2459" t="s">
        <v>3406</v>
      </c>
      <c r="G78" s="648" t="s">
        <v>3407</v>
      </c>
      <c r="H78" s="872"/>
      <c r="I78" s="2730" t="s">
        <v>3405</v>
      </c>
      <c r="J78" s="2411"/>
      <c r="K78"/>
      <c r="L78"/>
      <c r="M78"/>
      <c r="N78"/>
      <c r="O78"/>
    </row>
    <row r="79" spans="2:15">
      <c r="F79" s="2409" t="s">
        <v>3070</v>
      </c>
      <c r="G79" s="2727" t="s">
        <v>3759</v>
      </c>
      <c r="H79" s="2401"/>
      <c r="I79" s="2413">
        <v>0</v>
      </c>
      <c r="J79" s="2731" t="str">
        <f>VLOOKUP(I79,K80:L83,2)</f>
        <v>採用なし</v>
      </c>
      <c r="K79" s="543"/>
      <c r="L79" s="833" t="s">
        <v>3412</v>
      </c>
      <c r="N79"/>
      <c r="O79"/>
    </row>
    <row r="80" spans="2:15">
      <c r="F80" s="2409" t="s">
        <v>3400</v>
      </c>
      <c r="G80" s="2728" t="s">
        <v>3760</v>
      </c>
      <c r="H80" s="2402"/>
      <c r="I80" s="2414">
        <v>0</v>
      </c>
      <c r="J80" s="2732" t="str">
        <f>VLOOKUP(I80,K80:L83,2)</f>
        <v>採用なし</v>
      </c>
      <c r="K80" s="543">
        <v>0</v>
      </c>
      <c r="L80" s="543" t="s">
        <v>3411</v>
      </c>
      <c r="M80"/>
      <c r="N80"/>
      <c r="O80"/>
    </row>
    <row r="81" spans="2:15">
      <c r="F81" s="2409" t="s">
        <v>3072</v>
      </c>
      <c r="G81" s="2728" t="s">
        <v>3049</v>
      </c>
      <c r="H81" s="2402"/>
      <c r="I81" s="2414">
        <v>0</v>
      </c>
      <c r="J81" s="2732" t="str">
        <f>VLOOKUP(I81,K80:L83,2)</f>
        <v>採用なし</v>
      </c>
      <c r="K81" s="543">
        <v>1</v>
      </c>
      <c r="L81" s="543" t="s">
        <v>3408</v>
      </c>
      <c r="M81"/>
      <c r="N81"/>
      <c r="O81"/>
    </row>
    <row r="82" spans="2:15">
      <c r="F82" s="2409" t="s">
        <v>3073</v>
      </c>
      <c r="G82" s="2728" t="s">
        <v>3758</v>
      </c>
      <c r="H82" s="2402"/>
      <c r="I82" s="2414">
        <v>0</v>
      </c>
      <c r="J82" s="2732" t="str">
        <f>VLOOKUP(I82,K80:L83,2)</f>
        <v>採用なし</v>
      </c>
      <c r="K82" s="543">
        <v>2</v>
      </c>
      <c r="L82" s="543" t="s">
        <v>3409</v>
      </c>
      <c r="M82"/>
      <c r="N82"/>
      <c r="O82"/>
    </row>
    <row r="83" spans="2:15">
      <c r="F83" s="2409" t="s">
        <v>3074</v>
      </c>
      <c r="G83" s="2729" t="s">
        <v>2286</v>
      </c>
      <c r="H83" s="2403"/>
      <c r="I83" s="2415">
        <v>0</v>
      </c>
      <c r="J83" s="2733" t="str">
        <f>VLOOKUP(I83,K80:L83,2)</f>
        <v>採用なし</v>
      </c>
      <c r="K83" s="543">
        <v>3</v>
      </c>
      <c r="L83" s="543" t="s">
        <v>3410</v>
      </c>
      <c r="M83" s="543"/>
      <c r="N83"/>
      <c r="O83"/>
    </row>
    <row r="84" spans="2:15" ht="10.5" customHeight="1">
      <c r="G84" s="273"/>
      <c r="L84" s="1284"/>
    </row>
    <row r="85" spans="2:15" ht="14.25" customHeight="1">
      <c r="D85" s="542">
        <v>2.4</v>
      </c>
      <c r="E85" s="551" t="s">
        <v>51</v>
      </c>
      <c r="F85" s="546"/>
      <c r="G85" s="546"/>
      <c r="H85" s="546"/>
      <c r="I85" s="546"/>
      <c r="J85" t="str">
        <f>IF(OR(F87=0,J86=0),$L$3,"")</f>
        <v/>
      </c>
      <c r="K85"/>
      <c r="L85"/>
      <c r="M85"/>
      <c r="N85"/>
      <c r="O85"/>
    </row>
    <row r="86" spans="2:15" ht="14.25" customHeight="1" thickBot="1">
      <c r="D86" s="546"/>
      <c r="E86" s="546"/>
      <c r="F86" s="673"/>
      <c r="G86" s="559"/>
      <c r="H86" s="560"/>
      <c r="I86" s="561" t="s">
        <v>1141</v>
      </c>
      <c r="J86" s="564">
        <f>重み!M155</f>
        <v>0.2</v>
      </c>
      <c r="K86"/>
      <c r="L86"/>
      <c r="M86"/>
      <c r="N86"/>
      <c r="O86"/>
    </row>
    <row r="87" spans="2:15" ht="27" customHeight="1" thickBot="1">
      <c r="D87" s="546"/>
      <c r="E87" s="546"/>
      <c r="F87" s="565">
        <v>3</v>
      </c>
      <c r="G87" s="569" t="s">
        <v>407</v>
      </c>
      <c r="H87" s="570"/>
      <c r="I87" s="570"/>
      <c r="J87" s="571"/>
      <c r="K87"/>
      <c r="L87"/>
      <c r="M87"/>
      <c r="N87"/>
      <c r="O87"/>
    </row>
    <row r="88" spans="2:15" ht="21" customHeight="1">
      <c r="B88" s="1">
        <v>1</v>
      </c>
      <c r="C88" s="1">
        <v>1</v>
      </c>
      <c r="D88" s="546"/>
      <c r="E88" s="546"/>
      <c r="F88" s="572" t="str">
        <f>IF(F87=$F$7,$G$2,IF(ROUNDDOWN(F87,0)=$F$2,$H$2,$G$2))</f>
        <v>　レベル　1</v>
      </c>
      <c r="G88" s="574" t="s">
        <v>6</v>
      </c>
      <c r="H88" s="575"/>
      <c r="I88" s="575"/>
      <c r="J88" s="576"/>
      <c r="K88"/>
      <c r="L88"/>
      <c r="M88"/>
      <c r="N88"/>
      <c r="O88"/>
    </row>
    <row r="89" spans="2:15" ht="21" customHeight="1">
      <c r="B89" s="1" t="s">
        <v>960</v>
      </c>
      <c r="C89" s="1">
        <v>2</v>
      </c>
      <c r="D89" s="546"/>
      <c r="E89" s="546"/>
      <c r="F89" s="577" t="str">
        <f>IF(F87=$F$7,$G$3,IF(ROUNDDOWN(F87,0)=$F$3,$H$3,$G$3))</f>
        <v>　レベル　2</v>
      </c>
      <c r="G89" s="580" t="s">
        <v>1818</v>
      </c>
      <c r="H89" s="581"/>
      <c r="I89" s="581"/>
      <c r="J89" s="582"/>
      <c r="K89"/>
      <c r="L89"/>
      <c r="M89"/>
      <c r="N89"/>
      <c r="O89"/>
    </row>
    <row r="90" spans="2:15" ht="21" customHeight="1">
      <c r="B90" s="1">
        <v>3</v>
      </c>
      <c r="C90" s="1">
        <v>3</v>
      </c>
      <c r="D90" s="546"/>
      <c r="E90" s="546"/>
      <c r="F90" s="577" t="str">
        <f>IF(F87=$F$7,$G$4,IF(ROUNDDOWN(F87,0)=$F$4,$H$4,$G$4))</f>
        <v>■レベル　3</v>
      </c>
      <c r="G90" s="580" t="s">
        <v>7</v>
      </c>
      <c r="H90" s="581"/>
      <c r="I90" s="581"/>
      <c r="J90" s="582"/>
      <c r="K90"/>
      <c r="L90"/>
      <c r="M90"/>
      <c r="N90"/>
      <c r="O90"/>
    </row>
    <row r="91" spans="2:15" ht="21" customHeight="1">
      <c r="B91" s="1">
        <v>4</v>
      </c>
      <c r="C91" s="1">
        <v>4</v>
      </c>
      <c r="D91" s="546"/>
      <c r="E91" s="546"/>
      <c r="F91" s="577" t="str">
        <f>IF(F87=$F$7,$G$5,IF(ROUNDDOWN(F87,0)=$F$5,$H$5,$G$5))</f>
        <v>　レベル　4</v>
      </c>
      <c r="G91" s="580" t="s">
        <v>8</v>
      </c>
      <c r="H91" s="581"/>
      <c r="I91" s="581"/>
      <c r="J91" s="582"/>
      <c r="K91"/>
      <c r="L91"/>
      <c r="M91"/>
      <c r="N91"/>
      <c r="O91"/>
    </row>
    <row r="92" spans="2:15" ht="21" customHeight="1">
      <c r="B92" s="1">
        <v>5</v>
      </c>
      <c r="C92" s="1">
        <v>5</v>
      </c>
      <c r="D92" s="546"/>
      <c r="E92" s="546"/>
      <c r="F92" s="587" t="str">
        <f>IF(F87=$F$7,$G$6,IF(ROUNDDOWN(F87,0)=$F$6,$H$6,$G$6))</f>
        <v>　レベル　5</v>
      </c>
      <c r="G92" s="591" t="s">
        <v>9</v>
      </c>
      <c r="H92" s="592"/>
      <c r="I92" s="592"/>
      <c r="J92" s="593"/>
      <c r="K92"/>
      <c r="L92"/>
      <c r="M92"/>
      <c r="N92"/>
      <c r="O92"/>
    </row>
    <row r="93" spans="2:15" ht="14.25" customHeight="1">
      <c r="B93" s="594">
        <v>0</v>
      </c>
      <c r="C93" s="594">
        <v>0</v>
      </c>
      <c r="D93" s="546"/>
      <c r="E93" s="671"/>
      <c r="F93" s="887" t="s">
        <v>3402</v>
      </c>
      <c r="G93" s="2423"/>
      <c r="H93" s="2399"/>
      <c r="I93" s="2396"/>
      <c r="J93" s="2397"/>
      <c r="K93" s="2576" t="s">
        <v>3763</v>
      </c>
      <c r="L93" s="1284"/>
    </row>
    <row r="94" spans="2:15" ht="14.25" customHeight="1">
      <c r="B94" s="918"/>
      <c r="C94" s="918"/>
      <c r="D94" s="546"/>
      <c r="E94" s="671"/>
      <c r="F94" s="2459" t="s">
        <v>3406</v>
      </c>
      <c r="G94" s="2742" t="s">
        <v>3405</v>
      </c>
      <c r="H94" s="826"/>
      <c r="I94" s="648" t="s">
        <v>3761</v>
      </c>
      <c r="J94" s="872"/>
      <c r="K94"/>
      <c r="L94"/>
    </row>
    <row r="95" spans="2:15" ht="14.25" customHeight="1">
      <c r="B95" s="918"/>
      <c r="C95" s="918"/>
      <c r="D95" s="546"/>
      <c r="E95" s="671"/>
      <c r="F95" s="2409"/>
      <c r="G95" s="2727" t="s">
        <v>3408</v>
      </c>
      <c r="H95" s="2401"/>
      <c r="I95" s="2739"/>
      <c r="J95" s="2736"/>
      <c r="K95"/>
      <c r="L95"/>
    </row>
    <row r="96" spans="2:15" ht="14.25" customHeight="1">
      <c r="B96" s="918"/>
      <c r="C96" s="918"/>
      <c r="D96" s="546"/>
      <c r="E96" s="671"/>
      <c r="F96" s="2409"/>
      <c r="G96" s="2728" t="s">
        <v>3409</v>
      </c>
      <c r="H96" s="2402"/>
      <c r="I96" s="2740"/>
      <c r="J96" s="2737"/>
      <c r="K96"/>
      <c r="L96"/>
    </row>
    <row r="97" spans="2:15" ht="14.25" customHeight="1">
      <c r="D97"/>
      <c r="E97"/>
      <c r="F97" s="2409"/>
      <c r="G97" s="2729" t="s">
        <v>3410</v>
      </c>
      <c r="H97" s="2403"/>
      <c r="I97" s="2741"/>
      <c r="J97" s="2738"/>
      <c r="K97"/>
      <c r="L97"/>
    </row>
    <row r="98" spans="2:15" ht="14.25" customHeight="1">
      <c r="D98"/>
      <c r="E98"/>
      <c r="F98"/>
      <c r="G98"/>
      <c r="H98"/>
      <c r="I98"/>
      <c r="J98"/>
      <c r="K98"/>
      <c r="L98"/>
    </row>
    <row r="99" spans="2:15" ht="15.75">
      <c r="D99" s="542">
        <v>2.5</v>
      </c>
      <c r="E99" s="551" t="s">
        <v>1210</v>
      </c>
      <c r="F99" s="551"/>
      <c r="G99" s="860"/>
      <c r="H99" s="433"/>
      <c r="I99"/>
      <c r="J99" t="str">
        <f>IF(OR(F101=0,J100=0),$L$3,"")</f>
        <v/>
      </c>
      <c r="K99"/>
      <c r="L99"/>
      <c r="M99"/>
      <c r="N99"/>
      <c r="O99"/>
    </row>
    <row r="100" spans="2:15" ht="14.25" customHeight="1" thickBot="1">
      <c r="D100" s="795"/>
      <c r="E100" s="795"/>
      <c r="F100" s="673"/>
      <c r="G100" s="559"/>
      <c r="H100" s="560"/>
      <c r="I100" s="561" t="s">
        <v>1141</v>
      </c>
      <c r="J100" s="562">
        <f>重み!M156</f>
        <v>0.1</v>
      </c>
      <c r="K100" s="674"/>
      <c r="L100" s="674"/>
      <c r="M100" s="674"/>
      <c r="N100" s="674"/>
      <c r="O100" s="571"/>
    </row>
    <row r="101" spans="2:15" ht="27" customHeight="1" thickBot="1">
      <c r="B101" s="757" t="s">
        <v>468</v>
      </c>
      <c r="D101" s="546"/>
      <c r="E101" s="543"/>
      <c r="F101" s="565">
        <v>3</v>
      </c>
      <c r="G101" s="661" t="s">
        <v>407</v>
      </c>
      <c r="H101" s="570"/>
      <c r="I101" s="570"/>
      <c r="J101" s="570"/>
      <c r="K101" s="570"/>
      <c r="L101" s="771"/>
      <c r="M101" s="570"/>
      <c r="N101" s="661" t="s">
        <v>1103</v>
      </c>
      <c r="O101" s="571"/>
    </row>
    <row r="102" spans="2:15" ht="21" customHeight="1">
      <c r="B102" s="1" t="s">
        <v>2418</v>
      </c>
      <c r="C102" s="1">
        <v>1</v>
      </c>
      <c r="D102" s="546"/>
      <c r="E102" s="543"/>
      <c r="F102" s="572" t="str">
        <f>IF(F101=$F$7,$G$2,IF(ROUNDDOWN(F101,0)=$F$2,$H$2,$G$2))</f>
        <v>　レベル　1</v>
      </c>
      <c r="G102" s="574" t="s">
        <v>1818</v>
      </c>
      <c r="H102" s="575"/>
      <c r="I102" s="575"/>
      <c r="J102" s="575"/>
      <c r="K102" s="575"/>
      <c r="L102" s="772"/>
      <c r="M102" s="575"/>
      <c r="N102" s="3229" t="s">
        <v>3425</v>
      </c>
      <c r="O102" s="3390"/>
    </row>
    <row r="103" spans="2:15" ht="21" customHeight="1">
      <c r="B103" s="1">
        <v>2</v>
      </c>
      <c r="C103" s="1">
        <v>2</v>
      </c>
      <c r="D103" s="546"/>
      <c r="E103" s="543"/>
      <c r="F103" s="577" t="str">
        <f>IF(F101=$F$7,$G$3,IF(ROUNDDOWN(F101,0)=$F$3,$H$3,$G$3))</f>
        <v>　レベル　2</v>
      </c>
      <c r="G103" s="580" t="s">
        <v>1669</v>
      </c>
      <c r="H103" s="581"/>
      <c r="I103" s="581"/>
      <c r="J103" s="581"/>
      <c r="K103" s="581"/>
      <c r="L103" s="773"/>
      <c r="M103" s="581"/>
      <c r="N103" s="3391"/>
      <c r="O103" s="3392"/>
    </row>
    <row r="104" spans="2:15" ht="21" customHeight="1">
      <c r="B104" s="1">
        <v>3</v>
      </c>
      <c r="C104" s="1">
        <v>3</v>
      </c>
      <c r="D104" s="546"/>
      <c r="E104" s="543"/>
      <c r="F104" s="577" t="str">
        <f>IF(F101=$F$7,$G$4,IF(ROUNDDOWN(F101,0)=$F$4,$H$4,$G$4))</f>
        <v>■レベル　3</v>
      </c>
      <c r="G104" s="580" t="s">
        <v>1670</v>
      </c>
      <c r="H104" s="581"/>
      <c r="I104" s="581"/>
      <c r="J104" s="581"/>
      <c r="K104" s="581"/>
      <c r="L104" s="773"/>
      <c r="M104" s="581"/>
      <c r="N104" s="3391"/>
      <c r="O104" s="3392"/>
    </row>
    <row r="105" spans="2:15" ht="21" customHeight="1">
      <c r="B105" s="1">
        <v>4</v>
      </c>
      <c r="C105" s="1">
        <v>4</v>
      </c>
      <c r="D105" s="546"/>
      <c r="E105" s="543"/>
      <c r="F105" s="577" t="str">
        <f>IF(F101=$F$7,$G$5,IF(ROUNDDOWN(F101,0)=$F$5,$H$5,$G$5))</f>
        <v>　レベル　4</v>
      </c>
      <c r="G105" s="580" t="s">
        <v>3574</v>
      </c>
      <c r="H105" s="581"/>
      <c r="I105" s="581"/>
      <c r="J105" s="581"/>
      <c r="K105" s="581"/>
      <c r="L105" s="773"/>
      <c r="M105" s="581"/>
      <c r="N105" s="3391"/>
      <c r="O105" s="3392"/>
    </row>
    <row r="106" spans="2:15" ht="21" customHeight="1">
      <c r="B106" s="1">
        <v>5</v>
      </c>
      <c r="C106" s="1">
        <v>5</v>
      </c>
      <c r="D106" s="546"/>
      <c r="E106" s="543"/>
      <c r="F106" s="587" t="str">
        <f>IF(F101=$F$7,$G$6,IF(ROUNDDOWN(F101,0)=$F$6,$H$6,$G$6))</f>
        <v>　レベル　5</v>
      </c>
      <c r="G106" s="591" t="s">
        <v>1211</v>
      </c>
      <c r="H106" s="592"/>
      <c r="I106" s="592"/>
      <c r="J106" s="592"/>
      <c r="K106" s="592"/>
      <c r="L106" s="774"/>
      <c r="M106" s="592"/>
      <c r="N106" s="3393"/>
      <c r="O106" s="3394"/>
    </row>
    <row r="107" spans="2:15" ht="14.25" customHeight="1">
      <c r="B107" s="594">
        <v>0</v>
      </c>
      <c r="C107" s="594">
        <v>0</v>
      </c>
      <c r="D107" s="546"/>
      <c r="E107" s="671"/>
      <c r="F107" s="887" t="s">
        <v>3402</v>
      </c>
      <c r="G107" s="2423"/>
      <c r="H107" s="2399"/>
      <c r="I107" s="2396"/>
      <c r="J107" s="2397"/>
      <c r="K107" s="2400"/>
      <c r="L107" s="846"/>
      <c r="M107" s="846"/>
      <c r="N107" s="846"/>
      <c r="O107" s="846"/>
    </row>
    <row r="108" spans="2:15" ht="14.25" customHeight="1">
      <c r="B108" s="918"/>
      <c r="C108" s="918"/>
      <c r="D108" s="546"/>
      <c r="E108" s="671"/>
      <c r="F108" s="2459" t="s">
        <v>3397</v>
      </c>
      <c r="G108" s="2556">
        <v>0.05</v>
      </c>
      <c r="H108" s="2560" t="s">
        <v>3571</v>
      </c>
      <c r="I108" s="991"/>
      <c r="J108" s="845" t="s">
        <v>3426</v>
      </c>
      <c r="K108" s="2432"/>
      <c r="L108" s="846"/>
      <c r="M108" s="846"/>
      <c r="N108" s="846"/>
      <c r="O108" s="846"/>
    </row>
    <row r="109" spans="2:15" ht="14.25" customHeight="1">
      <c r="B109" s="918"/>
      <c r="C109" s="918"/>
      <c r="D109" s="546"/>
      <c r="E109" s="671"/>
      <c r="F109" s="2431"/>
      <c r="G109" s="841"/>
      <c r="H109"/>
      <c r="I109"/>
      <c r="J109" s="2431" t="s">
        <v>3427</v>
      </c>
      <c r="K109" s="433"/>
      <c r="L109" s="846"/>
      <c r="M109" s="846"/>
      <c r="N109" s="846"/>
      <c r="O109" s="846"/>
    </row>
    <row r="110" spans="2:15" ht="14.25" customHeight="1">
      <c r="B110" s="918"/>
      <c r="C110" s="918"/>
      <c r="D110" s="546"/>
      <c r="E110" s="671"/>
      <c r="F110" s="433"/>
      <c r="G110" s="433"/>
      <c r="H110" s="433"/>
      <c r="I110" s="433"/>
      <c r="J110" s="433"/>
      <c r="K110" s="433"/>
      <c r="L110" s="846"/>
      <c r="M110" s="846"/>
      <c r="N110" s="846"/>
      <c r="O110" s="846"/>
    </row>
    <row r="111" spans="2:15" ht="15.75">
      <c r="D111" s="542">
        <v>2.6</v>
      </c>
      <c r="E111" s="551" t="s">
        <v>1212</v>
      </c>
      <c r="F111" s="551"/>
      <c r="G111" s="433"/>
      <c r="H111" s="433"/>
      <c r="I111"/>
      <c r="J111"/>
      <c r="K111"/>
      <c r="L111"/>
      <c r="M111"/>
      <c r="N111"/>
      <c r="O111"/>
    </row>
    <row r="112" spans="2:15" ht="15" thickBot="1">
      <c r="D112" s="795"/>
      <c r="E112" s="795"/>
      <c r="F112" s="558"/>
      <c r="G112" s="559"/>
      <c r="H112" s="560"/>
      <c r="I112" s="561" t="s">
        <v>1141</v>
      </c>
      <c r="J112" s="562">
        <f>重み!M157</f>
        <v>0.2</v>
      </c>
      <c r="K112" s="674"/>
      <c r="L112" s="674"/>
      <c r="M112" s="674"/>
      <c r="N112" s="674"/>
      <c r="O112" s="571"/>
    </row>
    <row r="113" spans="2:15" ht="27" customHeight="1" thickBot="1">
      <c r="B113" t="s">
        <v>3432</v>
      </c>
      <c r="D113" s="546"/>
      <c r="E113" s="543"/>
      <c r="F113" s="1978">
        <f>G121</f>
        <v>3</v>
      </c>
      <c r="G113" s="570" t="s">
        <v>407</v>
      </c>
      <c r="H113" s="570"/>
      <c r="I113" s="570"/>
      <c r="J113" s="570"/>
      <c r="K113" s="570"/>
      <c r="L113" s="771"/>
      <c r="M113" s="570"/>
      <c r="N113" s="570"/>
      <c r="O113" s="571"/>
    </row>
    <row r="114" spans="2:15" ht="21" customHeight="1">
      <c r="B114">
        <v>0</v>
      </c>
      <c r="D114" s="546"/>
      <c r="E114" s="543"/>
      <c r="F114" s="577" t="str">
        <f>IF(F113=$F$7,$G$2,IF(ROUNDDOWN(F113,0)=$F$2,$H$2,$G$2))</f>
        <v>　レベル　1</v>
      </c>
      <c r="G114" s="574" t="s">
        <v>1818</v>
      </c>
      <c r="H114" s="575"/>
      <c r="I114" s="575"/>
      <c r="J114" s="575"/>
      <c r="K114" s="575"/>
      <c r="L114" s="772"/>
      <c r="M114" s="575"/>
      <c r="N114" s="575"/>
      <c r="O114" s="576"/>
    </row>
    <row r="115" spans="2:15" ht="21" customHeight="1">
      <c r="B115">
        <v>0</v>
      </c>
      <c r="D115" s="546"/>
      <c r="E115" s="543"/>
      <c r="F115" s="577" t="str">
        <f>IF(F113=$F$7,$G$3,IF(ROUNDDOWN(F113,0)=$F$3,$H$3,$G$3))</f>
        <v>　レベル　2</v>
      </c>
      <c r="G115" s="580" t="s">
        <v>1818</v>
      </c>
      <c r="H115" s="581"/>
      <c r="I115" s="581"/>
      <c r="J115" s="581"/>
      <c r="K115" s="581"/>
      <c r="L115" s="773"/>
      <c r="M115" s="581"/>
      <c r="N115" s="581"/>
      <c r="O115" s="582"/>
    </row>
    <row r="116" spans="2:15" ht="21" customHeight="1">
      <c r="B116">
        <v>0</v>
      </c>
      <c r="D116" s="546"/>
      <c r="E116" s="543"/>
      <c r="F116" s="577" t="str">
        <f>IF(F113=$F$7,$G$4,IF(ROUNDDOWN(F113,0)=$F$4,$H$4,$G$4))</f>
        <v>■レベル　3</v>
      </c>
      <c r="G116" s="580" t="s">
        <v>1213</v>
      </c>
      <c r="H116" s="581"/>
      <c r="I116" s="581"/>
      <c r="J116" s="581"/>
      <c r="K116" s="581"/>
      <c r="L116" s="773"/>
      <c r="M116" s="581"/>
      <c r="N116" s="581"/>
      <c r="O116" s="582"/>
    </row>
    <row r="117" spans="2:15" ht="21" customHeight="1">
      <c r="B117">
        <v>1</v>
      </c>
      <c r="D117" s="546"/>
      <c r="E117" s="543"/>
      <c r="F117" s="577" t="str">
        <f>IF(F113=$F$7,$G$5,IF(ROUNDDOWN(F113,0)=$F$5,$H$5,$G$5))</f>
        <v>　レベル　4</v>
      </c>
      <c r="G117" s="580" t="s">
        <v>1214</v>
      </c>
      <c r="H117" s="581"/>
      <c r="I117" s="581"/>
      <c r="J117" s="581"/>
      <c r="K117" s="581"/>
      <c r="L117" s="773"/>
      <c r="M117" s="581"/>
      <c r="N117" s="581"/>
      <c r="O117" s="582"/>
    </row>
    <row r="118" spans="2:15" ht="21" customHeight="1">
      <c r="B118">
        <v>2</v>
      </c>
      <c r="D118" s="546"/>
      <c r="E118" s="543"/>
      <c r="F118" s="587" t="str">
        <f>IF(F113=$F$7,$G$6,IF(ROUNDDOWN(F113,0)=$F$6,$H$6,$G$6))</f>
        <v>　レベル　5</v>
      </c>
      <c r="G118" s="591" t="s">
        <v>1215</v>
      </c>
      <c r="H118" s="592"/>
      <c r="I118" s="592"/>
      <c r="J118" s="592"/>
      <c r="K118" s="592"/>
      <c r="L118" s="774"/>
      <c r="M118" s="592"/>
      <c r="N118" s="592"/>
      <c r="O118" s="593"/>
    </row>
    <row r="119" spans="2:15" ht="15.75">
      <c r="D119" s="546"/>
      <c r="E119" s="671"/>
      <c r="F119" s="887" t="s">
        <v>3402</v>
      </c>
      <c r="G119" s="2423"/>
      <c r="H119" s="2399"/>
      <c r="I119" s="2396"/>
      <c r="J119" s="2397"/>
      <c r="K119" s="2576" t="s">
        <v>3764</v>
      </c>
      <c r="N119" s="552"/>
      <c r="O119" s="552"/>
    </row>
    <row r="120" spans="2:15" ht="15.75">
      <c r="D120" s="546"/>
      <c r="E120" s="671"/>
      <c r="F120" s="56" t="s">
        <v>2263</v>
      </c>
      <c r="G120"/>
      <c r="H120"/>
      <c r="I120"/>
      <c r="J120" s="861"/>
      <c r="K120" s="659"/>
      <c r="L120" s="626"/>
      <c r="M120" s="63"/>
      <c r="N120"/>
      <c r="O120"/>
    </row>
    <row r="121" spans="2:15" ht="16.5" thickBot="1">
      <c r="D121" s="546"/>
      <c r="E121" s="671"/>
      <c r="G121" s="2442">
        <f>IF(G126&gt;=B118,5,IF(G126&gt;=B117,4,IF(G126&gt;=B116,3,IF(G126&gt;=B115,2,1))))</f>
        <v>3</v>
      </c>
      <c r="H121" s="2712" t="s">
        <v>1452</v>
      </c>
      <c r="I121" s="2734"/>
      <c r="J121" s="2734"/>
      <c r="K121" s="2734"/>
      <c r="L121" s="2734"/>
      <c r="M121" s="2734"/>
      <c r="N121" s="2735"/>
      <c r="O121"/>
    </row>
    <row r="122" spans="2:15" ht="15.75">
      <c r="D122" s="546"/>
      <c r="E122" s="671"/>
      <c r="F122" s="2409" t="s">
        <v>3070</v>
      </c>
      <c r="G122" s="2425"/>
      <c r="H122" s="770" t="s">
        <v>1216</v>
      </c>
      <c r="I122" s="1285"/>
      <c r="J122" s="1285"/>
      <c r="K122" s="1285"/>
      <c r="L122" s="1286"/>
      <c r="M122" s="1286"/>
      <c r="N122" s="2416"/>
      <c r="O122"/>
    </row>
    <row r="123" spans="2:15" ht="15.75">
      <c r="D123" s="546"/>
      <c r="E123" s="671"/>
      <c r="F123" s="2409" t="s">
        <v>3400</v>
      </c>
      <c r="G123" s="2426"/>
      <c r="H123" s="754" t="s">
        <v>163</v>
      </c>
      <c r="I123" s="1287"/>
      <c r="J123" s="1287"/>
      <c r="K123" s="1287"/>
      <c r="L123" s="1288"/>
      <c r="M123" s="1288"/>
      <c r="N123" s="2417"/>
      <c r="O123"/>
    </row>
    <row r="124" spans="2:15" ht="15.75">
      <c r="D124" s="546"/>
      <c r="E124" s="671"/>
      <c r="F124" s="2409" t="s">
        <v>3072</v>
      </c>
      <c r="G124" s="2427"/>
      <c r="H124" s="701" t="s">
        <v>52</v>
      </c>
      <c r="I124" s="1335"/>
      <c r="J124" s="1335"/>
      <c r="K124" s="1335"/>
      <c r="L124" s="1336"/>
      <c r="M124" s="1336"/>
      <c r="N124" s="2418"/>
      <c r="O124"/>
    </row>
    <row r="125" spans="2:15" ht="16.5" thickBot="1">
      <c r="D125" s="546"/>
      <c r="E125" s="671"/>
      <c r="F125" s="2409" t="s">
        <v>3073</v>
      </c>
      <c r="G125" s="2428"/>
      <c r="H125" s="592" t="s">
        <v>53</v>
      </c>
      <c r="I125" s="1289"/>
      <c r="J125" s="1289"/>
      <c r="K125" s="1289"/>
      <c r="L125" s="1290"/>
      <c r="M125" s="1290"/>
      <c r="N125" s="2419"/>
      <c r="O125"/>
    </row>
    <row r="126" spans="2:15" ht="15.75">
      <c r="D126" s="546"/>
      <c r="E126" s="546"/>
      <c r="F126" s="2409" t="s">
        <v>3416</v>
      </c>
      <c r="G126" s="1983">
        <f>COUNTIF(G122:G125,"○")</f>
        <v>0</v>
      </c>
      <c r="H126" s="1533" t="s">
        <v>3417</v>
      </c>
      <c r="I126" s="1981"/>
      <c r="J126" s="1981"/>
      <c r="K126" s="1981"/>
      <c r="L126" s="1981"/>
      <c r="M126" s="1981"/>
      <c r="N126" s="2395"/>
      <c r="O126"/>
    </row>
    <row r="127" spans="2:15" ht="15.75" hidden="1">
      <c r="D127" s="762"/>
      <c r="E127" s="553"/>
      <c r="F127" s="688" t="s">
        <v>2760</v>
      </c>
      <c r="G127" s="618"/>
      <c r="H127" s="660"/>
      <c r="I127" s="644"/>
      <c r="J127" s="621" t="str">
        <f>IF(OR(F129=0,J128=0),$L$3,"")</f>
        <v>&lt;評価しない&gt;</v>
      </c>
      <c r="K127" s="688" t="s">
        <v>2761</v>
      </c>
      <c r="L127" s="618"/>
      <c r="M127" s="660"/>
      <c r="N127" s="644"/>
      <c r="O127" s="621" t="str">
        <f>IF(OR(K129=0,O128=0),$L$3,"")</f>
        <v>&lt;評価しない&gt;</v>
      </c>
    </row>
    <row r="128" spans="2:15" ht="15.75" hidden="1">
      <c r="D128" s="546"/>
      <c r="E128" s="63"/>
      <c r="F128" s="558"/>
      <c r="G128" s="559"/>
      <c r="H128" s="560"/>
      <c r="I128" s="561" t="s">
        <v>1141</v>
      </c>
      <c r="J128" s="564">
        <f>重み!M159</f>
        <v>0</v>
      </c>
      <c r="K128" s="558"/>
      <c r="L128" s="559"/>
      <c r="M128" s="560"/>
      <c r="N128" s="561" t="s">
        <v>1141</v>
      </c>
      <c r="O128" s="564">
        <f>重み!M160</f>
        <v>0</v>
      </c>
    </row>
    <row r="129" spans="2:15" ht="16.5" hidden="1" customHeight="1" thickBot="1">
      <c r="B129" s="1672" t="s">
        <v>2786</v>
      </c>
      <c r="C129" s="1672" t="s">
        <v>2786</v>
      </c>
      <c r="D129" s="546"/>
      <c r="E129" s="63"/>
      <c r="F129" s="565">
        <v>5</v>
      </c>
      <c r="G129" s="661" t="s">
        <v>33</v>
      </c>
      <c r="H129" s="570"/>
      <c r="I129" s="570"/>
      <c r="J129" s="571"/>
      <c r="K129" s="565">
        <v>4</v>
      </c>
      <c r="L129" s="661" t="s">
        <v>33</v>
      </c>
      <c r="M129" s="571"/>
      <c r="N129" s="661"/>
      <c r="O129" s="666"/>
    </row>
    <row r="130" spans="2:15" ht="15.75" hidden="1" customHeight="1">
      <c r="B130" s="1">
        <v>1</v>
      </c>
      <c r="C130" s="1">
        <v>1</v>
      </c>
      <c r="D130" s="546"/>
      <c r="E130" s="63"/>
      <c r="F130" s="572" t="str">
        <f>IF(F129=$S$22,$G$2,IF(ROUNDDOWN(F129,0)=$F$2,$H$2,$G$2))</f>
        <v>　レベル　1</v>
      </c>
      <c r="G130" s="3432" t="s">
        <v>2755</v>
      </c>
      <c r="H130" s="3433"/>
      <c r="I130" s="3433"/>
      <c r="J130" s="3434"/>
      <c r="K130" s="572" t="str">
        <f>IF(K129=$S$22,$G$2,IF(ROUNDDOWN(K129,0)=$F$2,$H$2,$G$2))</f>
        <v>　レベル　1</v>
      </c>
      <c r="L130" s="3432" t="s">
        <v>2762</v>
      </c>
      <c r="M130" s="3433"/>
      <c r="N130" s="3433"/>
      <c r="O130" s="3434"/>
    </row>
    <row r="131" spans="2:15" ht="15.75" hidden="1" customHeight="1">
      <c r="B131" s="1">
        <v>2</v>
      </c>
      <c r="C131" s="1">
        <v>2</v>
      </c>
      <c r="D131" s="546"/>
      <c r="E131" s="63"/>
      <c r="F131" s="577" t="str">
        <f>IF(F129=$S$22,$G$3,IF(ROUNDDOWN(F129,0)=$F$3,$H$3,$G$3))</f>
        <v>　レベル　2</v>
      </c>
      <c r="G131" s="3191" t="s">
        <v>2756</v>
      </c>
      <c r="H131" s="3435"/>
      <c r="I131" s="3435"/>
      <c r="J131" s="3436"/>
      <c r="K131" s="577" t="str">
        <f>IF(K129=$S$22,$G$3,IF(ROUNDDOWN(K129,0)=$F$3,$H$3,$G$3))</f>
        <v>　レベル　2</v>
      </c>
      <c r="L131" s="3191" t="s">
        <v>2763</v>
      </c>
      <c r="M131" s="3435"/>
      <c r="N131" s="3435"/>
      <c r="O131" s="3436"/>
    </row>
    <row r="132" spans="2:15" ht="15.75" hidden="1" customHeight="1">
      <c r="B132" s="1">
        <v>3</v>
      </c>
      <c r="C132" s="1">
        <v>3</v>
      </c>
      <c r="D132" s="546"/>
      <c r="E132" s="63"/>
      <c r="F132" s="577" t="str">
        <f>IF(F129=$S$22,$G$4,IF(ROUNDDOWN(F129,0)=$F$4,$H$4,$G$4))</f>
        <v>　レベル　3</v>
      </c>
      <c r="G132" s="3191" t="s">
        <v>2757</v>
      </c>
      <c r="H132" s="3435"/>
      <c r="I132" s="3435"/>
      <c r="J132" s="3436"/>
      <c r="K132" s="577" t="str">
        <f>IF(K129=$S$22,$G$4,IF(ROUNDDOWN(K129,0)=$F$4,$H$4,$G$4))</f>
        <v>　レベル　3</v>
      </c>
      <c r="L132" s="3191" t="s">
        <v>2764</v>
      </c>
      <c r="M132" s="3435"/>
      <c r="N132" s="3435"/>
      <c r="O132" s="3436"/>
    </row>
    <row r="133" spans="2:15" ht="15.75" hidden="1" customHeight="1">
      <c r="B133" s="1">
        <v>4</v>
      </c>
      <c r="C133" s="1">
        <v>4</v>
      </c>
      <c r="D133" s="546"/>
      <c r="E133" s="63"/>
      <c r="F133" s="577" t="str">
        <f>IF(F129=$S$22,$G$5,IF(ROUNDDOWN(F129,0)=$F$5,$H$5,$G$5))</f>
        <v>　レベル　4</v>
      </c>
      <c r="G133" s="3191" t="s">
        <v>2758</v>
      </c>
      <c r="H133" s="3435"/>
      <c r="I133" s="3435"/>
      <c r="J133" s="3436"/>
      <c r="K133" s="577" t="str">
        <f>IF(K129=$S$22,$G$5,IF(ROUNDDOWN(K129,0)=$F$5,$H$5,$G$5))</f>
        <v>■レベル　4</v>
      </c>
      <c r="L133" s="3191" t="s">
        <v>2765</v>
      </c>
      <c r="M133" s="3435"/>
      <c r="N133" s="3435"/>
      <c r="O133" s="3436"/>
    </row>
    <row r="134" spans="2:15" ht="15.75" hidden="1" customHeight="1">
      <c r="B134" s="1">
        <v>5</v>
      </c>
      <c r="C134" s="1">
        <v>5</v>
      </c>
      <c r="D134" s="546"/>
      <c r="E134" s="63"/>
      <c r="F134" s="587" t="str">
        <f>IF(F129=$S$22,$G$6,IF(ROUNDDOWN(F129,0)=$F$6,$H$6,$G$6))</f>
        <v>■レベル　5</v>
      </c>
      <c r="G134" s="3182" t="s">
        <v>2759</v>
      </c>
      <c r="H134" s="3437"/>
      <c r="I134" s="3437"/>
      <c r="J134" s="3438"/>
      <c r="K134" s="587" t="str">
        <f>IF(K129=$S$22,$G$6,IF(ROUNDDOWN(K129,0)=$F$6,$H$6,$G$6))</f>
        <v>　レベル　5</v>
      </c>
      <c r="L134" s="3182" t="s">
        <v>2766</v>
      </c>
      <c r="M134" s="3437"/>
      <c r="N134" s="3437"/>
      <c r="O134" s="3438"/>
    </row>
    <row r="135" spans="2:15" ht="15.75" hidden="1">
      <c r="B135" s="594">
        <v>0</v>
      </c>
      <c r="C135" s="594">
        <v>0</v>
      </c>
      <c r="D135" s="546"/>
      <c r="E135" s="546"/>
      <c r="F135" s="546"/>
      <c r="G135" s="546"/>
      <c r="H135" s="546"/>
      <c r="I135" s="546"/>
      <c r="J135" s="546"/>
      <c r="K135" s="546"/>
      <c r="L135" s="859"/>
      <c r="M135" s="546"/>
      <c r="N135" s="546"/>
      <c r="O135" s="546"/>
    </row>
    <row r="136" spans="2:15" ht="15.75" hidden="1">
      <c r="B136" s="918"/>
      <c r="C136" s="918"/>
      <c r="D136" s="546"/>
      <c r="E136" s="546"/>
      <c r="F136" s="688" t="s">
        <v>2767</v>
      </c>
      <c r="G136" s="618"/>
      <c r="H136" s="660"/>
      <c r="I136" s="644"/>
      <c r="J136" s="621" t="str">
        <f>IF(OR(F138=0,J137=0),$L$3,"")</f>
        <v>&lt;評価しない&gt;</v>
      </c>
      <c r="K136" s="688" t="s">
        <v>2778</v>
      </c>
      <c r="L136" s="618"/>
      <c r="M136" s="660"/>
      <c r="N136" s="644"/>
      <c r="O136" s="621" t="str">
        <f>IF(OR(K138=0,O137=0),$L$3,"")</f>
        <v>&lt;評価しない&gt;</v>
      </c>
    </row>
    <row r="137" spans="2:15" ht="15.75" hidden="1">
      <c r="B137" s="918"/>
      <c r="C137" s="918"/>
      <c r="D137" s="546"/>
      <c r="E137" s="546"/>
      <c r="F137" s="558"/>
      <c r="G137" s="559"/>
      <c r="H137" s="560"/>
      <c r="I137" s="561" t="s">
        <v>1141</v>
      </c>
      <c r="J137" s="564">
        <f>重み!M161</f>
        <v>0</v>
      </c>
      <c r="K137" s="558"/>
      <c r="L137" s="559"/>
      <c r="M137" s="560"/>
      <c r="N137" s="561" t="s">
        <v>1141</v>
      </c>
      <c r="O137" s="564">
        <f>重み!M162</f>
        <v>0</v>
      </c>
    </row>
    <row r="138" spans="2:15" ht="16.5" hidden="1" thickBot="1">
      <c r="B138" s="1672" t="s">
        <v>2786</v>
      </c>
      <c r="C138" s="1672" t="s">
        <v>2786</v>
      </c>
      <c r="D138" s="546"/>
      <c r="E138" s="546"/>
      <c r="F138" s="565">
        <v>4</v>
      </c>
      <c r="G138" s="661" t="s">
        <v>33</v>
      </c>
      <c r="H138" s="570"/>
      <c r="I138" s="570"/>
      <c r="J138" s="571"/>
      <c r="K138" s="565">
        <v>4</v>
      </c>
      <c r="L138" s="661" t="s">
        <v>33</v>
      </c>
      <c r="M138" s="571"/>
      <c r="N138" s="661"/>
      <c r="O138" s="666"/>
    </row>
    <row r="139" spans="2:15" ht="15.75" hidden="1" customHeight="1">
      <c r="B139" s="1">
        <v>1</v>
      </c>
      <c r="C139" s="1">
        <v>1</v>
      </c>
      <c r="D139" s="546"/>
      <c r="E139" s="546"/>
      <c r="F139" s="572" t="str">
        <f>IF(F138=$S$22,$G$2,IF(ROUNDDOWN(F138,0)=$F$2,$H$2,$G$2))</f>
        <v>　レベル　1</v>
      </c>
      <c r="G139" s="3432" t="s">
        <v>2768</v>
      </c>
      <c r="H139" s="3433"/>
      <c r="I139" s="3433"/>
      <c r="J139" s="3434"/>
      <c r="K139" s="572" t="str">
        <f>IF(K138=$S$22,$G$2,IF(ROUNDDOWN(K138,0)=$F$2,$H$2,$G$2))</f>
        <v>　レベル　1</v>
      </c>
      <c r="L139" s="3432" t="s">
        <v>2773</v>
      </c>
      <c r="M139" s="3433"/>
      <c r="N139" s="3433"/>
      <c r="O139" s="3434"/>
    </row>
    <row r="140" spans="2:15" ht="15.75" hidden="1" customHeight="1">
      <c r="B140" s="1">
        <v>2</v>
      </c>
      <c r="C140" s="1">
        <v>2</v>
      </c>
      <c r="D140" s="546"/>
      <c r="E140" s="546"/>
      <c r="F140" s="577" t="str">
        <f>IF(F138=$S$22,$G$3,IF(ROUNDDOWN(F138,0)=$F$3,$H$3,$G$3))</f>
        <v>　レベル　2</v>
      </c>
      <c r="G140" s="3191" t="s">
        <v>2769</v>
      </c>
      <c r="H140" s="3435"/>
      <c r="I140" s="3435"/>
      <c r="J140" s="3436"/>
      <c r="K140" s="577" t="str">
        <f>IF(K138=$S$22,$G$3,IF(ROUNDDOWN(K138,0)=$F$3,$H$3,$G$3))</f>
        <v>　レベル　2</v>
      </c>
      <c r="L140" s="3191" t="s">
        <v>2774</v>
      </c>
      <c r="M140" s="3435"/>
      <c r="N140" s="3435"/>
      <c r="O140" s="3436"/>
    </row>
    <row r="141" spans="2:15" ht="15.75" hidden="1" customHeight="1">
      <c r="B141" s="1">
        <v>3</v>
      </c>
      <c r="C141" s="1">
        <v>3</v>
      </c>
      <c r="D141" s="546"/>
      <c r="E141" s="546"/>
      <c r="F141" s="577" t="str">
        <f>IF(F138=$S$22,$G$4,IF(ROUNDDOWN(F138,0)=$F$4,$H$4,$G$4))</f>
        <v>　レベル　3</v>
      </c>
      <c r="G141" s="3191" t="s">
        <v>2770</v>
      </c>
      <c r="H141" s="3435"/>
      <c r="I141" s="3435"/>
      <c r="J141" s="3436"/>
      <c r="K141" s="577" t="str">
        <f>IF(K138=$S$22,$G$4,IF(ROUNDDOWN(K138,0)=$F$4,$H$4,$G$4))</f>
        <v>　レベル　3</v>
      </c>
      <c r="L141" s="3191" t="s">
        <v>2775</v>
      </c>
      <c r="M141" s="3435"/>
      <c r="N141" s="3435"/>
      <c r="O141" s="3436"/>
    </row>
    <row r="142" spans="2:15" ht="15.75" hidden="1" customHeight="1">
      <c r="B142" s="1">
        <v>4</v>
      </c>
      <c r="C142" s="1">
        <v>4</v>
      </c>
      <c r="D142" s="546"/>
      <c r="E142" s="546"/>
      <c r="F142" s="577" t="str">
        <f>IF(F138=$S$22,$G$5,IF(ROUNDDOWN(F138,0)=$F$5,$H$5,$G$5))</f>
        <v>■レベル　4</v>
      </c>
      <c r="G142" s="3191" t="s">
        <v>2771</v>
      </c>
      <c r="H142" s="3435"/>
      <c r="I142" s="3435"/>
      <c r="J142" s="3436"/>
      <c r="K142" s="577" t="str">
        <f>IF(K138=$S$22,$G$5,IF(ROUNDDOWN(K138,0)=$F$5,$H$5,$G$5))</f>
        <v>■レベル　4</v>
      </c>
      <c r="L142" s="3191" t="s">
        <v>2776</v>
      </c>
      <c r="M142" s="3435"/>
      <c r="N142" s="3435"/>
      <c r="O142" s="3436"/>
    </row>
    <row r="143" spans="2:15" ht="15.75" hidden="1" customHeight="1">
      <c r="B143" s="1">
        <v>5</v>
      </c>
      <c r="C143" s="1">
        <v>5</v>
      </c>
      <c r="D143" s="546"/>
      <c r="E143" s="546"/>
      <c r="F143" s="587" t="str">
        <f>IF(F138=$S$22,$G$6,IF(ROUNDDOWN(F138,0)=$F$6,$H$6,$G$6))</f>
        <v>　レベル　5</v>
      </c>
      <c r="G143" s="3182" t="s">
        <v>2772</v>
      </c>
      <c r="H143" s="3437"/>
      <c r="I143" s="3437"/>
      <c r="J143" s="3438"/>
      <c r="K143" s="587" t="str">
        <f>IF(K138=$S$22,$G$6,IF(ROUNDDOWN(K138,0)=$F$6,$H$6,$G$6))</f>
        <v>　レベル　5</v>
      </c>
      <c r="L143" s="3182" t="s">
        <v>2777</v>
      </c>
      <c r="M143" s="3437"/>
      <c r="N143" s="3437"/>
      <c r="O143" s="3438"/>
    </row>
    <row r="144" spans="2:15" ht="15.75" hidden="1">
      <c r="B144" s="594">
        <v>0</v>
      </c>
      <c r="C144" s="594">
        <v>0</v>
      </c>
      <c r="D144" s="546"/>
      <c r="E144" s="546"/>
      <c r="F144" s="546"/>
      <c r="G144" s="546"/>
      <c r="H144" s="546"/>
      <c r="I144" s="546"/>
      <c r="J144" s="546"/>
      <c r="K144" s="546"/>
      <c r="L144" s="859"/>
      <c r="M144" s="546"/>
      <c r="N144" s="546"/>
      <c r="O144" s="546"/>
    </row>
    <row r="145" spans="2:15" ht="15.75" hidden="1">
      <c r="B145" s="918"/>
      <c r="C145" s="918"/>
      <c r="D145" s="546"/>
      <c r="E145" s="546"/>
      <c r="F145" s="688" t="s">
        <v>2779</v>
      </c>
      <c r="G145" s="618"/>
      <c r="H145" s="660"/>
      <c r="I145" s="644"/>
      <c r="J145" s="621" t="str">
        <f>IF(OR(F147=0,J146=0),$L$3,"")</f>
        <v>&lt;評価しない&gt;</v>
      </c>
      <c r="K145" s="688" t="s">
        <v>2780</v>
      </c>
      <c r="L145" s="618"/>
      <c r="M145" s="660"/>
      <c r="N145" s="644"/>
      <c r="O145" s="621" t="str">
        <f>IF(OR(K147=0,O146=0),$L$3,"")</f>
        <v>&lt;評価しない&gt;</v>
      </c>
    </row>
    <row r="146" spans="2:15" ht="15.75" hidden="1">
      <c r="B146" s="918"/>
      <c r="C146" s="918"/>
      <c r="D146" s="546"/>
      <c r="E146" s="546"/>
      <c r="F146" s="558"/>
      <c r="G146" s="559"/>
      <c r="H146" s="560"/>
      <c r="I146" s="561" t="s">
        <v>1141</v>
      </c>
      <c r="J146" s="564">
        <f>重み!M163</f>
        <v>0</v>
      </c>
      <c r="K146" s="558"/>
      <c r="L146" s="559"/>
      <c r="M146" s="560"/>
      <c r="N146" s="561" t="s">
        <v>1141</v>
      </c>
      <c r="O146" s="564">
        <f>重み!M164</f>
        <v>0</v>
      </c>
    </row>
    <row r="147" spans="2:15" ht="16.5" hidden="1" thickBot="1">
      <c r="B147" s="1672" t="s">
        <v>2786</v>
      </c>
      <c r="C147" s="1672" t="s">
        <v>2786</v>
      </c>
      <c r="D147" s="546"/>
      <c r="E147" s="546"/>
      <c r="F147" s="565">
        <f>IF(H153=$N$4,F153,IF(G165&lt;1,1,IF(G165=1,2,IF(G165=2,3,IF(G165=3,4,5)))))</f>
        <v>5</v>
      </c>
      <c r="G147" s="661" t="s">
        <v>33</v>
      </c>
      <c r="H147" s="570"/>
      <c r="I147" s="570"/>
      <c r="J147" s="571"/>
      <c r="K147" s="565">
        <f>IF(M153=$N$4,K153,IF(L162&lt;1,1,IF(L162=1,3,IF(L162=2,4,5))))</f>
        <v>5</v>
      </c>
      <c r="L147" s="661" t="s">
        <v>33</v>
      </c>
      <c r="M147" s="571"/>
      <c r="N147" s="661"/>
      <c r="O147" s="666"/>
    </row>
    <row r="148" spans="2:15" ht="15.75" hidden="1">
      <c r="B148" s="1">
        <v>1</v>
      </c>
      <c r="C148" s="1">
        <v>1</v>
      </c>
      <c r="D148" s="546"/>
      <c r="E148" s="546"/>
      <c r="F148" s="572" t="str">
        <f>IF(F147=$S$22,$G$2,IF(ROUNDDOWN(F147,0)=$F$2,$H$2,$G$2))</f>
        <v>　レベル　1</v>
      </c>
      <c r="G148" s="574" t="s">
        <v>675</v>
      </c>
      <c r="H148" s="763"/>
      <c r="I148" s="763"/>
      <c r="J148" s="576"/>
      <c r="K148" s="572" t="str">
        <f>IF(K147=$S$22,$G$2,IF(ROUNDDOWN(K147,0)=$F$2,$H$2,$G$2))</f>
        <v>　レベル　1</v>
      </c>
      <c r="L148" s="574" t="s">
        <v>675</v>
      </c>
      <c r="M148" s="763"/>
      <c r="N148" s="763"/>
      <c r="O148" s="576"/>
    </row>
    <row r="149" spans="2:15" ht="15.75" hidden="1">
      <c r="B149" s="1">
        <v>2</v>
      </c>
      <c r="C149" s="1" t="s">
        <v>177</v>
      </c>
      <c r="D149" s="546"/>
      <c r="E149" s="546"/>
      <c r="F149" s="577" t="str">
        <f>IF(F147=$S$22,$G$3,IF(ROUNDDOWN(F147,0)=$F$3,$H$3,$G$3))</f>
        <v>　レベル　2</v>
      </c>
      <c r="G149" s="580" t="s">
        <v>2782</v>
      </c>
      <c r="H149" s="690"/>
      <c r="I149" s="690"/>
      <c r="J149" s="582"/>
      <c r="K149" s="577" t="str">
        <f>IF(K147=$S$22,$G$3,IF(ROUNDDOWN(K147,0)=$F$3,$H$3,$G$3))</f>
        <v>　レベル　2</v>
      </c>
      <c r="L149" s="580" t="s">
        <v>1818</v>
      </c>
      <c r="M149" s="690"/>
      <c r="N149" s="690"/>
      <c r="O149" s="582"/>
    </row>
    <row r="150" spans="2:15" ht="15.75" hidden="1">
      <c r="B150" s="1">
        <v>3</v>
      </c>
      <c r="C150" s="1">
        <v>3</v>
      </c>
      <c r="D150" s="546"/>
      <c r="E150" s="546"/>
      <c r="F150" s="577" t="str">
        <f>IF(F147=$S$22,$G$4,IF(ROUNDDOWN(F147,0)=$F$4,$H$4,$G$4))</f>
        <v>　レベル　3</v>
      </c>
      <c r="G150" s="580" t="s">
        <v>1502</v>
      </c>
      <c r="H150" s="690"/>
      <c r="I150" s="690"/>
      <c r="J150" s="582"/>
      <c r="K150" s="577" t="str">
        <f>IF(K147=$S$22,$G$4,IF(ROUNDDOWN(K147,0)=$F$4,$H$4,$G$4))</f>
        <v>　レベル　3</v>
      </c>
      <c r="L150" s="580" t="s">
        <v>2782</v>
      </c>
      <c r="M150" s="690"/>
      <c r="N150" s="690"/>
      <c r="O150" s="582"/>
    </row>
    <row r="151" spans="2:15" ht="15.75" hidden="1">
      <c r="B151" s="1">
        <v>4</v>
      </c>
      <c r="C151" s="1">
        <v>4</v>
      </c>
      <c r="D151" s="546"/>
      <c r="E151" s="546"/>
      <c r="F151" s="577" t="str">
        <f>IF(F147=$S$22,$G$5,IF(ROUNDDOWN(F147,0)=$F$5,$H$5,$G$5))</f>
        <v>　レベル　4</v>
      </c>
      <c r="G151" s="580" t="s">
        <v>2783</v>
      </c>
      <c r="H151" s="690"/>
      <c r="I151" s="690"/>
      <c r="J151" s="582"/>
      <c r="K151" s="577" t="str">
        <f>IF(K147=$S$22,$G$5,IF(ROUNDDOWN(K147,0)=$F$5,$H$5,$G$5))</f>
        <v>　レベル　4</v>
      </c>
      <c r="L151" s="580" t="s">
        <v>1502</v>
      </c>
      <c r="M151" s="690"/>
      <c r="N151" s="690"/>
      <c r="O151" s="582"/>
    </row>
    <row r="152" spans="2:15" ht="15.75" hidden="1">
      <c r="B152" s="1">
        <v>5</v>
      </c>
      <c r="C152" s="1">
        <v>5</v>
      </c>
      <c r="D152" s="546"/>
      <c r="E152" s="546"/>
      <c r="F152" s="587" t="str">
        <f>IF(F147=$S$22,$G$6,IF(ROUNDDOWN(F147,0)=$F$6,$H$6,$G$6))</f>
        <v>■レベル　5</v>
      </c>
      <c r="G152" s="591" t="s">
        <v>2784</v>
      </c>
      <c r="H152" s="685"/>
      <c r="I152" s="685"/>
      <c r="J152" s="593"/>
      <c r="K152" s="587" t="str">
        <f>IF(K147=$S$22,$G$6,IF(ROUNDDOWN(K147,0)=$F$6,$H$6,$G$6))</f>
        <v>■レベル　5</v>
      </c>
      <c r="L152" s="591" t="s">
        <v>2785</v>
      </c>
      <c r="M152" s="685"/>
      <c r="N152" s="685"/>
      <c r="O152" s="593"/>
    </row>
    <row r="153" spans="2:15" ht="16.5" hidden="1" thickBot="1">
      <c r="B153" s="594">
        <v>0</v>
      </c>
      <c r="C153" s="594">
        <v>0</v>
      </c>
      <c r="D153" s="546"/>
      <c r="E153" s="546"/>
      <c r="F153" s="565">
        <v>0</v>
      </c>
      <c r="G153" s="735" t="s">
        <v>2251</v>
      </c>
      <c r="H153" s="1737" t="s">
        <v>2840</v>
      </c>
      <c r="I153" s="627"/>
      <c r="J153" s="627"/>
      <c r="K153" s="565">
        <v>0</v>
      </c>
      <c r="L153" s="735" t="s">
        <v>2251</v>
      </c>
      <c r="M153" s="1737" t="s">
        <v>2840</v>
      </c>
      <c r="N153" s="627"/>
      <c r="O153" s="627"/>
    </row>
    <row r="154" spans="2:15" ht="15.75" hidden="1">
      <c r="D154" s="546"/>
      <c r="E154" s="546"/>
      <c r="F154" s="655" t="s">
        <v>2263</v>
      </c>
      <c r="G154"/>
      <c r="H154"/>
      <c r="I154"/>
      <c r="J154"/>
      <c r="K154" s="655" t="s">
        <v>2263</v>
      </c>
      <c r="L154"/>
      <c r="M154"/>
      <c r="N154"/>
      <c r="O154"/>
    </row>
    <row r="155" spans="2:15" ht="15.75" hidden="1">
      <c r="D155" s="546"/>
      <c r="E155" s="546"/>
      <c r="F155" s="710" t="s">
        <v>968</v>
      </c>
      <c r="G155" s="810" t="s">
        <v>2821</v>
      </c>
      <c r="H155" s="1718"/>
      <c r="I155" s="1718"/>
      <c r="J155" s="1719"/>
      <c r="K155" s="710" t="s">
        <v>968</v>
      </c>
      <c r="L155" s="810" t="s">
        <v>2821</v>
      </c>
      <c r="M155" s="1718"/>
      <c r="N155" s="1718"/>
      <c r="O155" s="1719"/>
    </row>
    <row r="156" spans="2:15" ht="15.75" hidden="1" customHeight="1">
      <c r="D156" s="546"/>
      <c r="E156" s="546"/>
      <c r="F156" s="766" t="s">
        <v>2256</v>
      </c>
      <c r="G156" s="741" t="s">
        <v>2828</v>
      </c>
      <c r="H156" s="763"/>
      <c r="I156" s="763"/>
      <c r="J156" s="763"/>
      <c r="K156" s="766" t="s">
        <v>2256</v>
      </c>
      <c r="L156" s="740" t="s">
        <v>2820</v>
      </c>
      <c r="M156" s="763"/>
      <c r="N156" s="763"/>
      <c r="O156" s="1717"/>
    </row>
    <row r="157" spans="2:15" ht="15.75" hidden="1" customHeight="1">
      <c r="D157" s="546"/>
      <c r="E157" s="546"/>
      <c r="F157" s="769" t="s">
        <v>2256</v>
      </c>
      <c r="G157" s="706" t="s">
        <v>2829</v>
      </c>
      <c r="H157" s="690"/>
      <c r="I157" s="690"/>
      <c r="J157" s="690"/>
      <c r="K157" s="769"/>
      <c r="L157" s="3439" t="s">
        <v>2817</v>
      </c>
      <c r="M157" s="3435"/>
      <c r="N157" s="3435"/>
      <c r="O157" s="3436"/>
    </row>
    <row r="158" spans="2:15" ht="15.75" hidden="1" customHeight="1">
      <c r="D158" s="546"/>
      <c r="E158" s="546"/>
      <c r="F158" s="769" t="s">
        <v>2256</v>
      </c>
      <c r="G158" s="706" t="s">
        <v>2830</v>
      </c>
      <c r="H158" s="690"/>
      <c r="I158" s="690"/>
      <c r="J158" s="690"/>
      <c r="K158" s="769" t="s">
        <v>2256</v>
      </c>
      <c r="L158" s="3439" t="s">
        <v>2818</v>
      </c>
      <c r="M158" s="3435"/>
      <c r="N158" s="3435"/>
      <c r="O158" s="3436"/>
    </row>
    <row r="159" spans="2:15" ht="15.75" hidden="1" customHeight="1">
      <c r="D159" s="546"/>
      <c r="E159" s="546"/>
      <c r="F159" s="769" t="s">
        <v>2256</v>
      </c>
      <c r="G159" s="706" t="s">
        <v>2831</v>
      </c>
      <c r="H159" s="690"/>
      <c r="I159" s="690"/>
      <c r="J159" s="690"/>
      <c r="K159" s="769" t="s">
        <v>2256</v>
      </c>
      <c r="L159" s="3439" t="s">
        <v>2819</v>
      </c>
      <c r="M159" s="3435"/>
      <c r="N159" s="3435"/>
      <c r="O159" s="3436"/>
    </row>
    <row r="160" spans="2:15" ht="15.75" hidden="1">
      <c r="D160" s="546"/>
      <c r="E160" s="546"/>
      <c r="F160" s="769"/>
      <c r="G160" s="706" t="s">
        <v>2832</v>
      </c>
      <c r="H160" s="690"/>
      <c r="I160" s="690"/>
      <c r="J160" s="690"/>
      <c r="K160" s="3424"/>
      <c r="L160" s="1720" t="s">
        <v>2827</v>
      </c>
      <c r="M160" s="1721"/>
      <c r="N160" s="1721"/>
      <c r="O160" s="1723"/>
    </row>
    <row r="161" spans="2:15" ht="16.5" hidden="1" customHeight="1" thickBot="1">
      <c r="D161" s="546"/>
      <c r="E161" s="546"/>
      <c r="F161" s="769"/>
      <c r="G161" s="706" t="s">
        <v>2833</v>
      </c>
      <c r="H161" s="690"/>
      <c r="I161" s="690"/>
      <c r="J161" s="690"/>
      <c r="K161" s="3425"/>
      <c r="L161" s="3426"/>
      <c r="M161" s="3427"/>
      <c r="N161" s="3427"/>
      <c r="O161" s="3428"/>
    </row>
    <row r="162" spans="2:15" ht="15.75" hidden="1">
      <c r="B162" s="918"/>
      <c r="C162" s="918"/>
      <c r="D162" s="546"/>
      <c r="E162" s="546"/>
      <c r="F162" s="1331"/>
      <c r="G162" s="706" t="s">
        <v>2834</v>
      </c>
      <c r="H162" s="690"/>
      <c r="I162" s="690"/>
      <c r="J162" s="586"/>
      <c r="K162" s="1333" t="s">
        <v>31</v>
      </c>
      <c r="L162" s="1332">
        <f>COUNTIF(K156:K161,$M$3)</f>
        <v>3</v>
      </c>
      <c r="M162" s="765"/>
      <c r="N162" s="765"/>
      <c r="O162" s="765"/>
    </row>
    <row r="163" spans="2:15" ht="15.75" hidden="1" customHeight="1">
      <c r="B163" s="918"/>
      <c r="C163" s="918"/>
      <c r="D163" s="546"/>
      <c r="E163" s="546"/>
      <c r="F163" s="3424"/>
      <c r="G163" s="1720" t="s">
        <v>2865</v>
      </c>
      <c r="H163" s="1721"/>
      <c r="I163" s="1721"/>
      <c r="J163" s="1723"/>
      <c r="K163"/>
      <c r="L163"/>
      <c r="M163"/>
      <c r="N163"/>
      <c r="O163"/>
    </row>
    <row r="164" spans="2:15" ht="16.5" hidden="1" customHeight="1" thickBot="1">
      <c r="B164" s="918"/>
      <c r="C164" s="918"/>
      <c r="D164" s="546"/>
      <c r="E164" s="546"/>
      <c r="F164" s="3425"/>
      <c r="G164" s="3426"/>
      <c r="H164" s="3427"/>
      <c r="I164" s="3427"/>
      <c r="J164" s="3428"/>
      <c r="K164"/>
      <c r="L164"/>
      <c r="M164"/>
      <c r="N164"/>
      <c r="O164"/>
    </row>
    <row r="165" spans="2:15" ht="15.75" hidden="1">
      <c r="B165" s="918"/>
      <c r="C165" s="918"/>
      <c r="D165" s="546"/>
      <c r="E165" s="546"/>
      <c r="F165" s="1333" t="s">
        <v>31</v>
      </c>
      <c r="G165" s="1332">
        <f>COUNTIF(F156:F164,$M$3)</f>
        <v>4</v>
      </c>
      <c r="H165" s="765"/>
      <c r="I165" s="765"/>
      <c r="J165" s="765"/>
      <c r="K165"/>
      <c r="L165"/>
      <c r="M165"/>
      <c r="N165"/>
      <c r="O165"/>
    </row>
    <row r="166" spans="2:15" ht="15.75" hidden="1">
      <c r="B166" s="918"/>
      <c r="C166" s="918"/>
      <c r="D166" s="546"/>
      <c r="E166" s="546"/>
      <c r="F166" s="546"/>
      <c r="G166" s="546"/>
      <c r="H166" s="546"/>
      <c r="I166" s="546"/>
      <c r="J166" s="546"/>
      <c r="K166" s="546"/>
      <c r="L166" s="859"/>
      <c r="M166" s="546"/>
      <c r="N166" s="546"/>
      <c r="O166" s="546"/>
    </row>
    <row r="167" spans="2:15" ht="15.75" hidden="1">
      <c r="B167" s="918"/>
      <c r="C167" s="918"/>
      <c r="D167" s="542">
        <v>2.7</v>
      </c>
      <c r="E167" s="551" t="s">
        <v>2781</v>
      </c>
      <c r="F167" s="551"/>
      <c r="G167" s="855"/>
      <c r="H167" s="856"/>
      <c r="I167" s="856"/>
      <c r="J167" s="621" t="str">
        <f>IF(OR(F169=0,J168=0),$L$3,"")</f>
        <v>&lt;評価しない&gt;</v>
      </c>
      <c r="K167" s="857"/>
      <c r="L167" s="846"/>
      <c r="M167" s="549"/>
      <c r="N167" s="549"/>
      <c r="O167" s="549"/>
    </row>
    <row r="168" spans="2:15" ht="14.25" hidden="1">
      <c r="B168" s="918"/>
      <c r="C168" s="918"/>
      <c r="D168" s="795"/>
      <c r="E168" s="795"/>
      <c r="F168" s="673"/>
      <c r="G168" s="559"/>
      <c r="H168" s="560"/>
      <c r="I168" s="561" t="s">
        <v>1141</v>
      </c>
      <c r="J168" s="562">
        <f>重み!M165</f>
        <v>0</v>
      </c>
      <c r="K168" s="674"/>
      <c r="L168" s="674"/>
      <c r="M168" s="674"/>
      <c r="N168" s="674"/>
      <c r="O168" s="571"/>
    </row>
    <row r="169" spans="2:15" ht="16.5" hidden="1" thickBot="1">
      <c r="B169" s="1672" t="s">
        <v>2786</v>
      </c>
      <c r="D169" s="546"/>
      <c r="E169" s="543"/>
      <c r="F169" s="565">
        <f>IF(H175=$N$4,F175,IF(H184&lt;1,2,IF(H184=1,3,IF(H184=2,4,5))))</f>
        <v>5</v>
      </c>
      <c r="G169" s="569" t="s">
        <v>407</v>
      </c>
      <c r="H169" s="570"/>
      <c r="I169" s="570"/>
      <c r="J169" s="570"/>
      <c r="K169" s="570"/>
      <c r="L169" s="771"/>
      <c r="M169" s="570"/>
      <c r="N169" s="570"/>
      <c r="O169" s="571"/>
    </row>
    <row r="170" spans="2:15" ht="15.75" hidden="1">
      <c r="B170" s="1">
        <v>1</v>
      </c>
      <c r="C170" s="1">
        <v>1</v>
      </c>
      <c r="D170" s="546"/>
      <c r="E170" s="543"/>
      <c r="F170" s="572" t="str">
        <f>IF(F169=$F$7,$G$2,IF(ROUNDDOWN(F169,0)=$F$2,$H$2,$G$2))</f>
        <v>　レベル　1</v>
      </c>
      <c r="G170" s="574" t="s">
        <v>1818</v>
      </c>
      <c r="H170" s="575"/>
      <c r="I170" s="575"/>
      <c r="J170" s="575"/>
      <c r="K170" s="575"/>
      <c r="L170" s="772"/>
      <c r="M170" s="575"/>
      <c r="N170" s="575"/>
      <c r="O170" s="576"/>
    </row>
    <row r="171" spans="2:15" ht="15.75" hidden="1">
      <c r="B171" s="1">
        <v>2</v>
      </c>
      <c r="C171" s="1">
        <v>2</v>
      </c>
      <c r="D171" s="546"/>
      <c r="E171" s="543"/>
      <c r="F171" s="577" t="str">
        <f>IF(F169=$F$7,$G$3,IF(ROUNDDOWN(F169,0)=$F$3,$H$3,$G$3))</f>
        <v>　レベル　2</v>
      </c>
      <c r="G171" s="580" t="s">
        <v>675</v>
      </c>
      <c r="H171" s="581"/>
      <c r="I171" s="581"/>
      <c r="J171" s="581"/>
      <c r="K171" s="581"/>
      <c r="L171" s="773"/>
      <c r="M171" s="581"/>
      <c r="N171" s="581"/>
      <c r="O171" s="582"/>
    </row>
    <row r="172" spans="2:15" ht="15.75" hidden="1">
      <c r="B172" s="1">
        <v>3</v>
      </c>
      <c r="C172" s="1">
        <v>3</v>
      </c>
      <c r="D172" s="546"/>
      <c r="E172" s="543"/>
      <c r="F172" s="577" t="str">
        <f>IF(F169=$F$7,$G$4,IF(ROUNDDOWN(F169,0)=$F$4,$H$4,$G$4))</f>
        <v>　レベル　3</v>
      </c>
      <c r="G172" s="580" t="s">
        <v>2782</v>
      </c>
      <c r="H172" s="581"/>
      <c r="I172" s="581"/>
      <c r="J172" s="581"/>
      <c r="K172" s="581"/>
      <c r="L172" s="773"/>
      <c r="M172" s="581"/>
      <c r="N172" s="581"/>
      <c r="O172" s="582"/>
    </row>
    <row r="173" spans="2:15" ht="15.75" hidden="1">
      <c r="B173" s="1">
        <v>4</v>
      </c>
      <c r="C173" s="1">
        <v>4</v>
      </c>
      <c r="D173" s="546"/>
      <c r="E173" s="543"/>
      <c r="F173" s="577" t="str">
        <f>IF(F169=$F$7,$G$5,IF(ROUNDDOWN(F169,0)=$F$5,$H$5,$G$5))</f>
        <v>　レベル　4</v>
      </c>
      <c r="G173" s="580" t="s">
        <v>1502</v>
      </c>
      <c r="H173" s="581"/>
      <c r="I173" s="581"/>
      <c r="J173" s="581"/>
      <c r="K173" s="581"/>
      <c r="L173" s="773"/>
      <c r="M173" s="581"/>
      <c r="N173" s="581"/>
      <c r="O173" s="582"/>
    </row>
    <row r="174" spans="2:15" ht="15.75" hidden="1">
      <c r="B174" s="1">
        <v>5</v>
      </c>
      <c r="C174" s="1">
        <v>5</v>
      </c>
      <c r="D174" s="546"/>
      <c r="E174" s="543"/>
      <c r="F174" s="587" t="str">
        <f>IF(F169=$F$7,$G$6,IF(ROUNDDOWN(F169,0)=$F$6,$H$6,$G$6))</f>
        <v>■レベル　5</v>
      </c>
      <c r="G174" s="591" t="s">
        <v>2785</v>
      </c>
      <c r="H174" s="592"/>
      <c r="I174" s="592"/>
      <c r="J174" s="592"/>
      <c r="K174" s="592"/>
      <c r="L174" s="774"/>
      <c r="M174" s="592"/>
      <c r="N174" s="592"/>
      <c r="O174" s="593"/>
    </row>
    <row r="175" spans="2:15" ht="16.5" hidden="1" thickBot="1">
      <c r="B175" s="594">
        <v>0</v>
      </c>
      <c r="C175" s="594">
        <v>0</v>
      </c>
      <c r="D175" s="542"/>
      <c r="E175" s="551"/>
      <c r="F175" s="565">
        <v>0</v>
      </c>
      <c r="G175" s="735" t="s">
        <v>2251</v>
      </c>
      <c r="H175" s="1737" t="s">
        <v>2840</v>
      </c>
      <c r="I175"/>
      <c r="J175" s="627"/>
      <c r="K175" s="552"/>
      <c r="L175" s="836"/>
      <c r="M175" s="552"/>
      <c r="N175" s="552"/>
      <c r="O175" s="552"/>
    </row>
    <row r="176" spans="2:15" ht="15.75" hidden="1">
      <c r="D176" s="546"/>
      <c r="E176" s="546"/>
      <c r="F176"/>
      <c r="G176" s="655" t="s">
        <v>2263</v>
      </c>
      <c r="H176"/>
      <c r="I176"/>
      <c r="J176"/>
      <c r="K176" s="546"/>
      <c r="L176" s="859"/>
      <c r="M176" s="546"/>
      <c r="N176" s="546"/>
      <c r="O176" s="546"/>
    </row>
    <row r="177" spans="2:15" ht="15.75" hidden="1">
      <c r="D177" s="546"/>
      <c r="E177" s="546"/>
      <c r="F177"/>
      <c r="G177" s="710" t="s">
        <v>968</v>
      </c>
      <c r="H177" s="810" t="s">
        <v>2821</v>
      </c>
      <c r="I177" s="1718"/>
      <c r="J177" s="1718"/>
      <c r="K177" s="1718"/>
      <c r="L177" s="1718"/>
      <c r="M177" s="1718"/>
      <c r="N177" s="1718"/>
      <c r="O177" s="1719"/>
    </row>
    <row r="178" spans="2:15" ht="15.75" hidden="1">
      <c r="D178" s="546"/>
      <c r="E178" s="546"/>
      <c r="F178"/>
      <c r="G178" s="766" t="s">
        <v>2256</v>
      </c>
      <c r="H178" s="741" t="s">
        <v>2822</v>
      </c>
      <c r="I178" s="763"/>
      <c r="J178" s="763"/>
      <c r="K178" s="763"/>
      <c r="L178" s="763"/>
      <c r="M178" s="763"/>
      <c r="N178" s="763"/>
      <c r="O178" s="1717"/>
    </row>
    <row r="179" spans="2:15" ht="15.75" hidden="1">
      <c r="D179" s="546"/>
      <c r="E179" s="546"/>
      <c r="F179"/>
      <c r="G179" s="769" t="s">
        <v>2256</v>
      </c>
      <c r="H179" s="706" t="s">
        <v>2823</v>
      </c>
      <c r="I179" s="690"/>
      <c r="J179" s="690"/>
      <c r="K179" s="690"/>
      <c r="L179" s="690"/>
      <c r="M179" s="690"/>
      <c r="N179" s="690"/>
      <c r="O179" s="586"/>
    </row>
    <row r="180" spans="2:15" ht="15.75" hidden="1">
      <c r="D180" s="546"/>
      <c r="E180" s="546"/>
      <c r="F180"/>
      <c r="G180" s="769"/>
      <c r="H180" s="706" t="s">
        <v>2824</v>
      </c>
      <c r="I180" s="690"/>
      <c r="J180" s="690"/>
      <c r="K180" s="690"/>
      <c r="L180" s="690"/>
      <c r="M180" s="690"/>
      <c r="N180" s="690"/>
      <c r="O180" s="586"/>
    </row>
    <row r="181" spans="2:15" ht="15.75" hidden="1">
      <c r="D181" s="546"/>
      <c r="E181" s="546"/>
      <c r="F181"/>
      <c r="G181" s="1331"/>
      <c r="H181" s="706" t="s">
        <v>2825</v>
      </c>
      <c r="I181" s="690"/>
      <c r="J181" s="690"/>
      <c r="K181" s="690"/>
      <c r="L181" s="690"/>
      <c r="M181" s="690"/>
      <c r="N181" s="690"/>
      <c r="O181" s="586"/>
    </row>
    <row r="182" spans="2:15" ht="15.75" hidden="1">
      <c r="D182" s="546"/>
      <c r="E182" s="546"/>
      <c r="F182"/>
      <c r="G182" s="3424" t="s">
        <v>2256</v>
      </c>
      <c r="H182" s="1722" t="s">
        <v>2826</v>
      </c>
      <c r="I182" s="1721"/>
      <c r="J182" s="1721"/>
      <c r="K182" s="1721"/>
      <c r="L182" s="1721"/>
      <c r="M182" s="1721"/>
      <c r="N182" s="1721"/>
      <c r="O182" s="1723"/>
    </row>
    <row r="183" spans="2:15" ht="16.5" hidden="1" thickBot="1">
      <c r="D183" s="546"/>
      <c r="E183" s="546"/>
      <c r="F183"/>
      <c r="G183" s="3425"/>
      <c r="H183" s="3429"/>
      <c r="I183" s="3430"/>
      <c r="J183" s="3430"/>
      <c r="K183" s="3430"/>
      <c r="L183" s="3430"/>
      <c r="M183" s="3430"/>
      <c r="N183" s="3430"/>
      <c r="O183" s="3431"/>
    </row>
    <row r="184" spans="2:15" ht="15.75" hidden="1">
      <c r="D184" s="546"/>
      <c r="E184" s="546"/>
      <c r="F184"/>
      <c r="G184" s="1333" t="s">
        <v>31</v>
      </c>
      <c r="H184" s="1332">
        <f>COUNTIF(G178:G182,$M$3)</f>
        <v>3</v>
      </c>
      <c r="I184" s="765"/>
      <c r="J184" s="765"/>
      <c r="K184" s="765"/>
      <c r="L184" s="765"/>
      <c r="M184" s="765"/>
      <c r="N184" s="765"/>
      <c r="O184" s="765"/>
    </row>
    <row r="185" spans="2:15" ht="15.75">
      <c r="B185" s="918"/>
      <c r="C185" s="918"/>
      <c r="D185" s="546"/>
      <c r="E185" s="546"/>
      <c r="F185" s="546"/>
      <c r="G185" s="546"/>
      <c r="H185" s="546"/>
      <c r="I185" s="546"/>
      <c r="J185" s="546"/>
      <c r="K185" s="546"/>
      <c r="L185" s="859"/>
      <c r="M185" s="546"/>
      <c r="N185" s="546"/>
      <c r="O185" s="546"/>
    </row>
    <row r="186" spans="2:15" ht="15.75">
      <c r="D186" s="546">
        <v>3</v>
      </c>
      <c r="E186" s="553" t="s">
        <v>1076</v>
      </c>
      <c r="F186" s="546"/>
      <c r="G186" s="546"/>
      <c r="H186" s="546"/>
      <c r="I186" s="546"/>
      <c r="J186" s="546"/>
      <c r="K186" s="546"/>
      <c r="L186" s="859"/>
      <c r="M186" s="546"/>
      <c r="N186" s="546"/>
      <c r="O186" s="546"/>
    </row>
    <row r="187" spans="2:15" ht="15.75">
      <c r="D187" s="542">
        <v>3.1</v>
      </c>
      <c r="E187" s="551" t="s">
        <v>1077</v>
      </c>
      <c r="F187" s="551"/>
      <c r="G187" s="546"/>
      <c r="H187" s="546"/>
      <c r="I187"/>
      <c r="J187" t="str">
        <f>IF(OR(F189=0,J188=0),$L$3,"")</f>
        <v/>
      </c>
      <c r="K187"/>
      <c r="L187"/>
      <c r="M187"/>
      <c r="N187"/>
      <c r="O187"/>
    </row>
    <row r="188" spans="2:15" ht="13.5" customHeight="1" thickBot="1">
      <c r="D188" s="795"/>
      <c r="E188" s="795"/>
      <c r="F188" s="673"/>
      <c r="G188" s="559"/>
      <c r="H188" s="560"/>
      <c r="I188" s="561" t="s">
        <v>1141</v>
      </c>
      <c r="J188" s="562">
        <f>重み!M167</f>
        <v>0.3</v>
      </c>
      <c r="K188" s="674"/>
      <c r="L188" s="674"/>
      <c r="M188" s="674"/>
      <c r="N188" s="674"/>
      <c r="O188" s="571"/>
    </row>
    <row r="189" spans="2:15" ht="27" customHeight="1" thickBot="1">
      <c r="B189" t="s">
        <v>3432</v>
      </c>
      <c r="D189" s="546"/>
      <c r="E189" s="543"/>
      <c r="F189" s="1978">
        <f>G197</f>
        <v>3</v>
      </c>
      <c r="G189" s="569" t="s">
        <v>407</v>
      </c>
      <c r="H189" s="570"/>
      <c r="I189" s="570"/>
      <c r="J189" s="570"/>
      <c r="K189" s="570"/>
      <c r="L189" s="771"/>
      <c r="M189" s="570"/>
      <c r="N189" s="570"/>
      <c r="O189" s="571"/>
    </row>
    <row r="190" spans="2:15" ht="21" customHeight="1">
      <c r="B190">
        <v>0</v>
      </c>
      <c r="D190" s="546"/>
      <c r="E190" s="543"/>
      <c r="F190" s="572" t="str">
        <f>IF(F189=$F$7,$G$2,IF(ROUNDDOWN(F189,0)=$F$2,$H$2,$G$2))</f>
        <v>　レベル　1</v>
      </c>
      <c r="G190" s="574" t="s">
        <v>1818</v>
      </c>
      <c r="H190" s="575"/>
      <c r="I190" s="575"/>
      <c r="J190" s="575"/>
      <c r="K190" s="575"/>
      <c r="L190" s="772"/>
      <c r="M190" s="575"/>
      <c r="N190" s="575"/>
      <c r="O190" s="576"/>
    </row>
    <row r="191" spans="2:15" ht="21" customHeight="1">
      <c r="B191">
        <v>0</v>
      </c>
      <c r="D191" s="546"/>
      <c r="E191" s="543"/>
      <c r="F191" s="577" t="str">
        <f>IF(F189=$F$7,$G$3,IF(ROUNDDOWN(F189,0)=$F$3,$H$3,$G$3))</f>
        <v>　レベル　2</v>
      </c>
      <c r="G191" s="580" t="s">
        <v>1818</v>
      </c>
      <c r="H191" s="581"/>
      <c r="I191" s="581"/>
      <c r="J191" s="581"/>
      <c r="K191" s="581"/>
      <c r="L191" s="773"/>
      <c r="M191" s="581"/>
      <c r="N191" s="581"/>
      <c r="O191" s="582"/>
    </row>
    <row r="192" spans="2:15" ht="21" customHeight="1">
      <c r="B192">
        <v>0</v>
      </c>
      <c r="D192" s="546"/>
      <c r="E192" s="543"/>
      <c r="F192" s="577" t="str">
        <f>IF(F189=$F$7,$G$4,IF(ROUNDDOWN(F189,0)=$F$4,$H$4,$G$4))</f>
        <v>■レベル　3</v>
      </c>
      <c r="G192" s="580" t="s">
        <v>164</v>
      </c>
      <c r="H192" s="581"/>
      <c r="I192" s="581"/>
      <c r="J192" s="581"/>
      <c r="K192" s="581"/>
      <c r="L192" s="773"/>
      <c r="M192" s="581"/>
      <c r="N192" s="581"/>
      <c r="O192" s="582"/>
    </row>
    <row r="193" spans="2:15" ht="21" customHeight="1">
      <c r="B193">
        <v>1</v>
      </c>
      <c r="D193" s="546"/>
      <c r="E193" s="543"/>
      <c r="F193" s="577" t="str">
        <f>IF(F189=$F$7,$G$5,IF(ROUNDDOWN(F189,0)=$F$5,$H$5,$G$5))</f>
        <v>　レベル　4</v>
      </c>
      <c r="G193" s="580" t="s">
        <v>165</v>
      </c>
      <c r="H193" s="581"/>
      <c r="I193" s="581"/>
      <c r="J193" s="581"/>
      <c r="K193" s="581"/>
      <c r="L193" s="773"/>
      <c r="M193" s="581"/>
      <c r="N193" s="581"/>
      <c r="O193" s="582"/>
    </row>
    <row r="194" spans="2:15" ht="21" customHeight="1">
      <c r="B194">
        <v>4</v>
      </c>
      <c r="D194" s="546"/>
      <c r="E194" s="543"/>
      <c r="F194" s="587" t="str">
        <f>IF(F189=$F$7,$G$6,IF(ROUNDDOWN(F189,0)=$F$6,$H$6,$G$6))</f>
        <v>　レベル　5</v>
      </c>
      <c r="G194" s="700" t="s">
        <v>166</v>
      </c>
      <c r="H194" s="701"/>
      <c r="I194" s="701"/>
      <c r="J194" s="701"/>
      <c r="K194" s="592"/>
      <c r="L194" s="774"/>
      <c r="M194" s="592"/>
      <c r="N194" s="592"/>
      <c r="O194" s="593"/>
    </row>
    <row r="195" spans="2:15" ht="14.25">
      <c r="D195"/>
      <c r="E195"/>
      <c r="F195" s="887" t="s">
        <v>3402</v>
      </c>
      <c r="G195" s="2423"/>
      <c r="H195" s="2399"/>
      <c r="I195" s="2396"/>
      <c r="J195" s="2397"/>
      <c r="K195" s="2576" t="s">
        <v>3752</v>
      </c>
      <c r="N195" s="552"/>
      <c r="O195" s="543"/>
    </row>
    <row r="196" spans="2:15" ht="14.25">
      <c r="C196" s="918"/>
      <c r="D196"/>
      <c r="E196"/>
      <c r="F196" s="550" t="s">
        <v>3421</v>
      </c>
      <c r="G196"/>
      <c r="H196"/>
      <c r="I196" s="543"/>
      <c r="J196" s="543"/>
      <c r="K196" s="2400"/>
      <c r="N196" s="552"/>
      <c r="O196" s="543"/>
    </row>
    <row r="197" spans="2:15" ht="15.75">
      <c r="D197" s="546"/>
      <c r="E197" s="433"/>
      <c r="G197" s="2457">
        <f>IF(L207&gt;=B194,5,IF(L207&gt;=B193,4,IF(L207&gt;=B192,3,IF(L207&gt;=B191,2,1))))</f>
        <v>3</v>
      </c>
      <c r="H197" s="1902" t="s">
        <v>167</v>
      </c>
      <c r="I197" s="438" t="s">
        <v>2343</v>
      </c>
      <c r="J197" s="2713"/>
      <c r="L197" s="2429" t="s">
        <v>3422</v>
      </c>
      <c r="M197" s="1612" t="s">
        <v>167</v>
      </c>
      <c r="N197" s="2714" t="s">
        <v>2343</v>
      </c>
      <c r="O197" s="2782"/>
    </row>
    <row r="198" spans="2:15" ht="15" customHeight="1">
      <c r="D198" s="546"/>
      <c r="E198" s="433"/>
      <c r="F198" s="2409"/>
      <c r="G198" s="2410"/>
      <c r="H198" s="575" t="s">
        <v>2344</v>
      </c>
      <c r="I198" s="862" t="s">
        <v>2345</v>
      </c>
      <c r="J198" s="863"/>
      <c r="K198" s="2409"/>
      <c r="L198" s="2430"/>
      <c r="M198" s="575" t="s">
        <v>1985</v>
      </c>
      <c r="N198" s="862" t="s">
        <v>1986</v>
      </c>
      <c r="O198" s="863"/>
    </row>
    <row r="199" spans="2:15" ht="15" customHeight="1">
      <c r="B199" t="s">
        <v>3423</v>
      </c>
      <c r="D199" s="546"/>
      <c r="E199" s="433"/>
      <c r="F199" s="2409"/>
      <c r="G199" s="2404"/>
      <c r="H199" s="581"/>
      <c r="I199" s="864" t="s">
        <v>2346</v>
      </c>
      <c r="J199" s="865"/>
      <c r="K199" s="2409"/>
      <c r="L199" s="2404"/>
      <c r="M199" s="581"/>
      <c r="N199" s="864" t="s">
        <v>1987</v>
      </c>
      <c r="O199" s="704"/>
    </row>
    <row r="200" spans="2:15" ht="15" customHeight="1">
      <c r="D200" s="546"/>
      <c r="E200" s="433"/>
      <c r="F200" s="2409"/>
      <c r="G200" s="2404"/>
      <c r="H200" s="581"/>
      <c r="I200" s="864" t="s">
        <v>2347</v>
      </c>
      <c r="J200" s="865"/>
      <c r="K200" s="2409"/>
      <c r="L200" s="2404"/>
      <c r="M200" s="581"/>
      <c r="N200" s="864" t="s">
        <v>1988</v>
      </c>
      <c r="O200" s="704"/>
    </row>
    <row r="201" spans="2:15" ht="15" customHeight="1">
      <c r="D201" s="546"/>
      <c r="E201" s="433"/>
      <c r="F201" s="2409"/>
      <c r="G201" s="2404"/>
      <c r="H201" s="592"/>
      <c r="I201" s="866" t="s">
        <v>2348</v>
      </c>
      <c r="J201" s="867"/>
      <c r="K201" s="2409"/>
      <c r="L201" s="2404"/>
      <c r="M201" s="592"/>
      <c r="N201" s="866" t="s">
        <v>1989</v>
      </c>
      <c r="O201" s="867"/>
    </row>
    <row r="202" spans="2:15" ht="15" customHeight="1">
      <c r="D202" s="546"/>
      <c r="E202" s="433"/>
      <c r="F202" s="2409"/>
      <c r="G202" s="2404"/>
      <c r="H202" s="575" t="s">
        <v>2349</v>
      </c>
      <c r="I202" s="862" t="s">
        <v>2350</v>
      </c>
      <c r="J202" s="863"/>
      <c r="K202" s="2409"/>
      <c r="L202" s="2404"/>
      <c r="M202" s="575" t="s">
        <v>2338</v>
      </c>
      <c r="N202" s="862" t="s">
        <v>2339</v>
      </c>
      <c r="O202" s="863"/>
    </row>
    <row r="203" spans="2:15" ht="15" customHeight="1">
      <c r="D203" s="546"/>
      <c r="E203" s="433"/>
      <c r="F203" s="2409"/>
      <c r="G203" s="2404"/>
      <c r="H203" s="581"/>
      <c r="I203" s="864" t="s">
        <v>2351</v>
      </c>
      <c r="J203" s="704"/>
      <c r="K203" s="2409"/>
      <c r="L203" s="2404"/>
      <c r="M203" s="592"/>
      <c r="N203" s="866" t="s">
        <v>2340</v>
      </c>
      <c r="O203" s="867"/>
    </row>
    <row r="204" spans="2:15" ht="15" customHeight="1">
      <c r="D204" s="546"/>
      <c r="E204" s="433"/>
      <c r="F204" s="2409"/>
      <c r="G204" s="2404"/>
      <c r="H204" s="581"/>
      <c r="I204" s="864" t="s">
        <v>2352</v>
      </c>
      <c r="J204" s="704"/>
      <c r="K204" s="2409"/>
      <c r="L204" s="2404"/>
      <c r="M204" s="877" t="s">
        <v>2341</v>
      </c>
      <c r="N204" s="2393" t="s">
        <v>1528</v>
      </c>
      <c r="O204" s="2392"/>
    </row>
    <row r="205" spans="2:15" ht="15" customHeight="1">
      <c r="D205" s="546"/>
      <c r="E205" s="433"/>
      <c r="F205" s="2409"/>
      <c r="G205" s="2404"/>
      <c r="H205" s="592"/>
      <c r="I205" s="866" t="s">
        <v>2353</v>
      </c>
      <c r="J205" s="867"/>
      <c r="K205" s="2409"/>
      <c r="L205" s="2404"/>
      <c r="M205" s="871" t="s">
        <v>1529</v>
      </c>
      <c r="N205" s="648" t="s">
        <v>1530</v>
      </c>
      <c r="O205" s="2394"/>
    </row>
    <row r="206" spans="2:15" ht="15" customHeight="1">
      <c r="D206" s="546"/>
      <c r="E206" s="433"/>
      <c r="F206" s="2409"/>
      <c r="G206" s="2404"/>
      <c r="H206" s="575" t="s">
        <v>2354</v>
      </c>
      <c r="I206" s="862" t="s">
        <v>2355</v>
      </c>
      <c r="J206" s="863"/>
      <c r="K206" s="2409"/>
      <c r="L206" s="2405"/>
      <c r="M206" s="871" t="s">
        <v>1531</v>
      </c>
      <c r="N206" s="648" t="s">
        <v>2333</v>
      </c>
      <c r="O206" s="2394"/>
    </row>
    <row r="207" spans="2:15" ht="15" customHeight="1">
      <c r="D207" s="546"/>
      <c r="E207" s="433"/>
      <c r="F207" s="2409"/>
      <c r="G207" s="2404"/>
      <c r="H207" s="592"/>
      <c r="I207" s="866" t="s">
        <v>1984</v>
      </c>
      <c r="J207" s="867"/>
      <c r="K207" s="2409" t="s">
        <v>3416</v>
      </c>
      <c r="L207" s="1983">
        <f>COUNTIF(G198:G207,B199)+COUNTIF(L198:L206,B199)</f>
        <v>0</v>
      </c>
      <c r="M207" s="1533" t="s">
        <v>3401</v>
      </c>
      <c r="N207" s="1981"/>
      <c r="O207" s="2395"/>
    </row>
    <row r="208" spans="2:15">
      <c r="D208" s="543"/>
      <c r="E208" s="543"/>
      <c r="F208" s="543"/>
      <c r="G208" s="868"/>
      <c r="H208" s="868"/>
      <c r="I208" s="868"/>
      <c r="J208" s="868"/>
      <c r="K208"/>
      <c r="L208" s="869"/>
      <c r="M208" s="543"/>
      <c r="N208" s="543"/>
      <c r="O208" s="543"/>
    </row>
    <row r="209" spans="2:15" ht="13.5" customHeight="1">
      <c r="D209" s="542">
        <v>3.2</v>
      </c>
      <c r="E209" s="551" t="s">
        <v>1078</v>
      </c>
      <c r="F209" s="551"/>
      <c r="G209" s="555"/>
      <c r="H209" s="552"/>
      <c r="I209" s="552"/>
      <c r="J209" s="552"/>
      <c r="K209" s="555"/>
      <c r="L209" s="836"/>
      <c r="M209" s="552"/>
      <c r="N209" s="555"/>
      <c r="O209" s="552"/>
    </row>
    <row r="210" spans="2:15" ht="13.5" customHeight="1">
      <c r="D210" s="542"/>
      <c r="E210" s="551"/>
      <c r="F210" s="672" t="s">
        <v>2334</v>
      </c>
      <c r="G210" s="555"/>
      <c r="H210" s="552"/>
      <c r="I210" s="552"/>
      <c r="J210" t="str">
        <f>IF(OR(F212=0,J211=0),$L$3,"")</f>
        <v/>
      </c>
    </row>
    <row r="211" spans="2:15" ht="13.5" customHeight="1" thickBot="1">
      <c r="D211" s="546"/>
      <c r="E211" s="543"/>
      <c r="F211" s="558"/>
      <c r="G211" s="559"/>
      <c r="H211" s="1530"/>
      <c r="I211" s="561" t="s">
        <v>1141</v>
      </c>
      <c r="J211" s="564">
        <f>重み!M169</f>
        <v>0.33333333333333331</v>
      </c>
    </row>
    <row r="212" spans="2:15" ht="27" customHeight="1" thickBot="1">
      <c r="D212" s="546"/>
      <c r="E212" s="543"/>
      <c r="F212" s="565">
        <v>2</v>
      </c>
      <c r="G212" s="569" t="s">
        <v>407</v>
      </c>
      <c r="H212" s="570"/>
      <c r="I212" s="570"/>
      <c r="J212" s="570"/>
      <c r="K212" s="570"/>
      <c r="L212" s="570"/>
      <c r="M212" s="570"/>
      <c r="N212" s="661" t="s">
        <v>1103</v>
      </c>
      <c r="O212" s="680"/>
    </row>
    <row r="213" spans="2:15" ht="21.75" customHeight="1">
      <c r="B213" s="1">
        <v>1</v>
      </c>
      <c r="D213" s="546"/>
      <c r="E213" s="543"/>
      <c r="F213" s="572" t="str">
        <f>IF(F212=$F$7,$G$2,IF(ROUNDDOWN(F212,0)=$F$2,$H$2,$G$2))</f>
        <v>　レベル　1</v>
      </c>
      <c r="G213" s="1329" t="s">
        <v>2336</v>
      </c>
      <c r="H213" s="741"/>
      <c r="I213" s="741"/>
      <c r="J213" s="741"/>
      <c r="K213" s="741"/>
      <c r="L213" s="741"/>
      <c r="M213" s="742"/>
      <c r="N213" s="3229" t="s">
        <v>3415</v>
      </c>
      <c r="O213" s="3230"/>
    </row>
    <row r="214" spans="2:15" ht="21.75" customHeight="1">
      <c r="B214" s="1">
        <v>2</v>
      </c>
      <c r="D214" s="546"/>
      <c r="E214" s="543"/>
      <c r="F214" s="577" t="str">
        <f>IF(F212=$F$7,$G$3,IF(ROUNDDOWN(F212,0)=$F$3,$H$3,$G$3))</f>
        <v>■レベル　2</v>
      </c>
      <c r="G214" s="580" t="s">
        <v>2337</v>
      </c>
      <c r="H214" s="581"/>
      <c r="I214" s="581"/>
      <c r="J214" s="581"/>
      <c r="K214" s="581"/>
      <c r="L214" s="581"/>
      <c r="M214" s="581"/>
      <c r="N214" s="3331"/>
      <c r="O214" s="3332"/>
    </row>
    <row r="215" spans="2:15" ht="21.75" customHeight="1">
      <c r="B215" s="1" t="s">
        <v>961</v>
      </c>
      <c r="D215" s="546"/>
      <c r="E215" s="543"/>
      <c r="F215" s="577" t="str">
        <f>IF(F212=$F$7,$G$4,IF(ROUNDDOWN(F212,0)=$F$4,$H$4,$G$4))</f>
        <v>　レベル　3</v>
      </c>
      <c r="G215" s="580" t="s">
        <v>1818</v>
      </c>
      <c r="H215" s="581"/>
      <c r="I215" s="581"/>
      <c r="J215" s="581"/>
      <c r="K215" s="581"/>
      <c r="L215" s="581"/>
      <c r="M215" s="581"/>
      <c r="N215" s="3331"/>
      <c r="O215" s="3332"/>
    </row>
    <row r="216" spans="2:15" ht="21.75" customHeight="1">
      <c r="B216" s="1">
        <v>4</v>
      </c>
      <c r="D216" s="546"/>
      <c r="E216" s="543"/>
      <c r="F216" s="577" t="str">
        <f>IF(F212=$F$7,$G$5,IF(ROUNDDOWN(F212,0)=$F$5,$H$5,$G$5))</f>
        <v>　レベル　4</v>
      </c>
      <c r="G216" s="705" t="s">
        <v>54</v>
      </c>
      <c r="H216" s="706"/>
      <c r="I216" s="706"/>
      <c r="J216" s="706"/>
      <c r="K216" s="706"/>
      <c r="L216" s="706"/>
      <c r="M216" s="744"/>
      <c r="N216" s="3331"/>
      <c r="O216" s="3332"/>
    </row>
    <row r="217" spans="2:15" ht="21.75" customHeight="1">
      <c r="B217" s="1" t="s">
        <v>962</v>
      </c>
      <c r="D217" s="546"/>
      <c r="E217" s="671"/>
      <c r="F217" s="587" t="str">
        <f>IF(F212=$F$7,$G$6,IF(ROUNDDOWN(F212,0)=$F$6,$H$6,$G$6))</f>
        <v>　レベル　5</v>
      </c>
      <c r="G217" s="591" t="s">
        <v>1818</v>
      </c>
      <c r="H217" s="592"/>
      <c r="I217" s="592"/>
      <c r="J217" s="592"/>
      <c r="K217" s="592"/>
      <c r="L217" s="592"/>
      <c r="M217" s="592"/>
      <c r="N217" s="3231"/>
      <c r="O217" s="3232"/>
    </row>
    <row r="218" spans="2:15" ht="13.5" customHeight="1">
      <c r="B218" s="594">
        <v>0</v>
      </c>
      <c r="D218" s="546"/>
      <c r="E218" s="671"/>
      <c r="F218" s="887" t="s">
        <v>3402</v>
      </c>
      <c r="G218" s="2423"/>
      <c r="H218" s="2399"/>
      <c r="I218" s="2396"/>
      <c r="J218" s="2397"/>
      <c r="K218" s="2576" t="s">
        <v>3765</v>
      </c>
    </row>
    <row r="219" spans="2:15" ht="13.5" customHeight="1">
      <c r="D219"/>
      <c r="E219"/>
      <c r="F219" s="2409" t="s">
        <v>3413</v>
      </c>
      <c r="G219" s="2424"/>
      <c r="H219" s="2409" t="s">
        <v>3414</v>
      </c>
      <c r="I219" s="2424"/>
      <c r="J219" s="543"/>
      <c r="K219"/>
      <c r="L219"/>
      <c r="M219"/>
      <c r="N219"/>
      <c r="O219"/>
    </row>
    <row r="220" spans="2:15" ht="13.5" customHeight="1">
      <c r="B220" s="918"/>
      <c r="C220" s="918"/>
      <c r="D220" s="546"/>
      <c r="E220" s="671"/>
      <c r="F220" s="433"/>
      <c r="G220" s="433"/>
      <c r="H220" s="433"/>
      <c r="I220" s="433"/>
      <c r="J220" s="433"/>
      <c r="K220" s="433"/>
      <c r="L220" s="846"/>
      <c r="M220" s="846"/>
      <c r="N220" s="846"/>
      <c r="O220" s="846"/>
    </row>
    <row r="221" spans="2:15" ht="13.5" customHeight="1">
      <c r="F221" s="672" t="s">
        <v>2335</v>
      </c>
      <c r="G221" s="836"/>
      <c r="H221" s="552"/>
      <c r="I221"/>
      <c r="J221" t="str">
        <f>IF(OR(F223=0,J222=0),$L$3,"")</f>
        <v/>
      </c>
      <c r="L221" s="846"/>
      <c r="M221" s="846"/>
      <c r="N221" s="846"/>
      <c r="O221" s="846"/>
    </row>
    <row r="222" spans="2:15" ht="13.5" customHeight="1" thickBot="1">
      <c r="F222" s="558"/>
      <c r="G222" s="559"/>
      <c r="H222" s="560"/>
      <c r="I222" s="561" t="s">
        <v>1141</v>
      </c>
      <c r="J222" s="564">
        <f>重み!M170</f>
        <v>0.33333333333333331</v>
      </c>
      <c r="L222" s="846"/>
      <c r="M222" s="846"/>
      <c r="N222" s="846"/>
      <c r="O222" s="846"/>
    </row>
    <row r="223" spans="2:15" ht="27" customHeight="1" thickBot="1">
      <c r="F223" s="565">
        <v>3</v>
      </c>
      <c r="G223" s="569" t="s">
        <v>407</v>
      </c>
      <c r="H223" s="570"/>
      <c r="I223" s="570"/>
      <c r="J223" s="570"/>
      <c r="K223" s="570"/>
      <c r="L223" s="771"/>
      <c r="M223" s="570"/>
      <c r="N223" s="570"/>
      <c r="O223" s="571"/>
    </row>
    <row r="224" spans="2:15" ht="20.25" customHeight="1">
      <c r="B224" s="1">
        <v>1</v>
      </c>
      <c r="F224" s="572" t="str">
        <f>IF(F223=$F$7,$G$2,IF(ROUNDDOWN(F223,0)=$F$2,$H$2,$G$2))</f>
        <v>　レベル　1</v>
      </c>
      <c r="G224" s="574" t="s">
        <v>3786</v>
      </c>
      <c r="H224" s="575"/>
      <c r="I224" s="575"/>
      <c r="J224" s="575"/>
      <c r="K224" s="575"/>
      <c r="L224" s="575"/>
      <c r="M224" s="575"/>
      <c r="N224" s="575"/>
      <c r="O224" s="576"/>
    </row>
    <row r="225" spans="2:15" ht="20.25" customHeight="1">
      <c r="B225" s="1">
        <v>2</v>
      </c>
      <c r="F225" s="577" t="str">
        <f>IF(F223=$F$7,$G$3,IF(ROUNDDOWN(F223,0)=$F$3,$H$3,$G$3))</f>
        <v>　レベル　2</v>
      </c>
      <c r="G225" s="580" t="s">
        <v>3787</v>
      </c>
      <c r="H225" s="581"/>
      <c r="I225" s="581"/>
      <c r="J225" s="581"/>
      <c r="K225" s="581"/>
      <c r="L225" s="581"/>
      <c r="M225" s="581"/>
      <c r="N225" s="581"/>
      <c r="O225" s="582"/>
    </row>
    <row r="226" spans="2:15" ht="20.25" customHeight="1">
      <c r="B226" s="1">
        <v>3</v>
      </c>
      <c r="F226" s="577" t="str">
        <f>IF(F223=$F$7,$G$4,IF(ROUNDDOWN(F223,0)=$F$4,$H$4,$G$4))</f>
        <v>■レベル　3</v>
      </c>
      <c r="G226" s="580" t="s">
        <v>3788</v>
      </c>
      <c r="H226" s="581"/>
      <c r="I226" s="581"/>
      <c r="J226" s="581"/>
      <c r="K226" s="581"/>
      <c r="L226" s="581"/>
      <c r="M226" s="581"/>
      <c r="N226" s="581"/>
      <c r="O226" s="582"/>
    </row>
    <row r="227" spans="2:15" ht="20.25" customHeight="1">
      <c r="B227" s="1">
        <v>4</v>
      </c>
      <c r="F227" s="577" t="str">
        <f>IF(F223=$F$7,$G$5,IF(ROUNDDOWN(F223,0)=$F$5,$H$5,$G$5))</f>
        <v>　レベル　4</v>
      </c>
      <c r="G227" s="705" t="s">
        <v>3789</v>
      </c>
      <c r="H227" s="706"/>
      <c r="I227" s="706"/>
      <c r="J227" s="706"/>
      <c r="K227" s="706"/>
      <c r="L227" s="706"/>
      <c r="M227" s="706"/>
      <c r="N227" s="706"/>
      <c r="O227" s="744"/>
    </row>
    <row r="228" spans="2:15" ht="30" customHeight="1">
      <c r="B228" s="1">
        <v>5</v>
      </c>
      <c r="F228" s="587" t="str">
        <f>IF(F223=$F$7,$G$6,IF(ROUNDDOWN(F223,0)=$F$6,$H$6,$G$6))</f>
        <v>　レベル　5</v>
      </c>
      <c r="G228" s="3155" t="s">
        <v>2580</v>
      </c>
      <c r="H228" s="3179"/>
      <c r="I228" s="3179"/>
      <c r="J228" s="3179"/>
      <c r="K228" s="3179"/>
      <c r="L228" s="3179"/>
      <c r="M228" s="3179"/>
      <c r="N228" s="3179"/>
      <c r="O228" s="3185"/>
    </row>
    <row r="229" spans="2:15" ht="13.5" customHeight="1">
      <c r="B229" s="594">
        <v>0</v>
      </c>
      <c r="F229" s="887" t="s">
        <v>3402</v>
      </c>
      <c r="G229" s="2423"/>
      <c r="H229" s="2399"/>
      <c r="I229" s="2396"/>
      <c r="J229" s="2397"/>
      <c r="K229" s="2576" t="s">
        <v>3757</v>
      </c>
      <c r="M229" s="846"/>
      <c r="N229" s="846"/>
      <c r="O229" s="846"/>
    </row>
    <row r="230" spans="2:15">
      <c r="F230" s="2409" t="s">
        <v>3413</v>
      </c>
      <c r="G230" s="2424">
        <v>0</v>
      </c>
      <c r="H230" s="2409" t="s">
        <v>3414</v>
      </c>
      <c r="I230" s="2424">
        <v>1430</v>
      </c>
      <c r="J230" s="2409"/>
      <c r="K230" s="2409"/>
    </row>
    <row r="286" spans="4:11" ht="8.25" customHeight="1"/>
    <row r="287" spans="4:11" ht="15.75">
      <c r="D287" s="546"/>
      <c r="E287" s="671"/>
      <c r="F287" s="672" t="s">
        <v>1784</v>
      </c>
      <c r="G287" s="433"/>
      <c r="H287" s="433"/>
      <c r="I287"/>
      <c r="J287" t="str">
        <f>IF(OR(F289=0,J288=0),$L$3,"")</f>
        <v/>
      </c>
      <c r="K287"/>
    </row>
    <row r="288" spans="4:11" ht="16.5" thickBot="1">
      <c r="D288" s="546"/>
      <c r="E288" s="671"/>
      <c r="F288" s="558"/>
      <c r="G288" s="559"/>
      <c r="H288" s="560"/>
      <c r="I288" s="561" t="s">
        <v>1141</v>
      </c>
      <c r="J288" s="564">
        <f>重み!M171</f>
        <v>0.33333333333333331</v>
      </c>
      <c r="K288" s="433"/>
    </row>
    <row r="289" spans="2:15" ht="26.25" customHeight="1" thickBot="1">
      <c r="D289" s="546"/>
      <c r="E289" s="671"/>
      <c r="F289" s="565">
        <v>4</v>
      </c>
      <c r="G289" s="569" t="s">
        <v>407</v>
      </c>
      <c r="H289" s="570"/>
      <c r="I289" s="570"/>
      <c r="J289" s="570"/>
      <c r="K289" s="570"/>
      <c r="L289" s="570"/>
      <c r="M289" s="570"/>
      <c r="N289" s="661" t="s">
        <v>1103</v>
      </c>
      <c r="O289" s="680"/>
    </row>
    <row r="290" spans="2:15" ht="22.5" customHeight="1">
      <c r="B290" s="1" t="s">
        <v>2418</v>
      </c>
      <c r="D290" s="546"/>
      <c r="E290" s="671"/>
      <c r="F290" s="572" t="str">
        <f>IF(F289=$F$7,$G$2,IF(ROUNDDOWN(F289,0)=$F$2,$H$2,$G$2))</f>
        <v>　レベル　1</v>
      </c>
      <c r="G290" s="580" t="s">
        <v>1818</v>
      </c>
      <c r="H290" s="741"/>
      <c r="I290" s="741"/>
      <c r="J290" s="741"/>
      <c r="K290" s="741"/>
      <c r="L290" s="741"/>
      <c r="M290" s="742"/>
      <c r="N290" s="3229" t="s">
        <v>3424</v>
      </c>
      <c r="O290" s="3230"/>
    </row>
    <row r="291" spans="2:15" ht="22.5" customHeight="1">
      <c r="B291" s="1">
        <v>2</v>
      </c>
      <c r="D291" s="546"/>
      <c r="E291" s="671"/>
      <c r="F291" s="577" t="str">
        <f>IF(F289=$F$7,$G$3,IF(ROUNDDOWN(F289,0)=$F$3,$H$3,$G$3))</f>
        <v>　レベル　2</v>
      </c>
      <c r="G291" s="705" t="s">
        <v>1785</v>
      </c>
      <c r="H291" s="581"/>
      <c r="I291" s="581"/>
      <c r="J291" s="581"/>
      <c r="K291" s="581"/>
      <c r="L291" s="581"/>
      <c r="M291" s="581"/>
      <c r="N291" s="3331"/>
      <c r="O291" s="3332"/>
    </row>
    <row r="292" spans="2:15" ht="22.5" customHeight="1">
      <c r="B292" s="1">
        <v>3</v>
      </c>
      <c r="D292" s="546"/>
      <c r="E292" s="671"/>
      <c r="F292" s="577" t="str">
        <f>IF(F289=$F$7,$G$4,IF(ROUNDDOWN(F289,0)=$F$4,$H$4,$G$4))</f>
        <v>　レベル　3</v>
      </c>
      <c r="G292" s="705" t="s">
        <v>1786</v>
      </c>
      <c r="H292" s="581"/>
      <c r="I292" s="581"/>
      <c r="J292" s="581"/>
      <c r="K292" s="581"/>
      <c r="L292" s="581"/>
      <c r="M292" s="581"/>
      <c r="N292" s="3331"/>
      <c r="O292" s="3332"/>
    </row>
    <row r="293" spans="2:15" ht="22.5" customHeight="1">
      <c r="B293" s="1">
        <v>4</v>
      </c>
      <c r="D293" s="546"/>
      <c r="E293" s="671"/>
      <c r="F293" s="577" t="str">
        <f>IF(F289=$F$7,$G$5,IF(ROUNDDOWN(F289,0)=$F$5,$H$5,$G$5))</f>
        <v>■レベル　4</v>
      </c>
      <c r="G293" s="705" t="s">
        <v>1787</v>
      </c>
      <c r="H293" s="706"/>
      <c r="I293" s="706"/>
      <c r="J293" s="706"/>
      <c r="K293" s="706"/>
      <c r="L293" s="706"/>
      <c r="M293" s="744"/>
      <c r="N293" s="3331"/>
      <c r="O293" s="3332"/>
    </row>
    <row r="294" spans="2:15" ht="22.5" customHeight="1">
      <c r="B294" s="1" t="s">
        <v>2418</v>
      </c>
      <c r="D294" s="546"/>
      <c r="E294" s="671"/>
      <c r="F294" s="587" t="str">
        <f>IF(F289=$F$7,$G$6,IF(ROUNDDOWN(F289,0)=$F$6,$H$6,$G$6))</f>
        <v>　レベル　5</v>
      </c>
      <c r="G294" s="591" t="s">
        <v>1818</v>
      </c>
      <c r="H294" s="592"/>
      <c r="I294" s="592"/>
      <c r="J294" s="592"/>
      <c r="K294" s="592"/>
      <c r="L294" s="592"/>
      <c r="M294" s="592"/>
      <c r="N294" s="3231"/>
      <c r="O294" s="3232"/>
    </row>
    <row r="295" spans="2:15" ht="15.75">
      <c r="B295" s="594">
        <v>0</v>
      </c>
      <c r="D295" s="546"/>
      <c r="E295" s="433"/>
      <c r="F295" s="887" t="s">
        <v>3402</v>
      </c>
      <c r="G295" s="2423" t="s">
        <v>3790</v>
      </c>
      <c r="H295" s="2399"/>
      <c r="I295" s="2396"/>
      <c r="J295" s="2397"/>
      <c r="K295" s="2576" t="s">
        <v>3766</v>
      </c>
    </row>
    <row r="296" spans="2:15">
      <c r="F296" s="2409" t="s">
        <v>3413</v>
      </c>
      <c r="G296" s="2424">
        <v>0</v>
      </c>
      <c r="H296" s="2409" t="s">
        <v>3414</v>
      </c>
      <c r="I296" s="2424">
        <v>8</v>
      </c>
      <c r="J296" s="2409"/>
      <c r="K296" s="2409"/>
      <c r="L296"/>
      <c r="M296"/>
    </row>
    <row r="297" spans="2:15">
      <c r="H297"/>
      <c r="I297"/>
      <c r="J297"/>
      <c r="K297"/>
      <c r="L297"/>
      <c r="M297"/>
    </row>
    <row r="298" spans="2:15">
      <c r="H298"/>
      <c r="I298"/>
      <c r="J298"/>
      <c r="K298"/>
      <c r="L298"/>
      <c r="M298"/>
    </row>
    <row r="299" spans="2:15" hidden="1">
      <c r="H299"/>
      <c r="I299"/>
      <c r="J299"/>
      <c r="K299"/>
      <c r="L299"/>
      <c r="M299"/>
    </row>
    <row r="300" spans="2:15" hidden="1">
      <c r="H300"/>
      <c r="I300"/>
      <c r="J300"/>
      <c r="K300"/>
      <c r="L300"/>
      <c r="M300"/>
    </row>
    <row r="301" spans="2:15" hidden="1">
      <c r="H301"/>
      <c r="I301"/>
      <c r="J301"/>
      <c r="K301"/>
      <c r="L301"/>
      <c r="M301"/>
    </row>
    <row r="438"/>
    <row r="439"/>
    <row r="440"/>
  </sheetData>
  <sheetProtection algorithmName="SHA-512" hashValue="f/RziKtkXHtxQos6+pI2mIvk2zG5fMQSntkmaocGHm8YFiBUcf70PjT236YYs1kKrInow+6Yli/V1Q3NOLXEEA==" saltValue="eBTqUS5SXwP/Ltfev4PIlg==" spinCount="100000" sheet="1" objects="1" scenarios="1"/>
  <mergeCells count="48">
    <mergeCell ref="G49:J49"/>
    <mergeCell ref="H52:J52"/>
    <mergeCell ref="G45:J45"/>
    <mergeCell ref="G46:J46"/>
    <mergeCell ref="G47:J47"/>
    <mergeCell ref="G48:J48"/>
    <mergeCell ref="H54:J54"/>
    <mergeCell ref="H56:J56"/>
    <mergeCell ref="H55:J55"/>
    <mergeCell ref="N102:O106"/>
    <mergeCell ref="G130:J130"/>
    <mergeCell ref="L130:O130"/>
    <mergeCell ref="L131:O131"/>
    <mergeCell ref="L132:O132"/>
    <mergeCell ref="L133:O133"/>
    <mergeCell ref="L134:O134"/>
    <mergeCell ref="G143:J143"/>
    <mergeCell ref="G131:J131"/>
    <mergeCell ref="G132:J132"/>
    <mergeCell ref="G133:J133"/>
    <mergeCell ref="G134:J134"/>
    <mergeCell ref="K45:L49"/>
    <mergeCell ref="N47:O47"/>
    <mergeCell ref="N49:O49"/>
    <mergeCell ref="K56:N56"/>
    <mergeCell ref="K54:N54"/>
    <mergeCell ref="K55:N55"/>
    <mergeCell ref="N213:O217"/>
    <mergeCell ref="N290:O294"/>
    <mergeCell ref="L139:O139"/>
    <mergeCell ref="L140:O140"/>
    <mergeCell ref="L141:O141"/>
    <mergeCell ref="L142:O142"/>
    <mergeCell ref="L143:O143"/>
    <mergeCell ref="L157:O157"/>
    <mergeCell ref="L158:O158"/>
    <mergeCell ref="L159:O159"/>
    <mergeCell ref="L161:O161"/>
    <mergeCell ref="G228:O228"/>
    <mergeCell ref="G139:J139"/>
    <mergeCell ref="G140:J140"/>
    <mergeCell ref="G141:J141"/>
    <mergeCell ref="G142:J142"/>
    <mergeCell ref="K160:K161"/>
    <mergeCell ref="F163:F164"/>
    <mergeCell ref="G164:J164"/>
    <mergeCell ref="H183:O183"/>
    <mergeCell ref="G182:G183"/>
  </mergeCells>
  <phoneticPr fontId="22"/>
  <conditionalFormatting sqref="F14 F25 F61 F71 F87 F101 F212 F223 F289">
    <cfRule type="expression" dxfId="29" priority="115" stopIfTrue="1">
      <formula>AND(OR(F14&lt;1,F14&gt;5),F14&lt;&gt;0)</formula>
    </cfRule>
    <cfRule type="expression" dxfId="28" priority="116" stopIfTrue="1">
      <formula>$J13&gt;0</formula>
    </cfRule>
  </conditionalFormatting>
  <conditionalFormatting sqref="F129">
    <cfRule type="expression" dxfId="27" priority="92" stopIfTrue="1">
      <formula>AND(OR(F129&lt;1,F129&gt;5),F129&lt;&gt;0)</formula>
    </cfRule>
    <cfRule type="expression" dxfId="26" priority="93" stopIfTrue="1">
      <formula>$J128&gt;0</formula>
    </cfRule>
  </conditionalFormatting>
  <conditionalFormatting sqref="F138">
    <cfRule type="expression" dxfId="25" priority="88" stopIfTrue="1">
      <formula>AND(OR(F138&lt;1,F138&gt;5),F138&lt;&gt;0)</formula>
    </cfRule>
    <cfRule type="expression" dxfId="24" priority="89" stopIfTrue="1">
      <formula>$J137&gt;0</formula>
    </cfRule>
  </conditionalFormatting>
  <conditionalFormatting sqref="F153 F175">
    <cfRule type="expression" dxfId="23" priority="470" stopIfTrue="1">
      <formula>AND(OR(F153&lt;1,F153&gt;5),F153&lt;&gt;0)</formula>
    </cfRule>
    <cfRule type="expression" dxfId="22" priority="471" stopIfTrue="1">
      <formula>AND(J146&gt;0,H153=$N$4)</formula>
    </cfRule>
  </conditionalFormatting>
  <conditionalFormatting sqref="F156:F164">
    <cfRule type="expression" dxfId="21" priority="467" stopIfTrue="1">
      <formula>AND($J$146&gt;0,$H$153=$N$3)</formula>
    </cfRule>
  </conditionalFormatting>
  <conditionalFormatting sqref="G53">
    <cfRule type="expression" dxfId="20" priority="118" stopIfTrue="1">
      <formula>$J$43&gt;0</formula>
    </cfRule>
  </conditionalFormatting>
  <conditionalFormatting sqref="G54:G56">
    <cfRule type="expression" dxfId="19" priority="468" stopIfTrue="1">
      <formula>$G$53=$M$3</formula>
    </cfRule>
    <cfRule type="expression" dxfId="18" priority="469" stopIfTrue="1">
      <formula>$J$43&gt;0.001</formula>
    </cfRule>
  </conditionalFormatting>
  <conditionalFormatting sqref="K25">
    <cfRule type="expression" dxfId="17" priority="110" stopIfTrue="1">
      <formula>AND(OR(K25&lt;1,K25&gt;5),K25&lt;&gt;0)</formula>
    </cfRule>
    <cfRule type="expression" dxfId="16" priority="111" stopIfTrue="1">
      <formula>$O24&gt;0</formula>
    </cfRule>
  </conditionalFormatting>
  <conditionalFormatting sqref="L20">
    <cfRule type="expression" dxfId="15" priority="29">
      <formula>K14&gt;3</formula>
    </cfRule>
  </conditionalFormatting>
  <dataValidations count="10">
    <dataValidation type="list" allowBlank="1" showInputMessage="1" sqref="K25 M44 K129 K138" xr:uid="{00000000-0002-0000-0D00-000000000000}">
      <formula1>$C26:$C31</formula1>
    </dataValidation>
    <dataValidation type="list" allowBlank="1" showInputMessage="1" showErrorMessage="1" sqref="G122:G125" xr:uid="{00000000-0002-0000-0D00-000001000000}">
      <formula1>"○,　"</formula1>
    </dataValidation>
    <dataValidation type="list" allowBlank="1" showInputMessage="1" sqref="F14 F25 F61 F71 F87 F101 F212 F129 F138 F223 F289" xr:uid="{00000000-0002-0000-0D00-000002000000}">
      <formula1>$B15:$B20</formula1>
    </dataValidation>
    <dataValidation type="list" allowBlank="1" showInputMessage="1" sqref="F153 F175" xr:uid="{00000000-0002-0000-0D00-000003000000}">
      <formula1>$B148:$B153</formula1>
    </dataValidation>
    <dataValidation type="list" allowBlank="1" showInputMessage="1" sqref="K153" xr:uid="{00000000-0002-0000-0D00-000004000000}">
      <formula1>$C$148:$C$153</formula1>
    </dataValidation>
    <dataValidation type="list" allowBlank="1" showInputMessage="1" showErrorMessage="1" sqref="G198:G207 L198:L206" xr:uid="{00000000-0002-0000-0D00-000005000000}">
      <formula1>$B$198:$B$199</formula1>
    </dataValidation>
    <dataValidation type="list" allowBlank="1" showInputMessage="1" sqref="G53" xr:uid="{00000000-0002-0000-0D00-000006000000}">
      <formula1>$M$3:$M$4</formula1>
    </dataValidation>
    <dataValidation type="list" allowBlank="1" showInputMessage="1" showErrorMessage="1" sqref="H153 M153 H175" xr:uid="{00000000-0002-0000-0D00-000007000000}">
      <formula1>$N$3:$N$4</formula1>
    </dataValidation>
    <dataValidation type="list" allowBlank="1" showInputMessage="1" showErrorMessage="1" sqref="G178:G182 K156:K160 F156:F163 L39:L40 L34:L37" xr:uid="{00000000-0002-0000-0D00-000008000000}">
      <formula1>$M$3:$M$4</formula1>
    </dataValidation>
    <dataValidation type="list" allowBlank="1" showInputMessage="1" showErrorMessage="1" sqref="I79:I83" xr:uid="{00000000-0002-0000-0D00-000009000000}">
      <formula1>$K$80:$K$83</formula1>
    </dataValidation>
  </dataValidations>
  <printOptions horizontalCentered="1"/>
  <pageMargins left="0.59055118110236227" right="0.59055118110236227" top="0.78740157480314965" bottom="0.59055118110236227" header="0.51181102362204722" footer="0.51181102362204722"/>
  <pageSetup paperSize="9" scale="80" fitToHeight="0" orientation="portrait" verticalDpi="4294967293" r:id="rId1"/>
  <headerFooter alignWithMargins="0">
    <oddHeader>&amp;L&amp;F&amp;R&amp;A</oddHeader>
    <oddFooter>&amp;C&amp;P/&amp;N</oddFooter>
  </headerFooter>
  <rowBreaks count="3" manualBreakCount="3">
    <brk id="50" min="3" max="15" man="1"/>
    <brk id="98" min="2" max="15" man="1"/>
    <brk id="208" min="2" max="15"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autoPageBreaks="0" fitToPage="1"/>
  </sheetPr>
  <dimension ref="A1:Y305"/>
  <sheetViews>
    <sheetView showGridLines="0" zoomScaleNormal="100" workbookViewId="0"/>
  </sheetViews>
  <sheetFormatPr defaultColWidth="0" defaultRowHeight="13.5" zeroHeight="1"/>
  <cols>
    <col min="1" max="1" width="4.125" customWidth="1"/>
    <col min="2" max="3" width="4.125" hidden="1" customWidth="1"/>
    <col min="4" max="4" width="4.5" style="1281" customWidth="1"/>
    <col min="5" max="5" width="1.875" style="1281" customWidth="1"/>
    <col min="6" max="15" width="10.625" style="1281" customWidth="1"/>
    <col min="16" max="16" width="2.125" customWidth="1"/>
    <col min="17" max="17" width="6.375" hidden="1" customWidth="1"/>
    <col min="18" max="18" width="11.875" hidden="1" customWidth="1"/>
    <col min="19" max="20" width="10.25" hidden="1" customWidth="1"/>
    <col min="21" max="21" width="13" hidden="1" customWidth="1"/>
    <col min="22" max="22" width="9.625" hidden="1" customWidth="1"/>
    <col min="23" max="23" width="3.5" hidden="1" customWidth="1"/>
    <col min="24" max="24" width="9" hidden="1" customWidth="1"/>
    <col min="25" max="25" width="10.5" hidden="1" customWidth="1"/>
    <col min="26" max="16384" width="9" hidden="1"/>
  </cols>
  <sheetData>
    <row r="1" spans="2:15" ht="21.75" customHeight="1">
      <c r="D1" s="894"/>
      <c r="E1" s="543"/>
      <c r="F1" s="543"/>
      <c r="G1" s="543"/>
      <c r="H1" s="543"/>
      <c r="I1" s="543"/>
      <c r="J1" s="543"/>
      <c r="K1" s="543"/>
      <c r="M1" s="879" t="s">
        <v>2279</v>
      </c>
      <c r="N1" s="545" t="str">
        <f>メイン!C11</f>
        <v>○○ビル</v>
      </c>
      <c r="O1" s="545"/>
    </row>
    <row r="2" spans="2:15" ht="15.75" hidden="1">
      <c r="B2" t="s">
        <v>1112</v>
      </c>
      <c r="D2" s="542"/>
      <c r="F2">
        <v>1</v>
      </c>
      <c r="G2" t="s">
        <v>2182</v>
      </c>
      <c r="H2" t="s">
        <v>2183</v>
      </c>
      <c r="I2" s="543"/>
      <c r="K2" s="543"/>
      <c r="L2" s="543"/>
      <c r="O2" s="543"/>
    </row>
    <row r="3" spans="2:15" ht="15.75" hidden="1">
      <c r="D3" s="542"/>
      <c r="E3"/>
      <c r="F3">
        <v>2</v>
      </c>
      <c r="G3" t="s">
        <v>1113</v>
      </c>
      <c r="H3" t="s">
        <v>1114</v>
      </c>
      <c r="I3" s="543"/>
      <c r="J3" s="543"/>
      <c r="K3" t="s">
        <v>1112</v>
      </c>
      <c r="L3" t="s">
        <v>1138</v>
      </c>
      <c r="M3" t="s">
        <v>1634</v>
      </c>
      <c r="N3" t="s">
        <v>2841</v>
      </c>
      <c r="O3" t="str">
        <f>メイン!I37</f>
        <v>基本設計段階</v>
      </c>
    </row>
    <row r="4" spans="2:15" ht="15.75" hidden="1">
      <c r="D4" s="542"/>
      <c r="E4"/>
      <c r="F4">
        <v>3</v>
      </c>
      <c r="G4" t="s">
        <v>1119</v>
      </c>
      <c r="H4" t="s">
        <v>1120</v>
      </c>
      <c r="I4" s="543"/>
      <c r="J4" s="543"/>
      <c r="K4" s="543"/>
      <c r="L4"/>
      <c r="M4"/>
      <c r="N4" t="s">
        <v>2844</v>
      </c>
      <c r="O4" t="str">
        <f>メイン!I38</f>
        <v>実施設計段階</v>
      </c>
    </row>
    <row r="5" spans="2:15" ht="15.75" hidden="1">
      <c r="D5" s="542"/>
      <c r="E5"/>
      <c r="F5">
        <v>4</v>
      </c>
      <c r="G5" t="s">
        <v>1015</v>
      </c>
      <c r="H5" t="s">
        <v>1016</v>
      </c>
      <c r="I5" s="543"/>
      <c r="J5" s="543"/>
      <c r="K5" s="543"/>
      <c r="L5"/>
      <c r="M5"/>
      <c r="N5"/>
      <c r="O5" t="str">
        <f>メイン!I39</f>
        <v>竣工段階</v>
      </c>
    </row>
    <row r="6" spans="2:15" ht="15.75" hidden="1">
      <c r="D6" s="542"/>
      <c r="E6"/>
      <c r="F6">
        <v>5</v>
      </c>
      <c r="G6" t="s">
        <v>1022</v>
      </c>
      <c r="H6" t="s">
        <v>1023</v>
      </c>
      <c r="I6" s="543"/>
      <c r="J6" s="543"/>
      <c r="K6" s="543"/>
      <c r="L6"/>
      <c r="M6" t="s">
        <v>951</v>
      </c>
      <c r="O6" s="543"/>
    </row>
    <row r="7" spans="2:15" ht="15.75" hidden="1">
      <c r="D7" s="542"/>
      <c r="E7"/>
      <c r="F7">
        <v>0</v>
      </c>
      <c r="G7" t="s">
        <v>1012</v>
      </c>
      <c r="H7" t="s">
        <v>1012</v>
      </c>
      <c r="I7" s="543"/>
      <c r="J7" s="543"/>
      <c r="K7" s="543"/>
      <c r="L7"/>
      <c r="M7" t="s">
        <v>952</v>
      </c>
      <c r="O7" s="543"/>
    </row>
    <row r="8" spans="2:15" ht="16.5" thickBot="1">
      <c r="D8" s="542"/>
      <c r="E8"/>
      <c r="F8"/>
      <c r="G8"/>
      <c r="H8"/>
      <c r="I8" s="543"/>
      <c r="J8" s="543"/>
      <c r="K8" s="543"/>
      <c r="L8"/>
      <c r="M8"/>
      <c r="O8" s="543"/>
    </row>
    <row r="9" spans="2:15" ht="18.75" thickBot="1">
      <c r="D9" s="834" t="s">
        <v>963</v>
      </c>
      <c r="E9" s="435"/>
      <c r="F9" s="1283"/>
      <c r="G9" s="433"/>
      <c r="H9" s="1283"/>
      <c r="I9" s="548"/>
      <c r="J9" s="549" t="str">
        <f>採点Q1!J9</f>
        <v>色欄について、プルダウンメニューから選択、または数値・コメント※を記入。</v>
      </c>
      <c r="K9" s="549"/>
      <c r="O9" s="557" t="str">
        <f>IF(メイン!E39=0,"",メイン!E39)</f>
        <v/>
      </c>
    </row>
    <row r="10" spans="2:15" ht="15.75">
      <c r="D10" s="546"/>
      <c r="E10" s="435"/>
      <c r="F10" s="1283"/>
      <c r="G10" s="433"/>
      <c r="H10" s="1283"/>
      <c r="I10" s="1283"/>
      <c r="J10" s="2743" t="str">
        <f>採点Q1!J10</f>
        <v>※環境配慮の概要は最長30字程度。レベル３を超える場合は必ず記入し、多い場合は配慮シートに記述する。</v>
      </c>
      <c r="K10" s="1283"/>
      <c r="L10" s="1283"/>
      <c r="M10" s="1283"/>
      <c r="N10" s="1283"/>
      <c r="O10" s="1283"/>
    </row>
    <row r="11" spans="2:15" ht="21.75" customHeight="1">
      <c r="D11" s="542">
        <v>1</v>
      </c>
      <c r="E11" s="551" t="s">
        <v>2212</v>
      </c>
      <c r="F11" s="1283"/>
      <c r="G11" s="543"/>
      <c r="H11" s="543"/>
      <c r="I11" s="543"/>
      <c r="J11" s="556" t="e">
        <f>IF(OR(F13=0,J12=0),$L$3,"")</f>
        <v>#VALUE!</v>
      </c>
      <c r="K11" s="543"/>
      <c r="L11" s="543"/>
      <c r="M11" s="543"/>
      <c r="N11" s="543"/>
    </row>
    <row r="12" spans="2:15" ht="16.5" thickBot="1">
      <c r="D12" s="811"/>
      <c r="E12" s="543"/>
      <c r="F12" s="673"/>
      <c r="G12" s="559"/>
      <c r="H12" s="560" t="s">
        <v>1141</v>
      </c>
      <c r="I12" s="561"/>
      <c r="J12" s="562">
        <f>重み!M173</f>
        <v>0.33333333333333331</v>
      </c>
      <c r="K12" s="674"/>
      <c r="L12" s="674"/>
      <c r="M12" s="674"/>
      <c r="N12" s="674"/>
      <c r="O12" s="571"/>
    </row>
    <row r="13" spans="2:15" ht="27" customHeight="1" thickBot="1">
      <c r="D13" s="1291"/>
      <c r="E13" s="546"/>
      <c r="F13" s="1978" t="e">
        <f>O22</f>
        <v>#VALUE!</v>
      </c>
      <c r="G13" s="1350" t="s">
        <v>685</v>
      </c>
      <c r="H13" s="806"/>
      <c r="I13" s="806"/>
      <c r="J13" s="806"/>
      <c r="K13" s="806"/>
      <c r="L13" s="1458"/>
      <c r="M13" s="806"/>
      <c r="N13" s="806"/>
      <c r="O13" s="738"/>
    </row>
    <row r="14" spans="2:15" ht="17.25" customHeight="1">
      <c r="D14" s="1291"/>
      <c r="E14" s="546"/>
      <c r="F14" s="732" t="e">
        <f>IF(F13=$F$7,$G$2,IF(ROUNDDOWN(F13,0)=$F$2,$H$2,$G$2))</f>
        <v>#VALUE!</v>
      </c>
      <c r="G14" s="1456" t="s">
        <v>1149</v>
      </c>
      <c r="H14" s="873"/>
      <c r="I14" s="873"/>
      <c r="J14" s="873"/>
      <c r="K14" s="873"/>
      <c r="L14" s="874"/>
      <c r="M14" s="873"/>
      <c r="N14" s="873"/>
      <c r="O14" s="874"/>
    </row>
    <row r="15" spans="2:15" ht="17.25" customHeight="1">
      <c r="D15" s="1291"/>
      <c r="E15" s="546"/>
      <c r="F15" s="732" t="e">
        <f>IF(F13=$F$7,$G$3,IF(ROUNDDOWN(F13,0)=$F$3,$H$3,$G$3))</f>
        <v>#VALUE!</v>
      </c>
      <c r="G15" s="1459"/>
      <c r="H15" s="1455"/>
      <c r="I15" s="1455"/>
      <c r="J15" s="1455"/>
      <c r="K15" s="1455"/>
      <c r="L15" s="1460"/>
      <c r="M15" s="1455"/>
      <c r="N15" s="877" t="s">
        <v>871</v>
      </c>
      <c r="O15" s="878"/>
    </row>
    <row r="16" spans="2:15" ht="17.25" customHeight="1">
      <c r="D16" s="1291"/>
      <c r="E16" s="546"/>
      <c r="F16" s="732" t="e">
        <f>IF(F13=$F$7,$G$4,IF(ROUNDDOWN(F13,0)=$F$4,$H$4,$G$4))</f>
        <v>#VALUE!</v>
      </c>
      <c r="G16" s="1459" t="s">
        <v>1150</v>
      </c>
      <c r="H16" s="1455"/>
      <c r="I16" s="1455"/>
      <c r="J16" s="1455"/>
      <c r="K16" s="1455"/>
      <c r="L16" s="1460"/>
      <c r="M16" s="1455"/>
      <c r="N16" s="877" t="s">
        <v>872</v>
      </c>
      <c r="O16" s="878"/>
    </row>
    <row r="17" spans="2:15" ht="17.25" customHeight="1">
      <c r="D17" s="1291"/>
      <c r="E17" s="546"/>
      <c r="F17" s="732" t="e">
        <f>IF(F13=$F$7,$G$5,IF(ROUNDDOWN(F13,0)=$F$5,$H$5,$G$5))</f>
        <v>#VALUE!</v>
      </c>
      <c r="G17" s="1459"/>
      <c r="H17" s="1455"/>
      <c r="I17" s="1455"/>
      <c r="J17" s="1455"/>
      <c r="K17" s="1455"/>
      <c r="L17" s="1460"/>
      <c r="M17" s="1455"/>
      <c r="N17" s="877" t="s">
        <v>873</v>
      </c>
      <c r="O17" s="878"/>
    </row>
    <row r="18" spans="2:15" ht="17.25" customHeight="1">
      <c r="D18" s="1291"/>
      <c r="E18" s="546"/>
      <c r="F18" s="733" t="e">
        <f>IF(F13=$F$7,$G$6,IF(ROUNDDOWN(F13,0)=$F$6,$H$6,$G$6))</f>
        <v>#VALUE!</v>
      </c>
      <c r="G18" s="1461" t="s">
        <v>876</v>
      </c>
      <c r="H18" s="1457"/>
      <c r="I18" s="1457"/>
      <c r="J18" s="1457"/>
      <c r="K18" s="1457"/>
      <c r="L18" s="1462"/>
      <c r="M18" s="1457"/>
      <c r="N18" s="875"/>
      <c r="O18" s="876"/>
    </row>
    <row r="19" spans="2:15" ht="17.25" customHeight="1">
      <c r="D19" s="1291"/>
      <c r="E19" s="546"/>
      <c r="F19" s="887" t="s">
        <v>3402</v>
      </c>
      <c r="G19" s="2423"/>
      <c r="H19" s="2396"/>
      <c r="I19" s="2396"/>
      <c r="J19" s="2397"/>
      <c r="K19" s="2576"/>
      <c r="L19"/>
      <c r="M19"/>
      <c r="N19"/>
      <c r="O19"/>
    </row>
    <row r="20" spans="2:15" ht="15.75">
      <c r="D20" s="1291"/>
      <c r="E20" s="1291"/>
      <c r="F20" s="595" t="s">
        <v>3430</v>
      </c>
      <c r="H20" s="433"/>
      <c r="I20" s="433"/>
      <c r="J20" s="543"/>
      <c r="K20" s="543" t="s">
        <v>1148</v>
      </c>
      <c r="L20" s="543"/>
      <c r="M20" s="882"/>
      <c r="N20" s="1291"/>
      <c r="O20" s="1291"/>
    </row>
    <row r="21" spans="2:15" ht="16.5" thickBot="1">
      <c r="D21" s="1291"/>
      <c r="E21" s="546"/>
      <c r="F21" s="543"/>
      <c r="G21" s="883"/>
      <c r="H21" s="884" t="s">
        <v>591</v>
      </c>
      <c r="I21" s="885" t="s">
        <v>1811</v>
      </c>
      <c r="J21" s="886" t="s">
        <v>593</v>
      </c>
      <c r="K21" s="884" t="s">
        <v>386</v>
      </c>
      <c r="L21" s="883" t="s">
        <v>877</v>
      </c>
      <c r="M21" s="543"/>
      <c r="N21" s="543"/>
      <c r="O21" s="887" t="s">
        <v>1011</v>
      </c>
    </row>
    <row r="22" spans="2:15" ht="16.5" thickBot="1">
      <c r="B22" t="s">
        <v>1013</v>
      </c>
      <c r="D22" s="1291"/>
      <c r="E22" s="546"/>
      <c r="F22" s="543"/>
      <c r="G22" s="888" t="s">
        <v>2003</v>
      </c>
      <c r="H22" s="889">
        <f>IF(メイン!I3=3,'条件(個別)'!D9,'条件(標準)'!D9)</f>
        <v>13.998000000000001</v>
      </c>
      <c r="I22" s="889">
        <f>IF(メイン!I3=3,'条件(個別)'!D34,'条件(標準)'!D34)</f>
        <v>16.21</v>
      </c>
      <c r="J22" s="889" t="e">
        <f>IF(メイン!I3=3,'条件(個別)'!D46,'条件(標準)'!D46)</f>
        <v>#VALUE!</v>
      </c>
      <c r="K22" s="890" t="e">
        <f>H22+I22+J22</f>
        <v>#VALUE!</v>
      </c>
      <c r="L22" s="891">
        <v>1</v>
      </c>
      <c r="M22" s="543"/>
      <c r="N22" s="887" t="s">
        <v>878</v>
      </c>
      <c r="O22" s="892" t="e">
        <f>IF(K22=0,0,ROUNDDOWN(IF(L23=B22,0,IF(L23&lt;0.5,5,IF(L23&gt;1.25,1,IF(L23&gt;1,-8*L23+11,3+(1-L23)*4)))),1))</f>
        <v>#VALUE!</v>
      </c>
    </row>
    <row r="23" spans="2:15" ht="14.25">
      <c r="D23" s="894"/>
      <c r="E23" s="543"/>
      <c r="F23" s="543"/>
      <c r="G23" s="888" t="s">
        <v>2002</v>
      </c>
      <c r="H23" s="889">
        <f>IF(メイン!I3=3,'条件(個別)'!E9,'条件(標準)'!E9)</f>
        <v>13.998000000000001</v>
      </c>
      <c r="I23" s="889">
        <f>IF(メイン!I3=3,'条件(個別)'!E34,'条件(標準)'!E34)</f>
        <v>16.21</v>
      </c>
      <c r="J23" s="889" t="e">
        <f>IF(メイン!I3=3,'条件(個別)'!E52,'条件(標準)'!E52)</f>
        <v>#VALUE!</v>
      </c>
      <c r="K23" s="890" t="e">
        <f>H23+I23+J23</f>
        <v>#VALUE!</v>
      </c>
      <c r="L23" s="893" t="e">
        <f>IF(K22=B22,B22,K23/K22)</f>
        <v>#VALUE!</v>
      </c>
      <c r="M23" s="543"/>
      <c r="N23" s="543"/>
      <c r="O23" s="543"/>
    </row>
    <row r="24" spans="2:15">
      <c r="D24" s="433"/>
      <c r="E24" s="433"/>
      <c r="I24" s="433"/>
      <c r="J24" s="433"/>
      <c r="K24" s="433"/>
      <c r="L24" s="433"/>
      <c r="M24" s="433"/>
      <c r="N24" s="433"/>
      <c r="O24" s="433"/>
    </row>
    <row r="25" spans="2:15" ht="14.25">
      <c r="D25" s="894">
        <v>2</v>
      </c>
      <c r="E25" s="551" t="s">
        <v>2215</v>
      </c>
      <c r="F25" s="543"/>
      <c r="G25" s="543"/>
      <c r="H25"/>
      <c r="I25"/>
      <c r="J25"/>
      <c r="K25"/>
      <c r="L25"/>
      <c r="M25"/>
      <c r="N25" s="543"/>
      <c r="O25" s="543"/>
    </row>
    <row r="26" spans="2:15" ht="18.75" customHeight="1">
      <c r="D26" s="894">
        <v>2.1</v>
      </c>
      <c r="E26" s="435" t="s">
        <v>879</v>
      </c>
      <c r="F26" s="1283"/>
      <c r="G26" s="543"/>
      <c r="H26"/>
      <c r="I26"/>
      <c r="J26" t="str">
        <f>IF(OR(F28=0,J27=0),$L$3,"")</f>
        <v/>
      </c>
      <c r="K26"/>
      <c r="L26"/>
      <c r="M26"/>
      <c r="N26" s="543"/>
      <c r="O26" s="543"/>
    </row>
    <row r="27" spans="2:15" ht="18.75" customHeight="1" thickBot="1">
      <c r="F27" s="673"/>
      <c r="G27" s="559"/>
      <c r="H27" s="560" t="s">
        <v>1141</v>
      </c>
      <c r="I27" s="561"/>
      <c r="J27" s="562">
        <f>重み!M175</f>
        <v>0.25</v>
      </c>
      <c r="K27" s="674"/>
      <c r="L27" s="674"/>
      <c r="M27" s="674"/>
      <c r="N27" s="674"/>
      <c r="O27" s="571"/>
    </row>
    <row r="28" spans="2:15" ht="27" customHeight="1" thickBot="1">
      <c r="D28" s="546"/>
      <c r="E28" s="546"/>
      <c r="F28" s="565">
        <v>3</v>
      </c>
      <c r="G28" s="569" t="s">
        <v>407</v>
      </c>
      <c r="H28" s="570"/>
      <c r="I28" s="570"/>
      <c r="J28" s="570"/>
      <c r="K28" s="570"/>
      <c r="L28" s="771"/>
      <c r="M28" s="570"/>
      <c r="N28" s="570"/>
      <c r="O28" s="571"/>
    </row>
    <row r="29" spans="2:15" ht="33" customHeight="1">
      <c r="B29" s="1">
        <v>1</v>
      </c>
      <c r="D29" s="546"/>
      <c r="E29" s="546"/>
      <c r="F29" s="577" t="str">
        <f>IF(F28=$F$7,$G$2,IF(ROUNDDOWN(F28,0)=$F$2,$H$2,$G$2))</f>
        <v>　レベル　1</v>
      </c>
      <c r="G29" s="3153" t="s">
        <v>356</v>
      </c>
      <c r="H29" s="3508"/>
      <c r="I29" s="3508"/>
      <c r="J29" s="3508"/>
      <c r="K29" s="3508"/>
      <c r="L29" s="3508"/>
      <c r="M29" s="3508"/>
      <c r="N29" s="3508"/>
      <c r="O29" s="3509"/>
    </row>
    <row r="30" spans="2:15" ht="21" customHeight="1">
      <c r="B30" s="1" t="s">
        <v>177</v>
      </c>
      <c r="D30" s="546"/>
      <c r="E30" s="546"/>
      <c r="F30" s="577" t="str">
        <f>IF(F28=$F$7,$G$3,IF(ROUNDDOWN(F28,0)=$F$3,$H$3,$G$3))</f>
        <v>　レベル　2</v>
      </c>
      <c r="G30" s="880" t="s">
        <v>1818</v>
      </c>
      <c r="H30" s="1435"/>
      <c r="I30" s="1435"/>
      <c r="J30" s="1435"/>
      <c r="K30" s="1435"/>
      <c r="L30" s="1435"/>
      <c r="M30" s="1435"/>
      <c r="N30" s="581"/>
      <c r="O30" s="582"/>
    </row>
    <row r="31" spans="2:15" ht="28.5" customHeight="1">
      <c r="B31" s="1">
        <v>3</v>
      </c>
      <c r="D31" s="546"/>
      <c r="E31" s="546"/>
      <c r="F31" s="577" t="str">
        <f>IF(F28=$F$7,$G$4,IF(ROUNDDOWN(F28,0)=$F$4,$H$4,$G$4))</f>
        <v>■レベル　3</v>
      </c>
      <c r="G31" s="3450" t="s">
        <v>357</v>
      </c>
      <c r="H31" s="3180"/>
      <c r="I31" s="3180"/>
      <c r="J31" s="3180"/>
      <c r="K31" s="3180"/>
      <c r="L31" s="3180"/>
      <c r="M31" s="3180"/>
      <c r="N31" s="3180"/>
      <c r="O31" s="3181"/>
    </row>
    <row r="32" spans="2:15" ht="27" customHeight="1">
      <c r="B32" s="1">
        <v>4</v>
      </c>
      <c r="D32" s="546"/>
      <c r="E32" s="546"/>
      <c r="F32" s="577" t="str">
        <f>IF(F28=$F$7,$G$5,IF(ROUNDDOWN(F28,0)=$F$5,$H$5,$G$5))</f>
        <v>　レベル　4</v>
      </c>
      <c r="G32" s="3450" t="s">
        <v>358</v>
      </c>
      <c r="H32" s="3180"/>
      <c r="I32" s="3180"/>
      <c r="J32" s="3180"/>
      <c r="K32" s="3180"/>
      <c r="L32" s="3180"/>
      <c r="M32" s="3180"/>
      <c r="N32" s="3180"/>
      <c r="O32" s="3181"/>
    </row>
    <row r="33" spans="2:18" ht="22.5" customHeight="1">
      <c r="B33" s="1">
        <v>5</v>
      </c>
      <c r="D33" s="546"/>
      <c r="E33" s="546"/>
      <c r="F33" s="587" t="str">
        <f>IF(F28=$F$7,$G$6,IF(ROUNDDOWN(F28,0)=$F$6,$H$6,$G$6))</f>
        <v>　レベル　5</v>
      </c>
      <c r="G33" s="881" t="s">
        <v>1000</v>
      </c>
      <c r="H33" s="1436"/>
      <c r="I33" s="1436"/>
      <c r="J33" s="1436"/>
      <c r="K33" s="1436"/>
      <c r="L33" s="1436"/>
      <c r="M33" s="1436"/>
      <c r="N33" s="592"/>
      <c r="O33" s="593"/>
    </row>
    <row r="34" spans="2:18" ht="15.75">
      <c r="B34" s="594">
        <v>0</v>
      </c>
      <c r="D34" s="546"/>
      <c r="E34" s="546"/>
      <c r="F34" s="887" t="s">
        <v>3402</v>
      </c>
      <c r="G34" s="2423"/>
      <c r="H34" s="2396"/>
      <c r="I34" s="2396"/>
      <c r="J34" s="2397"/>
      <c r="K34" s="2576"/>
      <c r="L34"/>
      <c r="M34"/>
      <c r="N34"/>
      <c r="O34"/>
    </row>
    <row r="35" spans="2:18" ht="15.75">
      <c r="B35" s="918"/>
      <c r="C35" s="918"/>
      <c r="D35" s="546"/>
      <c r="E35" s="546"/>
      <c r="F35" s="895"/>
      <c r="G35" s="895"/>
      <c r="H35"/>
      <c r="I35"/>
      <c r="J35"/>
      <c r="K35"/>
      <c r="L35"/>
      <c r="M35" s="895"/>
      <c r="N35" s="895"/>
      <c r="O35" s="895"/>
    </row>
    <row r="36" spans="2:18" ht="24" customHeight="1">
      <c r="D36" s="894">
        <v>2.2000000000000002</v>
      </c>
      <c r="E36" s="804" t="s">
        <v>880</v>
      </c>
      <c r="F36" s="895"/>
      <c r="G36" s="895"/>
      <c r="H36"/>
      <c r="I36"/>
      <c r="J36" t="str">
        <f>IF(OR(F38=0,J37=0),$L$3,"")</f>
        <v/>
      </c>
      <c r="K36"/>
      <c r="L36"/>
      <c r="M36" s="895"/>
      <c r="N36" s="895"/>
      <c r="O36" s="895"/>
    </row>
    <row r="37" spans="2:18" ht="19.5" customHeight="1" thickBot="1">
      <c r="F37" s="673"/>
      <c r="G37" s="559"/>
      <c r="H37" s="560" t="s">
        <v>1141</v>
      </c>
      <c r="I37" s="561"/>
      <c r="J37" s="562">
        <f>重み!M176</f>
        <v>0.5</v>
      </c>
      <c r="K37" s="674"/>
      <c r="L37" s="674"/>
      <c r="M37" s="674"/>
      <c r="N37" s="674"/>
      <c r="O37" s="571"/>
    </row>
    <row r="38" spans="2:18" ht="27" customHeight="1" thickBot="1">
      <c r="B38" t="s">
        <v>3432</v>
      </c>
      <c r="D38" s="546"/>
      <c r="E38" s="543"/>
      <c r="F38" s="1978">
        <f>G57</f>
        <v>3</v>
      </c>
      <c r="G38" s="2458" t="s">
        <v>407</v>
      </c>
      <c r="H38" s="570"/>
      <c r="I38" s="570"/>
      <c r="J38" s="570"/>
      <c r="K38" s="570"/>
      <c r="L38" s="771"/>
      <c r="M38" s="570"/>
      <c r="N38" s="570"/>
      <c r="O38" s="571"/>
    </row>
    <row r="39" spans="2:18" ht="21" customHeight="1">
      <c r="B39">
        <v>0</v>
      </c>
      <c r="D39" s="546"/>
      <c r="E39" s="543"/>
      <c r="F39" s="577" t="str">
        <f>IF(F38=$F$7,$G$2,IF(ROUNDDOWN(F38,0)=$F$2,$H$2,$G$2))</f>
        <v>　レベル　1</v>
      </c>
      <c r="G39" s="574" t="s">
        <v>1001</v>
      </c>
      <c r="H39" s="575"/>
      <c r="I39" s="575"/>
      <c r="J39" s="575"/>
      <c r="K39" s="575"/>
      <c r="L39" s="575"/>
      <c r="M39" s="575"/>
      <c r="N39" s="575"/>
      <c r="O39" s="576"/>
    </row>
    <row r="40" spans="2:18" ht="21" customHeight="1">
      <c r="B40">
        <v>1</v>
      </c>
      <c r="D40" s="546"/>
      <c r="E40" s="543"/>
      <c r="F40" s="577" t="str">
        <f>IF(F38=$F$7,$G$3,IF(ROUNDDOWN(F38,0)=$F$3,$H$3,$G$3))</f>
        <v>　レベル　2</v>
      </c>
      <c r="G40" s="880" t="s">
        <v>1002</v>
      </c>
      <c r="H40" s="1292"/>
      <c r="I40" s="1292"/>
      <c r="J40" s="1292"/>
      <c r="K40" s="1292"/>
      <c r="L40" s="1292"/>
      <c r="M40" s="1292"/>
      <c r="N40" s="581"/>
      <c r="O40" s="582"/>
    </row>
    <row r="41" spans="2:18" ht="21" customHeight="1">
      <c r="B41">
        <v>6</v>
      </c>
      <c r="D41" s="546"/>
      <c r="E41" s="543"/>
      <c r="F41" s="577" t="str">
        <f>IF(F38=$F$7,$G$4,IF(ROUNDDOWN(F38,0)=$F$4,$H$4,$G$4))</f>
        <v>■レベル　3</v>
      </c>
      <c r="G41" s="880" t="s">
        <v>2103</v>
      </c>
      <c r="H41" s="1292"/>
      <c r="I41" s="1292"/>
      <c r="J41" s="1292"/>
      <c r="K41" s="1292"/>
      <c r="L41" s="1292"/>
      <c r="M41" s="1292"/>
      <c r="N41" s="581"/>
      <c r="O41" s="582"/>
    </row>
    <row r="42" spans="2:18" ht="21" customHeight="1">
      <c r="B42">
        <v>13</v>
      </c>
      <c r="D42" s="546"/>
      <c r="E42" s="543"/>
      <c r="F42" s="577" t="str">
        <f>IF(F38=$F$7,$G$5,IF(ROUNDDOWN(F38,0)=$F$5,$H$5,$G$5))</f>
        <v>　レベル　4</v>
      </c>
      <c r="G42" s="880" t="s">
        <v>2104</v>
      </c>
      <c r="H42" s="1292"/>
      <c r="I42" s="1292"/>
      <c r="J42" s="1292"/>
      <c r="K42" s="1292"/>
      <c r="L42" s="1292"/>
      <c r="M42" s="1292"/>
      <c r="N42" s="581"/>
      <c r="O42" s="582"/>
    </row>
    <row r="43" spans="2:18" ht="21.75" customHeight="1">
      <c r="B43">
        <v>20</v>
      </c>
      <c r="D43" s="546"/>
      <c r="E43" s="543"/>
      <c r="F43" s="587" t="str">
        <f>IF(F38=$F$7,$G$6,IF(ROUNDDOWN(F38,0)=$F$6,$H$6,$G$6))</f>
        <v>　レベル　5</v>
      </c>
      <c r="G43" s="881" t="s">
        <v>2105</v>
      </c>
      <c r="H43" s="1293"/>
      <c r="I43" s="1293"/>
      <c r="J43" s="1293"/>
      <c r="K43" s="1293"/>
      <c r="L43" s="1293"/>
      <c r="M43" s="1293"/>
      <c r="N43" s="592"/>
      <c r="O43" s="593"/>
    </row>
    <row r="44" spans="2:18" ht="15.75">
      <c r="D44" s="546"/>
      <c r="E44" s="543"/>
      <c r="F44" s="887" t="s">
        <v>3402</v>
      </c>
      <c r="G44" s="2423"/>
      <c r="H44" s="2396"/>
      <c r="I44" s="2396"/>
      <c r="J44" s="2397"/>
      <c r="K44" s="2576" t="s">
        <v>3709</v>
      </c>
      <c r="L44"/>
      <c r="M44"/>
      <c r="N44"/>
      <c r="O44"/>
    </row>
    <row r="45" spans="2:18">
      <c r="D45"/>
      <c r="E45"/>
      <c r="F45" s="2431" t="s">
        <v>3474</v>
      </c>
      <c r="G45"/>
      <c r="H45" s="2455">
        <f>ROUNDDOWN(J45/(M45*O45),2)</f>
        <v>0.44</v>
      </c>
      <c r="I45" s="2459" t="s">
        <v>3718</v>
      </c>
      <c r="J45" s="2689">
        <v>40000</v>
      </c>
      <c r="K45"/>
      <c r="L45" s="2459" t="s">
        <v>3717</v>
      </c>
      <c r="M45" s="2557">
        <v>200</v>
      </c>
      <c r="N45" s="2459" t="s">
        <v>3716</v>
      </c>
      <c r="O45" s="2557">
        <v>450</v>
      </c>
    </row>
    <row r="46" spans="2:18">
      <c r="D46"/>
      <c r="E46"/>
      <c r="F46" s="2431" t="s">
        <v>3475</v>
      </c>
      <c r="G46"/>
      <c r="H46" s="2424">
        <v>0.4</v>
      </c>
      <c r="I46" s="543"/>
      <c r="J46" s="543"/>
      <c r="K46" s="543"/>
      <c r="L46" s="543"/>
      <c r="M46" s="543"/>
      <c r="N46" s="543"/>
      <c r="O46" s="543"/>
    </row>
    <row r="47" spans="2:18">
      <c r="D47"/>
      <c r="E47"/>
      <c r="F47" s="2431"/>
      <c r="G47" s="543"/>
      <c r="H47" s="543"/>
      <c r="I47" s="2691" t="s">
        <v>3479</v>
      </c>
      <c r="J47" s="2691" t="s">
        <v>3461</v>
      </c>
      <c r="K47" s="2691" t="s">
        <v>3462</v>
      </c>
      <c r="L47" s="2691" t="s">
        <v>3463</v>
      </c>
      <c r="M47" s="2691" t="s">
        <v>3389</v>
      </c>
      <c r="N47" s="2691" t="s">
        <v>3473</v>
      </c>
      <c r="O47"/>
    </row>
    <row r="48" spans="2:18">
      <c r="D48"/>
      <c r="E48"/>
      <c r="F48" s="2431" t="s">
        <v>3476</v>
      </c>
      <c r="G48" s="543"/>
      <c r="H48" s="2455">
        <f>ROUNDDOWN(I48,2)</f>
        <v>0.26</v>
      </c>
      <c r="I48" s="2562">
        <f>J48+2*K48+3*M48+L48+N48</f>
        <v>0.26</v>
      </c>
      <c r="J48" s="2562">
        <f>J52/$I52</f>
        <v>0.04</v>
      </c>
      <c r="K48" s="2562">
        <f t="shared" ref="K48" si="0">K52/$I52</f>
        <v>0</v>
      </c>
      <c r="L48" s="2562">
        <f>L52/$I52</f>
        <v>0</v>
      </c>
      <c r="M48" s="2562">
        <f>M52/$I52</f>
        <v>0.06</v>
      </c>
      <c r="N48" s="2562">
        <f>(N52+O52)/$I52</f>
        <v>0.04</v>
      </c>
      <c r="O48"/>
      <c r="R48" s="45"/>
    </row>
    <row r="49" spans="2:18">
      <c r="D49"/>
      <c r="E49"/>
      <c r="F49" s="2431" t="s">
        <v>3477</v>
      </c>
      <c r="G49" s="543"/>
      <c r="H49" s="2455">
        <f t="shared" ref="H49:H50" si="1">ROUNDDOWN(I49,2)</f>
        <v>0.16</v>
      </c>
      <c r="I49" s="2562">
        <f>J49+2*K49+3*M49+L49+N49</f>
        <v>0.16666666666666669</v>
      </c>
      <c r="J49" s="2562">
        <f>J53/$I53</f>
        <v>6.6666666666666666E-2</v>
      </c>
      <c r="K49" s="2562">
        <f t="shared" ref="K49" si="2">K53/$I53</f>
        <v>0</v>
      </c>
      <c r="L49" s="2562">
        <f>L53/$I53</f>
        <v>0</v>
      </c>
      <c r="M49" s="2562">
        <f>M53/$I53</f>
        <v>0</v>
      </c>
      <c r="N49" s="2562">
        <f>(N53+O53)/$I53</f>
        <v>0.1</v>
      </c>
      <c r="O49"/>
    </row>
    <row r="50" spans="2:18">
      <c r="D50"/>
      <c r="E50"/>
      <c r="F50" s="2431" t="s">
        <v>3478</v>
      </c>
      <c r="G50" s="543"/>
      <c r="H50" s="2455">
        <f t="shared" si="1"/>
        <v>0</v>
      </c>
      <c r="I50" s="2562">
        <f>J50+2*K50+3*M50+L50+N50</f>
        <v>6.6E-3</v>
      </c>
      <c r="J50" s="2562">
        <f>採点Q3!J108</f>
        <v>5.9999999999999995E-4</v>
      </c>
      <c r="K50" s="2562"/>
      <c r="L50" s="2562">
        <f>採点Q3!L108</f>
        <v>6.0000000000000001E-3</v>
      </c>
      <c r="M50" s="2562"/>
      <c r="N50" s="2562">
        <f>(N54+O54)/$I54</f>
        <v>0</v>
      </c>
      <c r="O50"/>
    </row>
    <row r="51" spans="2:18">
      <c r="D51"/>
      <c r="E51"/>
      <c r="F51" s="2431"/>
      <c r="G51"/>
      <c r="H51" s="2459"/>
      <c r="I51" s="2692" t="s">
        <v>3467</v>
      </c>
      <c r="J51" s="2692" t="s">
        <v>3468</v>
      </c>
      <c r="K51" s="2692" t="s">
        <v>3472</v>
      </c>
      <c r="L51" s="2692" t="s">
        <v>3470</v>
      </c>
      <c r="M51" s="2692" t="s">
        <v>3469</v>
      </c>
      <c r="N51" s="2692" t="s">
        <v>3471</v>
      </c>
      <c r="O51" s="2692" t="s">
        <v>3582</v>
      </c>
    </row>
    <row r="52" spans="2:18">
      <c r="D52"/>
      <c r="E52"/>
      <c r="F52" s="2431"/>
      <c r="G52" s="2431" t="s">
        <v>3480</v>
      </c>
      <c r="H52" s="2459" t="s">
        <v>3464</v>
      </c>
      <c r="I52" s="3063">
        <f>メイン!C17</f>
        <v>5000</v>
      </c>
      <c r="J52" s="3063">
        <f>採点Q3!J110</f>
        <v>200</v>
      </c>
      <c r="K52" s="3063">
        <f>採点Q3!K110</f>
        <v>0</v>
      </c>
      <c r="L52" s="2703"/>
      <c r="M52" s="3063">
        <f>採点Q3!M110</f>
        <v>300</v>
      </c>
      <c r="N52" s="2703">
        <v>200</v>
      </c>
      <c r="O52" s="2703"/>
    </row>
    <row r="53" spans="2:18">
      <c r="D53"/>
      <c r="E53"/>
      <c r="F53" s="543"/>
      <c r="G53" s="543"/>
      <c r="H53" s="2459" t="s">
        <v>3465</v>
      </c>
      <c r="I53" s="2703">
        <v>3000</v>
      </c>
      <c r="J53" s="2703">
        <f>採点Q3!O21</f>
        <v>200</v>
      </c>
      <c r="K53" s="2703"/>
      <c r="L53" s="2703"/>
      <c r="M53" s="2703"/>
      <c r="N53" s="2703"/>
      <c r="O53" s="2703">
        <v>300</v>
      </c>
    </row>
    <row r="54" spans="2:18">
      <c r="D54"/>
      <c r="E54"/>
      <c r="F54" s="543"/>
      <c r="G54" s="543"/>
      <c r="H54" s="2459" t="s">
        <v>3559</v>
      </c>
      <c r="I54" s="3063">
        <f>採点Q3!I112</f>
        <v>50000</v>
      </c>
      <c r="J54" s="3063">
        <f>採点Q3!J112</f>
        <v>30</v>
      </c>
      <c r="K54" s="3063"/>
      <c r="L54" s="3063">
        <f>採点Q3!L112</f>
        <v>300</v>
      </c>
      <c r="M54" s="3063"/>
      <c r="N54" s="3063"/>
      <c r="O54" s="3063"/>
    </row>
    <row r="55" spans="2:18">
      <c r="D55"/>
      <c r="E55"/>
      <c r="F55" s="543"/>
      <c r="G55" s="543"/>
      <c r="H55" s="2459" t="s">
        <v>386</v>
      </c>
      <c r="I55" s="3064"/>
      <c r="J55" s="3063">
        <f>SUM(J52:J54)</f>
        <v>430</v>
      </c>
      <c r="K55" s="3063">
        <f t="shared" ref="K55:O55" si="3">SUM(K52:K54)</f>
        <v>0</v>
      </c>
      <c r="L55" s="3063">
        <f t="shared" si="3"/>
        <v>300</v>
      </c>
      <c r="M55" s="3063">
        <f t="shared" si="3"/>
        <v>300</v>
      </c>
      <c r="N55" s="3063">
        <f>SUM(N52:N54)</f>
        <v>200</v>
      </c>
      <c r="O55" s="3063">
        <f t="shared" si="3"/>
        <v>300</v>
      </c>
    </row>
    <row r="56" spans="2:18">
      <c r="D56" s="543"/>
      <c r="E56" s="543"/>
      <c r="F56" s="550" t="s">
        <v>2263</v>
      </c>
      <c r="G56" s="550"/>
      <c r="H56" s="543"/>
      <c r="I56" s="1294"/>
      <c r="J56" s="1294"/>
      <c r="K56" s="1282"/>
      <c r="L56"/>
      <c r="M56"/>
      <c r="N56"/>
      <c r="O56"/>
    </row>
    <row r="57" spans="2:18" ht="16.5" thickBot="1">
      <c r="B57" t="s">
        <v>3493</v>
      </c>
      <c r="D57" s="546"/>
      <c r="E57" s="433"/>
      <c r="F57" s="543"/>
      <c r="G57" s="2442">
        <f>IF(G78&gt;=B43,5,IF(G78&gt;=B42,4,IF(G78&gt;=B41,3,IF(G78&gt;=B40,2,1))))</f>
        <v>3</v>
      </c>
      <c r="H57" s="3306" t="s">
        <v>2106</v>
      </c>
      <c r="I57" s="3307"/>
      <c r="J57" s="3308"/>
      <c r="K57" s="3510" t="s">
        <v>881</v>
      </c>
      <c r="L57" s="3511"/>
      <c r="M57" s="3511"/>
      <c r="N57" s="3512"/>
      <c r="O57" s="692" t="s">
        <v>2107</v>
      </c>
      <c r="P57" s="44"/>
      <c r="Q57" s="44"/>
      <c r="R57" s="44"/>
    </row>
    <row r="58" spans="2:18" ht="42" customHeight="1">
      <c r="B58">
        <v>2</v>
      </c>
      <c r="D58" s="546"/>
      <c r="E58" s="433"/>
      <c r="F58" s="2409" t="s">
        <v>3070</v>
      </c>
      <c r="G58" s="3292">
        <v>1</v>
      </c>
      <c r="H58" s="3524" t="s">
        <v>2899</v>
      </c>
      <c r="I58" s="3518" t="s">
        <v>1855</v>
      </c>
      <c r="J58" s="3519"/>
      <c r="K58" s="3515" t="s">
        <v>3361</v>
      </c>
      <c r="L58" s="3516"/>
      <c r="M58" s="3516"/>
      <c r="N58" s="3517"/>
      <c r="O58" s="3513" t="s">
        <v>185</v>
      </c>
      <c r="P58" s="44"/>
      <c r="Q58" s="44"/>
      <c r="R58" s="44"/>
    </row>
    <row r="59" spans="2:18" ht="42" customHeight="1">
      <c r="B59" s="713" t="s">
        <v>1856</v>
      </c>
      <c r="D59" s="546"/>
      <c r="E59" s="433"/>
      <c r="G59" s="3286"/>
      <c r="H59" s="3525"/>
      <c r="I59" s="3520"/>
      <c r="J59" s="3521"/>
      <c r="K59" s="3526" t="s">
        <v>3362</v>
      </c>
      <c r="L59" s="3353"/>
      <c r="M59" s="3353"/>
      <c r="N59" s="3354"/>
      <c r="O59" s="3514"/>
      <c r="P59" s="44"/>
      <c r="Q59" s="44"/>
      <c r="R59" s="44"/>
    </row>
    <row r="60" spans="2:18" ht="30.75" customHeight="1">
      <c r="B60">
        <v>2</v>
      </c>
      <c r="D60" s="546"/>
      <c r="E60" s="433"/>
      <c r="F60" s="2409" t="s">
        <v>3400</v>
      </c>
      <c r="G60" s="3284"/>
      <c r="H60" s="3529" t="s">
        <v>2900</v>
      </c>
      <c r="I60" s="3505" t="s">
        <v>692</v>
      </c>
      <c r="J60" s="3507"/>
      <c r="K60" s="3505" t="s">
        <v>693</v>
      </c>
      <c r="L60" s="3506"/>
      <c r="M60" s="3506"/>
      <c r="N60" s="3507"/>
      <c r="O60" s="3503" t="s">
        <v>2108</v>
      </c>
      <c r="P60" s="44"/>
      <c r="Q60" s="44"/>
      <c r="R60" s="44"/>
    </row>
    <row r="61" spans="2:18" ht="50.25" customHeight="1">
      <c r="D61" s="546"/>
      <c r="E61" s="433"/>
      <c r="G61" s="3527"/>
      <c r="H61" s="3530"/>
      <c r="I61" s="3522"/>
      <c r="J61" s="3523"/>
      <c r="K61" s="3531" t="s">
        <v>3502</v>
      </c>
      <c r="L61" s="3481"/>
      <c r="M61" s="3481"/>
      <c r="N61" s="3532"/>
      <c r="O61" s="3536"/>
      <c r="P61" s="44"/>
      <c r="Q61" s="44"/>
      <c r="R61" s="44"/>
    </row>
    <row r="62" spans="2:18" ht="27" customHeight="1">
      <c r="B62">
        <v>3</v>
      </c>
      <c r="D62" s="546"/>
      <c r="E62" s="433"/>
      <c r="F62" s="2409" t="s">
        <v>3072</v>
      </c>
      <c r="G62" s="3284">
        <v>2</v>
      </c>
      <c r="H62" s="3530"/>
      <c r="I62" s="3522"/>
      <c r="J62" s="3523"/>
      <c r="K62" s="3505" t="s">
        <v>694</v>
      </c>
      <c r="L62" s="3506"/>
      <c r="M62" s="3506"/>
      <c r="N62" s="3507"/>
      <c r="O62" s="3503" t="s">
        <v>184</v>
      </c>
      <c r="P62" s="44"/>
      <c r="Q62" s="44"/>
      <c r="R62" s="44"/>
    </row>
    <row r="63" spans="2:18" ht="55.5" customHeight="1">
      <c r="D63" s="546"/>
      <c r="E63" s="433"/>
      <c r="G63" s="3286"/>
      <c r="H63" s="3530"/>
      <c r="I63" s="3522"/>
      <c r="J63" s="3523"/>
      <c r="K63" s="3531" t="s">
        <v>3503</v>
      </c>
      <c r="L63" s="3538"/>
      <c r="M63" s="3538"/>
      <c r="N63" s="2456" t="str">
        <f>F45&amp;"＝"&amp;H45*100&amp;"%"</f>
        <v>　見付面積比＝44%</v>
      </c>
      <c r="O63" s="3514"/>
      <c r="P63" s="44"/>
      <c r="Q63" s="44"/>
      <c r="R63" s="44"/>
    </row>
    <row r="64" spans="2:18" ht="24.75" customHeight="1">
      <c r="B64">
        <v>3</v>
      </c>
      <c r="D64" s="546"/>
      <c r="E64" s="433"/>
      <c r="F64" s="2409" t="s">
        <v>3073</v>
      </c>
      <c r="G64" s="3284">
        <v>2</v>
      </c>
      <c r="H64" s="3530"/>
      <c r="I64" s="3522"/>
      <c r="J64" s="3523"/>
      <c r="K64" s="3505" t="s">
        <v>695</v>
      </c>
      <c r="L64" s="3506"/>
      <c r="M64" s="3506"/>
      <c r="N64" s="3507"/>
      <c r="O64" s="3503" t="s">
        <v>184</v>
      </c>
      <c r="P64" s="44"/>
      <c r="Q64" s="44"/>
      <c r="R64" s="44"/>
    </row>
    <row r="65" spans="2:18" ht="48.75" customHeight="1">
      <c r="D65" s="546"/>
      <c r="E65" s="433"/>
      <c r="G65" s="3286"/>
      <c r="H65" s="3530"/>
      <c r="I65" s="3520"/>
      <c r="J65" s="3521"/>
      <c r="K65" s="3531" t="s">
        <v>3504</v>
      </c>
      <c r="L65" s="3538"/>
      <c r="M65" s="3538"/>
      <c r="N65" s="2456" t="str">
        <f>"Rw＝"&amp;H46</f>
        <v>Rw＝0.4</v>
      </c>
      <c r="O65" s="3537"/>
      <c r="P65" s="44"/>
      <c r="Q65" s="44"/>
      <c r="R65" s="44"/>
    </row>
    <row r="66" spans="2:18" ht="15.75" customHeight="1">
      <c r="B66">
        <v>3</v>
      </c>
      <c r="D66" s="546"/>
      <c r="E66" s="433"/>
      <c r="F66" s="2409" t="s">
        <v>3074</v>
      </c>
      <c r="G66" s="3284">
        <v>1</v>
      </c>
      <c r="H66" s="3530"/>
      <c r="I66" s="3505" t="s">
        <v>696</v>
      </c>
      <c r="J66" s="3507"/>
      <c r="K66" s="2451" t="s">
        <v>697</v>
      </c>
      <c r="L66" s="2452"/>
      <c r="M66" s="2452"/>
      <c r="N66" s="2453"/>
      <c r="O66" s="3503" t="s">
        <v>184</v>
      </c>
      <c r="P66" s="44"/>
      <c r="Q66" s="44"/>
      <c r="R66" s="44"/>
    </row>
    <row r="67" spans="2:18" ht="55.5" customHeight="1">
      <c r="D67" s="546"/>
      <c r="E67" s="433"/>
      <c r="G67" s="3286"/>
      <c r="H67" s="3530"/>
      <c r="I67" s="3520"/>
      <c r="J67" s="3521"/>
      <c r="K67" s="3531" t="s">
        <v>3505</v>
      </c>
      <c r="L67" s="3538"/>
      <c r="M67" s="3538"/>
      <c r="N67" s="2456" t="str">
        <f>$I$47&amp;"＝"&amp;H48*100&amp;"%"</f>
        <v>対策面積率＝26%</v>
      </c>
      <c r="O67" s="3528"/>
      <c r="P67" s="44"/>
      <c r="Q67" s="44"/>
      <c r="R67" s="44"/>
    </row>
    <row r="68" spans="2:18" ht="15.75" customHeight="1">
      <c r="B68">
        <v>3</v>
      </c>
      <c r="D68" s="546"/>
      <c r="E68" s="433"/>
      <c r="F68" s="2409" t="s">
        <v>3443</v>
      </c>
      <c r="G68" s="3284"/>
      <c r="H68" s="3530"/>
      <c r="I68" s="3505" t="s">
        <v>698</v>
      </c>
      <c r="J68" s="3507"/>
      <c r="K68" s="2451" t="s">
        <v>699</v>
      </c>
      <c r="L68" s="2452"/>
      <c r="M68" s="2452"/>
      <c r="N68" s="2453"/>
      <c r="O68" s="3503" t="s">
        <v>184</v>
      </c>
      <c r="P68" s="44"/>
      <c r="Q68" s="44"/>
      <c r="R68" s="44"/>
    </row>
    <row r="69" spans="2:18" ht="55.5" customHeight="1">
      <c r="D69" s="546"/>
      <c r="E69" s="433"/>
      <c r="F69" s="2409"/>
      <c r="G69" s="3286"/>
      <c r="H69" s="3530"/>
      <c r="I69" s="3522"/>
      <c r="J69" s="3523"/>
      <c r="K69" s="3531" t="s">
        <v>3506</v>
      </c>
      <c r="L69" s="3538"/>
      <c r="M69" s="3538"/>
      <c r="N69" s="2456" t="str">
        <f>$I$47&amp;"＝"&amp;H49*100&amp;"%"</f>
        <v>対策面積率＝16%</v>
      </c>
      <c r="O69" s="3514"/>
      <c r="P69" s="44"/>
      <c r="Q69" s="44"/>
      <c r="R69" s="44"/>
    </row>
    <row r="70" spans="2:18" ht="15.75" customHeight="1">
      <c r="B70">
        <v>3</v>
      </c>
      <c r="D70" s="546"/>
      <c r="E70" s="433"/>
      <c r="F70" s="2409" t="s">
        <v>3444</v>
      </c>
      <c r="G70" s="3284"/>
      <c r="H70" s="3530"/>
      <c r="I70" s="3522"/>
      <c r="J70" s="3523"/>
      <c r="K70" s="2451" t="s">
        <v>700</v>
      </c>
      <c r="L70" s="2454"/>
      <c r="M70" s="2454"/>
      <c r="N70" s="2453"/>
      <c r="O70" s="3503" t="s">
        <v>184</v>
      </c>
      <c r="P70" s="44"/>
      <c r="Q70" s="44"/>
      <c r="R70" s="44"/>
    </row>
    <row r="71" spans="2:18" ht="48.75" customHeight="1">
      <c r="D71" s="546"/>
      <c r="E71" s="433"/>
      <c r="F71" s="2409"/>
      <c r="G71" s="3286"/>
      <c r="H71" s="3530"/>
      <c r="I71" s="3520"/>
      <c r="J71" s="3521"/>
      <c r="K71" s="3531" t="s">
        <v>3507</v>
      </c>
      <c r="L71" s="3538"/>
      <c r="M71" s="3538"/>
      <c r="N71" s="2456" t="str">
        <f>$I$47&amp;"＝"&amp;H50*100&amp;"%"</f>
        <v>対策面積率＝0%</v>
      </c>
      <c r="O71" s="3514"/>
      <c r="P71" s="44"/>
      <c r="Q71" s="44"/>
      <c r="R71" s="44"/>
    </row>
    <row r="72" spans="2:18" ht="30.75" customHeight="1">
      <c r="B72">
        <v>3</v>
      </c>
      <c r="D72" s="546"/>
      <c r="E72" s="433"/>
      <c r="F72" s="2409" t="s">
        <v>3445</v>
      </c>
      <c r="G72" s="3284">
        <v>1</v>
      </c>
      <c r="H72" s="3530"/>
      <c r="I72" s="3505" t="s">
        <v>701</v>
      </c>
      <c r="J72" s="3507"/>
      <c r="K72" s="3505" t="s">
        <v>702</v>
      </c>
      <c r="L72" s="3506"/>
      <c r="M72" s="3506"/>
      <c r="N72" s="3507"/>
      <c r="O72" s="3503" t="s">
        <v>184</v>
      </c>
      <c r="P72" s="44"/>
      <c r="Q72" s="44"/>
      <c r="R72" s="44"/>
    </row>
    <row r="73" spans="2:18" ht="48" customHeight="1">
      <c r="D73" s="546"/>
      <c r="E73" s="433"/>
      <c r="F73" s="2409"/>
      <c r="G73" s="3286"/>
      <c r="H73" s="3530"/>
      <c r="I73" s="3522"/>
      <c r="J73" s="3523"/>
      <c r="K73" s="3531" t="s">
        <v>3508</v>
      </c>
      <c r="L73" s="3481"/>
      <c r="M73" s="3481"/>
      <c r="N73" s="3532"/>
      <c r="O73" s="3528"/>
      <c r="P73" s="44"/>
      <c r="Q73" s="44"/>
      <c r="R73" s="44"/>
    </row>
    <row r="74" spans="2:18" ht="27" customHeight="1">
      <c r="B74">
        <v>3</v>
      </c>
      <c r="D74" s="546"/>
      <c r="E74" s="433"/>
      <c r="F74" s="2409" t="s">
        <v>3446</v>
      </c>
      <c r="G74" s="3284">
        <v>1</v>
      </c>
      <c r="H74" s="3530"/>
      <c r="I74" s="3522"/>
      <c r="J74" s="3523"/>
      <c r="K74" s="3505" t="s">
        <v>703</v>
      </c>
      <c r="L74" s="3506"/>
      <c r="M74" s="3506"/>
      <c r="N74" s="3507"/>
      <c r="O74" s="3503" t="s">
        <v>184</v>
      </c>
      <c r="P74" s="44"/>
      <c r="Q74" s="44"/>
      <c r="R74" s="44"/>
    </row>
    <row r="75" spans="2:18" ht="48" customHeight="1">
      <c r="D75" s="546"/>
      <c r="E75" s="433"/>
      <c r="F75" s="2409"/>
      <c r="G75" s="3286"/>
      <c r="H75" s="3525"/>
      <c r="I75" s="3520"/>
      <c r="J75" s="3521"/>
      <c r="K75" s="3531" t="s">
        <v>3509</v>
      </c>
      <c r="L75" s="3481"/>
      <c r="M75" s="3481"/>
      <c r="N75" s="3532"/>
      <c r="O75" s="3514"/>
      <c r="P75" s="44"/>
      <c r="Q75" s="44"/>
      <c r="R75" s="44"/>
    </row>
    <row r="76" spans="2:18" ht="32.25" customHeight="1">
      <c r="B76">
        <v>2</v>
      </c>
      <c r="D76" s="546"/>
      <c r="E76" s="433"/>
      <c r="F76" s="2409" t="s">
        <v>3447</v>
      </c>
      <c r="G76" s="3284">
        <v>1</v>
      </c>
      <c r="H76" s="3529" t="s">
        <v>2901</v>
      </c>
      <c r="I76" s="3505" t="s">
        <v>704</v>
      </c>
      <c r="J76" s="3507"/>
      <c r="K76" s="3505" t="s">
        <v>3050</v>
      </c>
      <c r="L76" s="3506"/>
      <c r="M76" s="3506"/>
      <c r="N76" s="3507"/>
      <c r="O76" s="3503" t="s">
        <v>185</v>
      </c>
      <c r="P76" s="44"/>
      <c r="Q76" s="44"/>
      <c r="R76" s="44"/>
    </row>
    <row r="77" spans="2:18" ht="45" customHeight="1" thickBot="1">
      <c r="D77" s="546"/>
      <c r="E77" s="433"/>
      <c r="F77" s="2409"/>
      <c r="G77" s="3285"/>
      <c r="H77" s="3533"/>
      <c r="I77" s="3534"/>
      <c r="J77" s="3535"/>
      <c r="K77" s="3526" t="s">
        <v>3051</v>
      </c>
      <c r="L77" s="3353"/>
      <c r="M77" s="3353"/>
      <c r="N77" s="3354"/>
      <c r="O77" s="3504"/>
      <c r="P77" s="44"/>
      <c r="Q77" s="44"/>
      <c r="R77" s="44"/>
    </row>
    <row r="78" spans="2:18" ht="21" customHeight="1">
      <c r="D78" s="546"/>
      <c r="E78" s="433"/>
      <c r="F78" s="2409" t="s">
        <v>3431</v>
      </c>
      <c r="G78" s="2440">
        <f>SUM(G58:G77)</f>
        <v>9</v>
      </c>
      <c r="H78" s="1529" t="s">
        <v>1353</v>
      </c>
      <c r="I78" s="756"/>
      <c r="J78" s="2439"/>
      <c r="K78" s="2441"/>
      <c r="L78" s="2439"/>
      <c r="M78" s="2441"/>
      <c r="N78" s="2435"/>
      <c r="O78" s="2688">
        <f>SUM(B58:B77)</f>
        <v>27</v>
      </c>
      <c r="P78" s="44"/>
      <c r="Q78" s="44"/>
      <c r="R78" s="44"/>
    </row>
    <row r="79" spans="2:18" ht="15" customHeight="1">
      <c r="D79" s="546"/>
      <c r="E79" s="546"/>
      <c r="F79" s="546"/>
      <c r="G79" s="896"/>
      <c r="H79"/>
      <c r="I79"/>
      <c r="J79"/>
      <c r="K79"/>
      <c r="L79"/>
      <c r="M79"/>
      <c r="N79"/>
      <c r="O79"/>
    </row>
    <row r="80" spans="2:18" ht="14.25" customHeight="1">
      <c r="D80" s="894">
        <v>2.2999999999999998</v>
      </c>
      <c r="E80" s="551" t="s">
        <v>555</v>
      </c>
      <c r="F80" s="552"/>
      <c r="G80" s="433"/>
      <c r="H80"/>
      <c r="I80"/>
      <c r="J80"/>
      <c r="K80"/>
      <c r="L80"/>
      <c r="M80"/>
      <c r="N80"/>
      <c r="O80"/>
    </row>
    <row r="81" spans="2:15" ht="14.25" customHeight="1">
      <c r="D81" s="894"/>
      <c r="E81" s="551"/>
      <c r="F81" s="273" t="s">
        <v>1006</v>
      </c>
      <c r="G81" s="433"/>
      <c r="H81"/>
      <c r="I81"/>
      <c r="J81" t="str">
        <f>IF(OR(F83=0,J82=0),$L$3,"")</f>
        <v/>
      </c>
      <c r="K81"/>
      <c r="L81"/>
      <c r="M81"/>
      <c r="N81"/>
      <c r="O81"/>
    </row>
    <row r="82" spans="2:15" ht="18" customHeight="1" thickBot="1">
      <c r="D82" s="894"/>
      <c r="E82" s="795"/>
      <c r="F82" s="673"/>
      <c r="G82" s="559"/>
      <c r="H82" s="560" t="s">
        <v>1141</v>
      </c>
      <c r="I82" s="561"/>
      <c r="J82" s="562">
        <f>重み!M178</f>
        <v>0.25</v>
      </c>
      <c r="K82" s="674"/>
      <c r="L82" s="674"/>
      <c r="M82" s="674"/>
      <c r="N82" s="674"/>
      <c r="O82" s="571"/>
    </row>
    <row r="83" spans="2:15" ht="27" customHeight="1" thickBot="1">
      <c r="F83" s="565">
        <v>3</v>
      </c>
      <c r="G83" s="569" t="s">
        <v>2908</v>
      </c>
      <c r="H83" s="570"/>
      <c r="I83" s="570"/>
      <c r="J83" s="570"/>
      <c r="K83" s="570"/>
      <c r="L83" s="661" t="s">
        <v>2907</v>
      </c>
      <c r="M83" s="570"/>
      <c r="N83" s="570"/>
      <c r="O83" s="571"/>
    </row>
    <row r="84" spans="2:15" ht="21" customHeight="1">
      <c r="B84" s="870" t="s">
        <v>1229</v>
      </c>
      <c r="F84" s="577" t="str">
        <f>IF(F83=$F$7,$G$2,IF(ROUNDDOWN(F83,0)=$F$2,$H$2,$G$2))</f>
        <v>　レベル　1</v>
      </c>
      <c r="G84" s="574" t="s">
        <v>1818</v>
      </c>
      <c r="H84" s="575"/>
      <c r="I84" s="575"/>
      <c r="J84" s="575"/>
      <c r="K84" s="575"/>
      <c r="L84" s="575"/>
      <c r="M84" s="575"/>
      <c r="N84" s="575"/>
      <c r="O84" s="576"/>
    </row>
    <row r="85" spans="2:15" ht="21" customHeight="1">
      <c r="B85" s="1" t="s">
        <v>1229</v>
      </c>
      <c r="F85" s="577" t="str">
        <f>IF(F83=$F$7,$G$3,IF(ROUNDDOWN(F83,0)=$F$3,$H$3,$G$3))</f>
        <v>　レベル　2</v>
      </c>
      <c r="G85" s="880" t="s">
        <v>1818</v>
      </c>
      <c r="H85" s="1292"/>
      <c r="I85" s="1292"/>
      <c r="J85" s="1292"/>
      <c r="K85" s="1292"/>
      <c r="L85" s="1292"/>
      <c r="M85" s="1292"/>
      <c r="N85" s="581"/>
      <c r="O85" s="582"/>
    </row>
    <row r="86" spans="2:15" ht="21" customHeight="1">
      <c r="B86" s="1">
        <v>3</v>
      </c>
      <c r="F86" s="577" t="str">
        <f>IF(F83=$F$7,$G$4,IF(ROUNDDOWN(F83,0)=$F$4,$H$4,$G$4))</f>
        <v>■レベル　3</v>
      </c>
      <c r="G86" s="880" t="s">
        <v>2902</v>
      </c>
      <c r="H86" s="1292"/>
      <c r="I86" s="1292"/>
      <c r="J86" s="1292"/>
      <c r="K86" s="1292"/>
      <c r="L86" s="880" t="s">
        <v>2905</v>
      </c>
      <c r="M86" s="1292"/>
      <c r="N86" s="581"/>
      <c r="O86" s="582"/>
    </row>
    <row r="87" spans="2:15" ht="24.75" customHeight="1">
      <c r="B87" s="1">
        <v>4</v>
      </c>
      <c r="F87" s="577" t="str">
        <f>IF(F83=$F$7,$G$5,IF(ROUNDDOWN(F83,0)=$F$5,$H$5,$G$5))</f>
        <v>　レベル　4</v>
      </c>
      <c r="G87" s="3450" t="s">
        <v>2903</v>
      </c>
      <c r="H87" s="3451"/>
      <c r="I87" s="3451"/>
      <c r="J87" s="3451"/>
      <c r="K87" s="3452"/>
      <c r="L87" s="3450" t="s">
        <v>2904</v>
      </c>
      <c r="M87" s="3451"/>
      <c r="N87" s="3451"/>
      <c r="O87" s="3452"/>
    </row>
    <row r="88" spans="2:15" ht="21" customHeight="1">
      <c r="B88" s="1">
        <v>5</v>
      </c>
      <c r="F88" s="587" t="str">
        <f>IF(F83=$F$7,$G$6,IF(ROUNDDOWN(F83,0)=$F$6,$H$6,$G$6))</f>
        <v>　レベル　5</v>
      </c>
      <c r="G88" s="881" t="s">
        <v>2906</v>
      </c>
      <c r="H88" s="1293"/>
      <c r="I88" s="1293"/>
      <c r="J88" s="1293"/>
      <c r="K88" s="1293"/>
      <c r="L88" s="1293"/>
      <c r="M88" s="1293"/>
      <c r="N88" s="592"/>
      <c r="O88" s="593"/>
    </row>
    <row r="89" spans="2:15">
      <c r="B89" s="594">
        <v>0</v>
      </c>
      <c r="F89" s="887" t="s">
        <v>3402</v>
      </c>
      <c r="G89" s="2423"/>
      <c r="H89" s="2396"/>
      <c r="I89" s="2396"/>
      <c r="J89" s="2397"/>
      <c r="K89" s="2576"/>
      <c r="L89"/>
      <c r="M89"/>
      <c r="N89"/>
      <c r="O89"/>
    </row>
    <row r="90" spans="2:15">
      <c r="B90" s="918"/>
      <c r="H90"/>
      <c r="I90"/>
      <c r="J90"/>
      <c r="K90"/>
      <c r="L90"/>
      <c r="M90"/>
      <c r="N90"/>
      <c r="O90"/>
    </row>
    <row r="91" spans="2:15" ht="16.5" customHeight="1">
      <c r="F91" s="273" t="s">
        <v>1007</v>
      </c>
      <c r="H91"/>
      <c r="I91"/>
      <c r="J91" t="str">
        <f>IF(OR(F93=0,J92=0),$L$3,"")</f>
        <v/>
      </c>
      <c r="K91"/>
      <c r="L91"/>
      <c r="M91"/>
      <c r="N91"/>
      <c r="O91"/>
    </row>
    <row r="92" spans="2:15" ht="19.5" customHeight="1" thickBot="1">
      <c r="D92" s="894"/>
      <c r="E92" s="433"/>
      <c r="F92" s="673"/>
      <c r="G92" s="559"/>
      <c r="H92" s="560" t="s">
        <v>1141</v>
      </c>
      <c r="I92" s="561"/>
      <c r="J92" s="562">
        <f>重み!M179</f>
        <v>0.25</v>
      </c>
      <c r="K92" s="674"/>
      <c r="L92" s="674"/>
      <c r="M92" s="674"/>
      <c r="N92" s="674"/>
      <c r="O92" s="571"/>
    </row>
    <row r="93" spans="2:15" ht="27" customHeight="1" thickBot="1">
      <c r="F93" s="565">
        <v>3</v>
      </c>
      <c r="G93" s="569" t="s">
        <v>1847</v>
      </c>
      <c r="H93" s="570"/>
      <c r="I93" s="570"/>
      <c r="J93" s="570"/>
      <c r="K93" s="570"/>
      <c r="L93" s="771"/>
      <c r="M93" s="570"/>
      <c r="N93" s="570"/>
      <c r="O93" s="571"/>
    </row>
    <row r="94" spans="2:15" ht="21" customHeight="1">
      <c r="B94" s="870" t="s">
        <v>1229</v>
      </c>
      <c r="F94" s="577" t="str">
        <f>IF(F93=$F$7,$G$2,IF(ROUNDDOWN(F93,0)=$F$2,$H$2,$G$2))</f>
        <v>　レベル　1</v>
      </c>
      <c r="G94" s="574" t="s">
        <v>1818</v>
      </c>
      <c r="H94" s="575"/>
      <c r="I94" s="575"/>
      <c r="J94" s="575"/>
      <c r="K94" s="575"/>
      <c r="L94" s="575"/>
      <c r="M94" s="575"/>
      <c r="N94" s="575"/>
      <c r="O94" s="576"/>
    </row>
    <row r="95" spans="2:15" ht="21" customHeight="1">
      <c r="B95" s="1" t="s">
        <v>1229</v>
      </c>
      <c r="F95" s="577" t="str">
        <f>IF(F93=$F$7,$G$3,IF(ROUNDDOWN(F93,0)=$F$3,$H$3,$G$3))</f>
        <v>　レベル　2</v>
      </c>
      <c r="G95" s="880" t="s">
        <v>1818</v>
      </c>
      <c r="H95" s="1292"/>
      <c r="I95" s="1292"/>
      <c r="J95" s="1292"/>
      <c r="K95" s="1292"/>
      <c r="L95" s="1292"/>
      <c r="M95" s="1292"/>
      <c r="N95" s="581"/>
      <c r="O95" s="582"/>
    </row>
    <row r="96" spans="2:15" ht="21" customHeight="1">
      <c r="B96" s="1">
        <v>3</v>
      </c>
      <c r="F96" s="577" t="str">
        <f>IF(F93=$F$7,$G$4,IF(ROUNDDOWN(F93,0)=$F$4,$H$4,$G$4))</f>
        <v>■レベル　3</v>
      </c>
      <c r="G96" s="880" t="s">
        <v>705</v>
      </c>
      <c r="H96" s="1292"/>
      <c r="I96" s="1292"/>
      <c r="J96" s="1292"/>
      <c r="K96" s="1292"/>
      <c r="L96" s="1292"/>
      <c r="M96" s="1292"/>
      <c r="N96" s="581"/>
      <c r="O96" s="582"/>
    </row>
    <row r="97" spans="2:15" ht="21" customHeight="1">
      <c r="B97" s="1">
        <v>4</v>
      </c>
      <c r="F97" s="577" t="str">
        <f>IF(F93=$F$7,$G$5,IF(ROUNDDOWN(F93,0)=$F$5,$H$5,$G$5))</f>
        <v>　レベル　4</v>
      </c>
      <c r="G97" s="880" t="s">
        <v>1008</v>
      </c>
      <c r="H97" s="1292"/>
      <c r="I97" s="1292"/>
      <c r="J97" s="1292"/>
      <c r="K97" s="1292"/>
      <c r="L97" s="1292"/>
      <c r="M97" s="1292"/>
      <c r="N97" s="581"/>
      <c r="O97" s="582"/>
    </row>
    <row r="98" spans="2:15" ht="21" customHeight="1">
      <c r="B98" s="1" t="s">
        <v>1817</v>
      </c>
      <c r="F98" s="587" t="str">
        <f>IF(F93=$F$7,$G$6,IF(ROUNDDOWN(F93,0)=$F$6,$H$6,$G$6))</f>
        <v>　レベル　5</v>
      </c>
      <c r="G98" s="881" t="s">
        <v>1818</v>
      </c>
      <c r="H98" s="1293"/>
      <c r="I98" s="1293"/>
      <c r="J98" s="1293"/>
      <c r="K98" s="1293"/>
      <c r="L98" s="1293"/>
      <c r="M98" s="1293"/>
      <c r="N98" s="592"/>
      <c r="O98" s="593"/>
    </row>
    <row r="99" spans="2:15" ht="13.5" customHeight="1">
      <c r="B99" s="594">
        <v>0</v>
      </c>
      <c r="F99" s="887" t="s">
        <v>3402</v>
      </c>
      <c r="G99" s="2423"/>
      <c r="H99" s="2396"/>
      <c r="I99" s="2396"/>
      <c r="J99" s="2397"/>
      <c r="K99" s="2576"/>
      <c r="L99"/>
      <c r="M99"/>
      <c r="N99"/>
      <c r="O99"/>
    </row>
    <row r="100" spans="2:15" ht="13.5" customHeight="1">
      <c r="B100" s="918"/>
      <c r="H100"/>
      <c r="I100"/>
      <c r="J100"/>
      <c r="K100"/>
      <c r="L100"/>
      <c r="M100"/>
      <c r="N100"/>
      <c r="O100"/>
    </row>
    <row r="101" spans="2:15" ht="13.5" customHeight="1">
      <c r="F101" s="273" t="s">
        <v>1009</v>
      </c>
      <c r="H101"/>
      <c r="I101"/>
      <c r="J101" t="str">
        <f>IF(OR(F103=0,J102=0),$L$3,"")</f>
        <v/>
      </c>
      <c r="K101"/>
      <c r="L101"/>
      <c r="M101"/>
      <c r="N101"/>
      <c r="O101"/>
    </row>
    <row r="102" spans="2:15" ht="14.25" customHeight="1" thickBot="1">
      <c r="D102" s="894"/>
      <c r="E102" s="433"/>
      <c r="F102" s="673"/>
      <c r="G102" s="559"/>
      <c r="H102" s="560" t="s">
        <v>1141</v>
      </c>
      <c r="I102" s="561"/>
      <c r="J102" s="562">
        <f>重み!M180</f>
        <v>0.25</v>
      </c>
      <c r="K102" s="674"/>
      <c r="L102" s="674"/>
      <c r="M102" s="674"/>
      <c r="N102" s="674"/>
      <c r="O102" s="571"/>
    </row>
    <row r="103" spans="2:15" ht="27" customHeight="1" thickBot="1">
      <c r="B103" t="s">
        <v>3432</v>
      </c>
      <c r="F103" s="1978">
        <f>G111</f>
        <v>4</v>
      </c>
      <c r="G103" s="569" t="s">
        <v>407</v>
      </c>
      <c r="H103" s="570"/>
      <c r="I103" s="570"/>
      <c r="J103" s="570"/>
      <c r="K103" s="570"/>
      <c r="L103" s="771"/>
      <c r="M103" s="570"/>
      <c r="N103" s="570"/>
      <c r="O103" s="571"/>
    </row>
    <row r="104" spans="2:15" ht="21" customHeight="1">
      <c r="B104">
        <v>0</v>
      </c>
      <c r="F104" s="577" t="str">
        <f>IF(F103=$F$7,$G$2,IF(ROUNDDOWN(F103,0)=$F$2,$H$2,$G$2))</f>
        <v>　レベル　1</v>
      </c>
      <c r="G104" s="574" t="s">
        <v>1010</v>
      </c>
      <c r="H104" s="575"/>
      <c r="I104" s="575"/>
      <c r="J104" s="575"/>
      <c r="K104" s="575"/>
      <c r="L104" s="575"/>
      <c r="M104" s="575"/>
      <c r="N104" s="575"/>
      <c r="O104" s="576"/>
    </row>
    <row r="105" spans="2:15" ht="21" customHeight="1">
      <c r="B105">
        <v>1</v>
      </c>
      <c r="F105" s="577" t="str">
        <f>IF(F103=$F$7,$G$3,IF(ROUNDDOWN(F103,0)=$F$3,$H$3,$G$3))</f>
        <v>　レベル　2</v>
      </c>
      <c r="G105" s="880" t="s">
        <v>1366</v>
      </c>
      <c r="H105" s="1292"/>
      <c r="I105" s="1292"/>
      <c r="J105" s="1292"/>
      <c r="K105" s="1292"/>
      <c r="L105" s="1292"/>
      <c r="M105" s="1292"/>
      <c r="N105" s="581"/>
      <c r="O105" s="582"/>
    </row>
    <row r="106" spans="2:15" ht="21" customHeight="1">
      <c r="B106">
        <v>2</v>
      </c>
      <c r="F106" s="577" t="str">
        <f>IF(F103=$F$7,$G$4,IF(ROUNDDOWN(F103,0)=$F$4,$H$4,$G$4))</f>
        <v>　レベル　3</v>
      </c>
      <c r="G106" s="880" t="s">
        <v>1367</v>
      </c>
      <c r="H106" s="1292"/>
      <c r="I106" s="1292"/>
      <c r="J106" s="1292"/>
      <c r="K106" s="1292"/>
      <c r="L106" s="1292"/>
      <c r="M106" s="1292"/>
      <c r="N106" s="581"/>
      <c r="O106" s="582"/>
    </row>
    <row r="107" spans="2:15" ht="21" customHeight="1">
      <c r="B107">
        <v>3</v>
      </c>
      <c r="F107" s="577" t="str">
        <f>IF(F103=$F$7,$G$5,IF(ROUNDDOWN(F103,0)=$F$5,$H$5,$G$5))</f>
        <v>■レベル　4</v>
      </c>
      <c r="G107" s="880" t="s">
        <v>1368</v>
      </c>
      <c r="H107" s="1292"/>
      <c r="I107" s="1292"/>
      <c r="J107" s="1292"/>
      <c r="K107" s="1292"/>
      <c r="L107" s="1292"/>
      <c r="M107" s="1292"/>
      <c r="N107" s="581"/>
      <c r="O107" s="582"/>
    </row>
    <row r="108" spans="2:15" ht="21" customHeight="1">
      <c r="B108">
        <v>4</v>
      </c>
      <c r="F108" s="587" t="str">
        <f>IF(F103=$F$7,$G$6,IF(ROUNDDOWN(F103,0)=$F$6,$H$6,$G$6))</f>
        <v>　レベル　5</v>
      </c>
      <c r="G108" s="881" t="s">
        <v>1369</v>
      </c>
      <c r="H108" s="1293"/>
      <c r="I108" s="1293"/>
      <c r="J108" s="1293"/>
      <c r="K108" s="1293"/>
      <c r="L108" s="1293"/>
      <c r="M108" s="1293"/>
      <c r="N108" s="592"/>
      <c r="O108" s="593"/>
    </row>
    <row r="109" spans="2:15">
      <c r="F109" s="887" t="s">
        <v>3402</v>
      </c>
      <c r="G109" s="2423"/>
      <c r="H109" s="2396"/>
      <c r="I109" s="2396"/>
      <c r="J109" s="2397"/>
      <c r="K109" s="2576" t="s">
        <v>3709</v>
      </c>
      <c r="L109"/>
      <c r="M109"/>
      <c r="N109"/>
      <c r="O109"/>
    </row>
    <row r="110" spans="2:15">
      <c r="F110" s="550" t="s">
        <v>2263</v>
      </c>
      <c r="G110" s="550"/>
      <c r="H110" s="543"/>
      <c r="I110" s="1294"/>
      <c r="J110" s="1294"/>
      <c r="K110" s="1282"/>
      <c r="L110"/>
      <c r="M110"/>
      <c r="N110"/>
      <c r="O110"/>
    </row>
    <row r="111" spans="2:15" ht="16.5" thickBot="1">
      <c r="B111" t="s">
        <v>3433</v>
      </c>
      <c r="F111" s="546"/>
      <c r="G111" s="2442">
        <f>IF(G118&gt;=B108,5,IF(G118&gt;=B107,4,IF(G118&gt;=B106,3,IF(G118&gt;=B105,2,1))))</f>
        <v>4</v>
      </c>
      <c r="H111" s="3306" t="s">
        <v>1453</v>
      </c>
      <c r="I111" s="3307"/>
      <c r="J111" s="3308"/>
      <c r="K111" s="3306" t="s">
        <v>1452</v>
      </c>
      <c r="L111" s="3307"/>
      <c r="M111" s="3307"/>
      <c r="N111" s="3307"/>
      <c r="O111" s="692" t="s">
        <v>1454</v>
      </c>
    </row>
    <row r="112" spans="2:15" ht="41.25" customHeight="1">
      <c r="B112">
        <v>1</v>
      </c>
      <c r="D112" s="894"/>
      <c r="E112" s="543"/>
      <c r="F112" s="2409" t="s">
        <v>3070</v>
      </c>
      <c r="G112" s="2443">
        <v>1</v>
      </c>
      <c r="H112" s="3455" t="s">
        <v>1370</v>
      </c>
      <c r="I112" s="3455"/>
      <c r="J112" s="3456"/>
      <c r="K112" s="3170" t="s">
        <v>1371</v>
      </c>
      <c r="L112" s="3262"/>
      <c r="M112" s="3262"/>
      <c r="N112" s="3262"/>
      <c r="O112" s="1295">
        <v>1</v>
      </c>
    </row>
    <row r="113" spans="2:15" ht="20.25" customHeight="1">
      <c r="B113">
        <v>1</v>
      </c>
      <c r="D113" s="894"/>
      <c r="E113" s="543"/>
      <c r="F113" s="2409" t="s">
        <v>3071</v>
      </c>
      <c r="G113" s="2444">
        <v>1</v>
      </c>
      <c r="H113" s="3454"/>
      <c r="I113" s="3454"/>
      <c r="J113" s="3457"/>
      <c r="K113" s="3175" t="s">
        <v>3537</v>
      </c>
      <c r="L113" s="3406"/>
      <c r="M113" s="3406"/>
      <c r="N113" s="3407"/>
      <c r="O113" s="1296">
        <v>1</v>
      </c>
    </row>
    <row r="114" spans="2:15" ht="30.75" customHeight="1">
      <c r="B114">
        <v>1</v>
      </c>
      <c r="D114" s="894"/>
      <c r="E114" s="543"/>
      <c r="F114" s="2409" t="s">
        <v>3442</v>
      </c>
      <c r="G114" s="2445"/>
      <c r="H114" s="3461" t="s">
        <v>1372</v>
      </c>
      <c r="I114" s="3461"/>
      <c r="J114" s="3462"/>
      <c r="K114" s="3453" t="s">
        <v>1373</v>
      </c>
      <c r="L114" s="3454"/>
      <c r="M114" s="3454"/>
      <c r="N114" s="3454"/>
      <c r="O114" s="1296">
        <v>1</v>
      </c>
    </row>
    <row r="115" spans="2:15" ht="22.5" customHeight="1">
      <c r="B115">
        <v>1</v>
      </c>
      <c r="D115" s="894"/>
      <c r="E115" s="543"/>
      <c r="F115" s="2409" t="s">
        <v>3073</v>
      </c>
      <c r="G115" s="2445">
        <v>1</v>
      </c>
      <c r="H115" s="3454"/>
      <c r="I115" s="3454"/>
      <c r="J115" s="3457"/>
      <c r="K115" s="3175" t="s">
        <v>1374</v>
      </c>
      <c r="L115" s="3406"/>
      <c r="M115" s="3406"/>
      <c r="N115" s="3406"/>
      <c r="O115" s="1296">
        <v>1</v>
      </c>
    </row>
    <row r="116" spans="2:15" ht="33" customHeight="1">
      <c r="B116">
        <v>1</v>
      </c>
      <c r="D116" s="894"/>
      <c r="E116" s="543"/>
      <c r="F116" s="2409" t="s">
        <v>3074</v>
      </c>
      <c r="G116" s="2445"/>
      <c r="H116" s="3454"/>
      <c r="I116" s="3454"/>
      <c r="J116" s="3457"/>
      <c r="K116" s="3175" t="s">
        <v>1375</v>
      </c>
      <c r="L116" s="3406"/>
      <c r="M116" s="3406"/>
      <c r="N116" s="3406"/>
      <c r="O116" s="1296">
        <v>1</v>
      </c>
    </row>
    <row r="117" spans="2:15" ht="21.75" customHeight="1" thickBot="1">
      <c r="B117">
        <v>1</v>
      </c>
      <c r="D117" s="894"/>
      <c r="E117" s="543"/>
      <c r="F117" s="2409" t="s">
        <v>3075</v>
      </c>
      <c r="G117" s="2444"/>
      <c r="H117" s="3454"/>
      <c r="I117" s="3454"/>
      <c r="J117" s="3457"/>
      <c r="K117" s="3453" t="s">
        <v>3536</v>
      </c>
      <c r="L117" s="3454"/>
      <c r="M117" s="3454"/>
      <c r="N117" s="3454"/>
      <c r="O117" s="1296">
        <v>1</v>
      </c>
    </row>
    <row r="118" spans="2:15" ht="21" customHeight="1">
      <c r="D118" s="894"/>
      <c r="E118" s="543"/>
      <c r="F118" s="2409" t="s">
        <v>3431</v>
      </c>
      <c r="G118" s="2440">
        <f>SUM(G112:G117)</f>
        <v>3</v>
      </c>
      <c r="H118" s="1529" t="s">
        <v>1353</v>
      </c>
      <c r="I118" s="756"/>
      <c r="J118" s="2439"/>
      <c r="K118" s="2441"/>
      <c r="L118" s="2439"/>
      <c r="M118" s="2441"/>
      <c r="N118" s="2435"/>
      <c r="O118" s="2688">
        <f>SUM(B112:B117)</f>
        <v>6</v>
      </c>
    </row>
    <row r="119" spans="2:15" ht="14.25">
      <c r="D119" s="894"/>
      <c r="E119" s="543"/>
      <c r="F119" s="543"/>
      <c r="G119" s="543"/>
      <c r="H119"/>
      <c r="I119"/>
      <c r="J119"/>
      <c r="K119"/>
      <c r="L119"/>
      <c r="M119"/>
      <c r="N119"/>
      <c r="O119" s="543"/>
    </row>
    <row r="120" spans="2:15" ht="14.25">
      <c r="D120" s="894"/>
      <c r="E120" s="543"/>
      <c r="F120" s="273" t="s">
        <v>706</v>
      </c>
      <c r="G120" s="543"/>
      <c r="H120"/>
      <c r="I120"/>
      <c r="J120" t="str">
        <f>IF(OR(F122=0,J121=0),$L$3,"")</f>
        <v/>
      </c>
      <c r="K120"/>
      <c r="L120"/>
      <c r="M120"/>
      <c r="N120"/>
      <c r="O120" s="543"/>
    </row>
    <row r="121" spans="2:15" ht="15" thickBot="1">
      <c r="B121" s="898" t="s">
        <v>707</v>
      </c>
      <c r="D121" s="894"/>
      <c r="E121" s="543"/>
      <c r="F121" s="673"/>
      <c r="G121" s="559"/>
      <c r="H121" s="560" t="s">
        <v>1141</v>
      </c>
      <c r="I121" s="561"/>
      <c r="J121" s="562">
        <f>重み!M181</f>
        <v>0.25</v>
      </c>
      <c r="K121" s="674"/>
      <c r="L121" s="674"/>
      <c r="M121" s="674"/>
      <c r="N121" s="674"/>
      <c r="O121" s="571"/>
    </row>
    <row r="122" spans="2:15" ht="27" customHeight="1" thickBot="1">
      <c r="B122" t="s">
        <v>3432</v>
      </c>
      <c r="C122" t="s">
        <v>3432</v>
      </c>
      <c r="F122" s="1978">
        <f>G130</f>
        <v>3</v>
      </c>
      <c r="G122" s="569" t="s">
        <v>3434</v>
      </c>
      <c r="H122" s="570"/>
      <c r="I122" s="570"/>
      <c r="J122" s="2436">
        <f>メイン!C63</f>
        <v>5000</v>
      </c>
      <c r="K122" s="661" t="s">
        <v>1575</v>
      </c>
      <c r="L122" s="570"/>
      <c r="M122" s="570"/>
      <c r="N122" s="570"/>
      <c r="O122" s="2437">
        <f>メイン!C64</f>
        <v>0</v>
      </c>
    </row>
    <row r="123" spans="2:15" ht="21" customHeight="1">
      <c r="B123">
        <v>0</v>
      </c>
      <c r="C123">
        <v>0</v>
      </c>
      <c r="F123" s="577" t="str">
        <f>IF(F122=$F$7,$G$2,IF(ROUNDDOWN(F122,0)=$F$2,$H$2,$G$2))</f>
        <v>　レベル　1</v>
      </c>
      <c r="G123" s="574" t="s">
        <v>1376</v>
      </c>
      <c r="H123" s="767"/>
      <c r="I123" s="767"/>
      <c r="J123" s="767"/>
      <c r="K123" s="574" t="s">
        <v>3435</v>
      </c>
      <c r="L123" s="767"/>
      <c r="M123" s="767"/>
      <c r="N123" s="575"/>
      <c r="O123" s="576"/>
    </row>
    <row r="124" spans="2:15" ht="21" customHeight="1">
      <c r="B124">
        <v>2</v>
      </c>
      <c r="C124">
        <v>2</v>
      </c>
      <c r="F124" s="577" t="str">
        <f>IF(F122=$F$7,$G$3,IF(ROUNDDOWN(F122,0)=$F$3,$H$3,$G$3))</f>
        <v>　レベル　2</v>
      </c>
      <c r="G124" s="580" t="s">
        <v>1377</v>
      </c>
      <c r="H124" s="670"/>
      <c r="I124" s="670"/>
      <c r="J124" s="670"/>
      <c r="K124" s="580" t="s">
        <v>3436</v>
      </c>
      <c r="L124" s="2422"/>
      <c r="M124" s="670"/>
      <c r="N124" s="581"/>
      <c r="O124" s="582"/>
    </row>
    <row r="125" spans="2:15" ht="21" customHeight="1">
      <c r="B125">
        <v>3</v>
      </c>
      <c r="C125">
        <v>3</v>
      </c>
      <c r="F125" s="577" t="str">
        <f>IF(F122=$F$7,$G$4,IF(ROUNDDOWN(F122,0)=$F$4,$H$4,$G$4))</f>
        <v>■レベル　3</v>
      </c>
      <c r="G125" s="580" t="s">
        <v>1665</v>
      </c>
      <c r="H125" s="670"/>
      <c r="I125" s="670"/>
      <c r="J125" s="670"/>
      <c r="K125" s="580" t="s">
        <v>3437</v>
      </c>
      <c r="L125" s="2422"/>
      <c r="M125" s="670"/>
      <c r="N125" s="581"/>
      <c r="O125" s="582"/>
    </row>
    <row r="126" spans="2:15" ht="21" customHeight="1">
      <c r="B126">
        <v>4</v>
      </c>
      <c r="C126">
        <v>4</v>
      </c>
      <c r="F126" s="577" t="str">
        <f>IF(F122=$F$7,$G$5,IF(ROUNDDOWN(F122,0)=$F$5,$H$5,$G$5))</f>
        <v>　レベル　4</v>
      </c>
      <c r="G126" s="580" t="s">
        <v>1666</v>
      </c>
      <c r="H126" s="670"/>
      <c r="I126" s="670"/>
      <c r="J126" s="670"/>
      <c r="K126" s="580" t="s">
        <v>3435</v>
      </c>
      <c r="L126" s="2422"/>
      <c r="M126" s="670"/>
      <c r="N126" s="581"/>
      <c r="O126" s="582"/>
    </row>
    <row r="127" spans="2:15" ht="21" customHeight="1">
      <c r="B127">
        <v>5</v>
      </c>
      <c r="C127">
        <v>5</v>
      </c>
      <c r="F127" s="587" t="str">
        <f>IF(F122=$F$7,$G$6,IF(ROUNDDOWN(F122,0)=$F$6,$H$6,$G$6))</f>
        <v>　レベル　5</v>
      </c>
      <c r="G127" s="591" t="s">
        <v>1667</v>
      </c>
      <c r="H127" s="788"/>
      <c r="I127" s="788"/>
      <c r="J127" s="788"/>
      <c r="K127" s="591" t="s">
        <v>3438</v>
      </c>
      <c r="L127" s="2438"/>
      <c r="M127" s="788"/>
      <c r="N127" s="592"/>
      <c r="O127" s="593"/>
    </row>
    <row r="128" spans="2:15">
      <c r="D128"/>
      <c r="E128"/>
      <c r="F128" s="887" t="s">
        <v>3402</v>
      </c>
      <c r="G128" s="2423"/>
      <c r="H128" s="2396"/>
      <c r="I128" s="2396"/>
      <c r="J128" s="2397"/>
      <c r="K128" s="2576" t="s">
        <v>3709</v>
      </c>
      <c r="L128"/>
      <c r="M128"/>
      <c r="N128"/>
      <c r="O128"/>
    </row>
    <row r="129" spans="2:15">
      <c r="F129" s="550" t="s">
        <v>2263</v>
      </c>
      <c r="H129" s="543"/>
      <c r="I129" s="1294"/>
      <c r="J129" s="1294"/>
      <c r="K129" s="1282"/>
      <c r="L129" s="1282"/>
      <c r="M129" s="1282"/>
      <c r="N129" s="1282"/>
      <c r="O129" s="543"/>
    </row>
    <row r="130" spans="2:15" ht="16.5" thickBot="1">
      <c r="B130" t="s">
        <v>3433</v>
      </c>
      <c r="F130" s="546"/>
      <c r="G130" s="2442">
        <f>(K138*J122+M138*O122)/(J122+O122)</f>
        <v>3</v>
      </c>
      <c r="H130" s="3306" t="s">
        <v>1453</v>
      </c>
      <c r="I130" s="3307"/>
      <c r="J130" s="3308"/>
      <c r="K130" s="3306" t="s">
        <v>1452</v>
      </c>
      <c r="L130" s="3307"/>
      <c r="M130" s="3307"/>
      <c r="N130" s="3307"/>
      <c r="O130" s="692" t="s">
        <v>1454</v>
      </c>
    </row>
    <row r="131" spans="2:15" ht="35.25" customHeight="1">
      <c r="B131">
        <v>1</v>
      </c>
      <c r="D131" s="894"/>
      <c r="E131" s="543"/>
      <c r="F131" s="2409" t="s">
        <v>3070</v>
      </c>
      <c r="G131" s="2443">
        <v>1</v>
      </c>
      <c r="H131" s="3261" t="s">
        <v>1668</v>
      </c>
      <c r="I131" s="3458"/>
      <c r="J131" s="3459"/>
      <c r="K131" s="3170" t="s">
        <v>708</v>
      </c>
      <c r="L131" s="3262"/>
      <c r="M131" s="3262"/>
      <c r="N131" s="3262"/>
      <c r="O131" s="1295">
        <v>1</v>
      </c>
    </row>
    <row r="132" spans="2:15" ht="35.25" customHeight="1">
      <c r="B132">
        <v>1</v>
      </c>
      <c r="D132" s="894"/>
      <c r="E132" s="543"/>
      <c r="F132" s="2409" t="s">
        <v>3071</v>
      </c>
      <c r="G132" s="2444">
        <v>1</v>
      </c>
      <c r="H132" s="3460" t="s">
        <v>1990</v>
      </c>
      <c r="I132" s="3461"/>
      <c r="J132" s="3462"/>
      <c r="K132" s="3175" t="s">
        <v>709</v>
      </c>
      <c r="L132" s="3406"/>
      <c r="M132" s="3406"/>
      <c r="N132" s="3406"/>
      <c r="O132" s="1296">
        <v>1</v>
      </c>
    </row>
    <row r="133" spans="2:15" ht="27" customHeight="1">
      <c r="B133">
        <v>1</v>
      </c>
      <c r="D133" s="894"/>
      <c r="E133" s="543"/>
      <c r="F133" s="2409" t="s">
        <v>3072</v>
      </c>
      <c r="G133" s="2445"/>
      <c r="H133" s="3463"/>
      <c r="I133" s="3454"/>
      <c r="J133" s="3457"/>
      <c r="K133" s="3175" t="s">
        <v>710</v>
      </c>
      <c r="L133" s="3406"/>
      <c r="M133" s="3406"/>
      <c r="N133" s="3406"/>
      <c r="O133" s="1296">
        <v>1</v>
      </c>
    </row>
    <row r="134" spans="2:15" ht="20.25" customHeight="1">
      <c r="B134">
        <v>1</v>
      </c>
      <c r="D134" s="894"/>
      <c r="E134" s="543"/>
      <c r="F134" s="2409" t="s">
        <v>3441</v>
      </c>
      <c r="G134" s="2445"/>
      <c r="H134" s="3463"/>
      <c r="I134" s="3454"/>
      <c r="J134" s="3457"/>
      <c r="K134" s="3401" t="s">
        <v>711</v>
      </c>
      <c r="L134" s="3402"/>
      <c r="M134" s="3402"/>
      <c r="N134" s="3402"/>
      <c r="O134" s="1296">
        <v>1</v>
      </c>
    </row>
    <row r="135" spans="2:15" ht="14.25" hidden="1">
      <c r="B135" s="713" t="s">
        <v>712</v>
      </c>
      <c r="D135" s="894"/>
      <c r="E135" s="543"/>
      <c r="F135" s="2409" t="s">
        <v>3074</v>
      </c>
      <c r="G135" s="2445"/>
      <c r="H135" s="899"/>
      <c r="I135" s="897"/>
      <c r="J135" s="897"/>
      <c r="K135" s="3401" t="s">
        <v>713</v>
      </c>
      <c r="L135" s="3472"/>
      <c r="M135" s="3472"/>
      <c r="N135" s="3472"/>
      <c r="O135" s="1296" t="s">
        <v>1991</v>
      </c>
    </row>
    <row r="136" spans="2:15" ht="32.25" customHeight="1">
      <c r="B136">
        <v>1</v>
      </c>
      <c r="D136" s="894"/>
      <c r="E136" s="543"/>
      <c r="F136" s="2409" t="s">
        <v>3075</v>
      </c>
      <c r="G136" s="2445">
        <v>1</v>
      </c>
      <c r="H136" s="3460" t="s">
        <v>1992</v>
      </c>
      <c r="I136" s="3461"/>
      <c r="J136" s="3462"/>
      <c r="K136" s="3175" t="s">
        <v>714</v>
      </c>
      <c r="L136" s="3406"/>
      <c r="M136" s="3406"/>
      <c r="N136" s="3406"/>
      <c r="O136" s="1296">
        <v>1</v>
      </c>
    </row>
    <row r="137" spans="2:15" ht="24" customHeight="1" thickBot="1">
      <c r="B137">
        <v>1</v>
      </c>
      <c r="D137" s="894"/>
      <c r="E137" s="543"/>
      <c r="F137" s="2409" t="s">
        <v>3076</v>
      </c>
      <c r="G137" s="2446"/>
      <c r="H137" s="3473"/>
      <c r="I137" s="3474"/>
      <c r="J137" s="3475"/>
      <c r="K137" s="3453" t="s">
        <v>715</v>
      </c>
      <c r="L137" s="3454"/>
      <c r="M137" s="3454"/>
      <c r="N137" s="3454"/>
      <c r="O137" s="1297">
        <v>1</v>
      </c>
    </row>
    <row r="138" spans="2:15" ht="21" customHeight="1">
      <c r="D138" s="894"/>
      <c r="E138" s="543"/>
      <c r="F138" s="2409" t="s">
        <v>3431</v>
      </c>
      <c r="G138" s="2440">
        <f>SUM(G131:G137)</f>
        <v>3</v>
      </c>
      <c r="H138" s="1529" t="s">
        <v>2873</v>
      </c>
      <c r="I138" s="756"/>
      <c r="J138" s="2439" t="s">
        <v>3439</v>
      </c>
      <c r="K138" s="2726">
        <f>IF(G138&gt;=B127,5,IF(G138&gt;=B126,4,IF(G138&gt;=B125,3,IF(G138&gt;=B124,2,1))))</f>
        <v>3</v>
      </c>
      <c r="L138" s="2439" t="s">
        <v>3440</v>
      </c>
      <c r="M138" s="2726">
        <f>IF(G138&gt;=C127,5,IF(G138&gt;=C126,4,IF(G138&gt;=C125,3,IF(G138&gt;=C124,2,1))))</f>
        <v>3</v>
      </c>
      <c r="N138" s="2435"/>
      <c r="O138" s="2688">
        <f>SUM(B131:B137)</f>
        <v>6</v>
      </c>
    </row>
    <row r="139" spans="2:15" ht="14.25">
      <c r="D139" s="894"/>
      <c r="E139" s="543"/>
      <c r="F139" s="543"/>
      <c r="G139"/>
      <c r="H139"/>
      <c r="I139"/>
      <c r="J139"/>
      <c r="K139"/>
      <c r="L139"/>
      <c r="M139"/>
      <c r="N139"/>
      <c r="O139"/>
    </row>
    <row r="140" spans="2:15" ht="14.25">
      <c r="D140" s="894">
        <v>3</v>
      </c>
      <c r="E140" s="551" t="s">
        <v>2218</v>
      </c>
      <c r="F140" s="551"/>
      <c r="G140"/>
      <c r="H140"/>
      <c r="I140"/>
      <c r="J140"/>
      <c r="K140"/>
      <c r="L140"/>
      <c r="M140"/>
      <c r="N140"/>
      <c r="O140"/>
    </row>
    <row r="141" spans="2:15" ht="14.25">
      <c r="D141" s="894">
        <v>3.1</v>
      </c>
      <c r="E141" s="551" t="s">
        <v>716</v>
      </c>
      <c r="F141" s="551"/>
      <c r="G141"/>
      <c r="H141"/>
      <c r="I141"/>
      <c r="J141"/>
      <c r="K141"/>
      <c r="L141"/>
      <c r="M141"/>
      <c r="N141"/>
      <c r="O141"/>
    </row>
    <row r="142" spans="2:15" ht="14.25">
      <c r="D142" s="894"/>
      <c r="E142" s="551"/>
      <c r="F142" s="900" t="s">
        <v>717</v>
      </c>
      <c r="G142"/>
      <c r="H142"/>
      <c r="I142"/>
      <c r="J142" t="str">
        <f>IF(OR(F144=0,J143=0),$L$3,"")</f>
        <v/>
      </c>
      <c r="K142"/>
      <c r="L142"/>
      <c r="M142"/>
      <c r="N142"/>
      <c r="O142"/>
    </row>
    <row r="143" spans="2:15" ht="15" thickBot="1">
      <c r="D143" s="894"/>
      <c r="E143" s="543"/>
      <c r="F143" s="673"/>
      <c r="G143" s="559"/>
      <c r="H143" s="560" t="s">
        <v>1141</v>
      </c>
      <c r="I143" s="561"/>
      <c r="J143" s="562">
        <f>重み!M185</f>
        <v>0.33333333333333331</v>
      </c>
      <c r="K143" s="674"/>
      <c r="L143" s="674"/>
      <c r="M143" s="674"/>
      <c r="N143" s="674"/>
      <c r="O143" s="571"/>
    </row>
    <row r="144" spans="2:15" ht="27" customHeight="1" thickBot="1">
      <c r="D144" s="546"/>
      <c r="E144" s="546"/>
      <c r="F144" s="565">
        <v>3</v>
      </c>
      <c r="G144" s="569" t="s">
        <v>1847</v>
      </c>
      <c r="H144" s="570"/>
      <c r="I144" s="570"/>
      <c r="J144" s="570"/>
      <c r="K144" s="570"/>
      <c r="L144" s="771"/>
      <c r="M144" s="570" t="s">
        <v>3452</v>
      </c>
      <c r="N144" s="661" t="s">
        <v>1103</v>
      </c>
      <c r="O144" s="571"/>
    </row>
    <row r="145" spans="2:15" ht="21" customHeight="1">
      <c r="B145" s="1">
        <v>1</v>
      </c>
      <c r="D145" s="546"/>
      <c r="E145" s="546"/>
      <c r="F145" s="577" t="str">
        <f>IF(F144=$F$7,$G$2,IF(ROUNDDOWN(F144,0)=$F$2,$H$2,$G$2))</f>
        <v>　レベル　1</v>
      </c>
      <c r="G145" s="574" t="s">
        <v>2909</v>
      </c>
      <c r="H145" s="767"/>
      <c r="I145" s="767"/>
      <c r="J145" s="767"/>
      <c r="K145" s="767"/>
      <c r="L145" s="852"/>
      <c r="M145" s="767"/>
      <c r="N145" s="3467" t="s">
        <v>3453</v>
      </c>
      <c r="O145" s="3468"/>
    </row>
    <row r="146" spans="2:15" ht="21" customHeight="1">
      <c r="B146" s="1" t="s">
        <v>962</v>
      </c>
      <c r="D146" s="546"/>
      <c r="E146" s="546"/>
      <c r="F146" s="577" t="str">
        <f>IF(F144=$F$7,$G$3,IF(ROUNDDOWN(F144,0)=$F$3,$H$3,$G$3))</f>
        <v>　レベル　2</v>
      </c>
      <c r="G146" s="580" t="s">
        <v>1818</v>
      </c>
      <c r="H146" s="670"/>
      <c r="I146" s="670"/>
      <c r="J146" s="670"/>
      <c r="K146" s="670"/>
      <c r="L146" s="853"/>
      <c r="M146" s="670"/>
      <c r="N146" s="3469"/>
      <c r="O146" s="3346"/>
    </row>
    <row r="147" spans="2:15" ht="21" customHeight="1">
      <c r="B147" s="1">
        <v>3</v>
      </c>
      <c r="D147" s="546"/>
      <c r="E147" s="546"/>
      <c r="F147" s="577" t="str">
        <f>IF(F144=$F$7,$G$4,IF(ROUNDDOWN(F144,0)=$F$4,$H$4,$G$4))</f>
        <v>■レベル　3</v>
      </c>
      <c r="G147" s="580" t="s">
        <v>2910</v>
      </c>
      <c r="H147" s="670"/>
      <c r="I147" s="670"/>
      <c r="J147" s="670"/>
      <c r="K147" s="670"/>
      <c r="L147" s="853"/>
      <c r="M147" s="670"/>
      <c r="N147" s="3469"/>
      <c r="O147" s="3346"/>
    </row>
    <row r="148" spans="2:15" ht="21" customHeight="1">
      <c r="B148" s="1" t="s">
        <v>962</v>
      </c>
      <c r="D148" s="546"/>
      <c r="E148" s="546"/>
      <c r="F148" s="577" t="str">
        <f>IF(F144=$F$7,$G$5,IF(ROUNDDOWN(F144,0)=$F$5,$H$5,$G$5))</f>
        <v>　レベル　4</v>
      </c>
      <c r="G148" s="580" t="s">
        <v>1818</v>
      </c>
      <c r="H148" s="670"/>
      <c r="I148" s="670"/>
      <c r="J148" s="670"/>
      <c r="K148" s="670"/>
      <c r="L148" s="853"/>
      <c r="M148" s="670"/>
      <c r="N148" s="3469"/>
      <c r="O148" s="3346"/>
    </row>
    <row r="149" spans="2:15" ht="21" customHeight="1">
      <c r="B149" s="1">
        <v>5</v>
      </c>
      <c r="D149" s="546"/>
      <c r="E149" s="546"/>
      <c r="F149" s="587" t="str">
        <f>IF(F144=$F$7,$G$6,IF(ROUNDDOWN(F144,0)=$F$6,$H$6,$G$6))</f>
        <v>　レベル　5</v>
      </c>
      <c r="G149" s="591" t="s">
        <v>2911</v>
      </c>
      <c r="H149" s="788"/>
      <c r="I149" s="788"/>
      <c r="J149" s="788"/>
      <c r="K149" s="788"/>
      <c r="L149" s="901"/>
      <c r="M149" s="788"/>
      <c r="N149" s="3470"/>
      <c r="O149" s="3471"/>
    </row>
    <row r="150" spans="2:15">
      <c r="B150" s="594">
        <v>0</v>
      </c>
      <c r="F150" s="887" t="s">
        <v>3402</v>
      </c>
      <c r="G150" s="2423"/>
      <c r="H150" s="2396"/>
      <c r="I150" s="2396"/>
      <c r="J150" s="2397"/>
      <c r="K150" s="2576"/>
      <c r="L150"/>
      <c r="M150"/>
      <c r="N150"/>
      <c r="O150"/>
    </row>
    <row r="151" spans="2:15">
      <c r="B151" s="918"/>
      <c r="F151"/>
      <c r="G151" s="2431" t="s">
        <v>3455</v>
      </c>
      <c r="H151" s="895"/>
      <c r="I151" s="895"/>
      <c r="J151" s="895"/>
      <c r="K151" s="895"/>
      <c r="L151" s="895"/>
      <c r="M151" s="895"/>
      <c r="N151" s="895"/>
      <c r="O151" s="895"/>
    </row>
    <row r="152" spans="2:15">
      <c r="B152" s="918"/>
      <c r="F152"/>
      <c r="G152" s="2431" t="s">
        <v>3458</v>
      </c>
      <c r="H152" s="895"/>
      <c r="I152" s="895"/>
      <c r="J152" s="895"/>
      <c r="K152" s="895"/>
      <c r="L152" s="895"/>
      <c r="M152" s="895"/>
      <c r="N152" s="895"/>
      <c r="O152" s="895"/>
    </row>
    <row r="153" spans="2:15" ht="15.75">
      <c r="F153" s="805" t="s">
        <v>718</v>
      </c>
      <c r="G153" s="805"/>
      <c r="H153" s="546"/>
      <c r="I153" s="546"/>
      <c r="J153" s="546"/>
      <c r="K153" s="551"/>
      <c r="L153" s="551"/>
    </row>
    <row r="154" spans="2:15">
      <c r="F154" s="543" t="s">
        <v>1265</v>
      </c>
    </row>
    <row r="155" spans="2:15">
      <c r="F155" s="902"/>
      <c r="G155" s="3464" t="s">
        <v>719</v>
      </c>
      <c r="H155" s="3465"/>
      <c r="I155" s="3466"/>
      <c r="J155" s="3464" t="s">
        <v>720</v>
      </c>
      <c r="K155" s="3465"/>
      <c r="L155" s="3466"/>
    </row>
    <row r="156" spans="2:15" ht="14.25">
      <c r="F156" s="903"/>
      <c r="G156" s="904" t="s">
        <v>1266</v>
      </c>
      <c r="H156" s="905" t="s">
        <v>1267</v>
      </c>
      <c r="I156" s="906" t="s">
        <v>1268</v>
      </c>
      <c r="J156" s="904" t="s">
        <v>1266</v>
      </c>
      <c r="K156" s="905" t="s">
        <v>1267</v>
      </c>
      <c r="L156" s="906" t="s">
        <v>1268</v>
      </c>
    </row>
    <row r="157" spans="2:15" ht="29.25" customHeight="1">
      <c r="F157" s="577" t="s">
        <v>721</v>
      </c>
      <c r="G157" s="907" t="s">
        <v>722</v>
      </c>
      <c r="H157" s="908" t="s">
        <v>722</v>
      </c>
      <c r="I157" s="909" t="s">
        <v>722</v>
      </c>
      <c r="J157" s="907" t="s">
        <v>722</v>
      </c>
      <c r="K157" s="908" t="s">
        <v>722</v>
      </c>
      <c r="L157" s="909" t="s">
        <v>722</v>
      </c>
    </row>
    <row r="158" spans="2:15">
      <c r="F158" s="577" t="s">
        <v>2410</v>
      </c>
      <c r="G158" s="910"/>
      <c r="H158" s="905"/>
      <c r="I158" s="911"/>
      <c r="J158" s="910"/>
      <c r="K158" s="905"/>
      <c r="L158" s="911"/>
    </row>
    <row r="159" spans="2:15">
      <c r="F159" s="577" t="s">
        <v>2411</v>
      </c>
      <c r="G159" s="910" t="s">
        <v>723</v>
      </c>
      <c r="H159" s="905" t="s">
        <v>724</v>
      </c>
      <c r="I159" s="911" t="s">
        <v>724</v>
      </c>
      <c r="J159" s="910" t="s">
        <v>1269</v>
      </c>
      <c r="K159" s="905" t="s">
        <v>723</v>
      </c>
      <c r="L159" s="911" t="s">
        <v>723</v>
      </c>
    </row>
    <row r="160" spans="2:15">
      <c r="F160" s="577" t="s">
        <v>2412</v>
      </c>
      <c r="G160" s="910"/>
      <c r="H160" s="905"/>
      <c r="I160" s="911"/>
      <c r="J160" s="910"/>
      <c r="K160" s="905"/>
      <c r="L160" s="911"/>
    </row>
    <row r="161" spans="2:15">
      <c r="F161" s="587" t="s">
        <v>2413</v>
      </c>
      <c r="G161" s="912" t="s">
        <v>1270</v>
      </c>
      <c r="H161" s="913" t="s">
        <v>1271</v>
      </c>
      <c r="I161" s="914" t="s">
        <v>1271</v>
      </c>
      <c r="J161" s="912" t="s">
        <v>724</v>
      </c>
      <c r="K161" s="913" t="s">
        <v>725</v>
      </c>
      <c r="L161" s="914" t="s">
        <v>725</v>
      </c>
    </row>
    <row r="162" spans="2:15">
      <c r="F162" s="902"/>
      <c r="G162" s="3464" t="s">
        <v>726</v>
      </c>
      <c r="H162" s="3465"/>
      <c r="I162" s="3466"/>
      <c r="J162" s="3464" t="s">
        <v>727</v>
      </c>
      <c r="K162" s="3465"/>
      <c r="L162" s="3466"/>
    </row>
    <row r="163" spans="2:15">
      <c r="F163" s="813"/>
      <c r="G163" s="904" t="s">
        <v>1272</v>
      </c>
      <c r="H163" s="905" t="s">
        <v>1273</v>
      </c>
      <c r="I163" s="906" t="s">
        <v>1274</v>
      </c>
      <c r="J163" s="904" t="s">
        <v>1272</v>
      </c>
      <c r="K163" s="905" t="s">
        <v>1273</v>
      </c>
      <c r="L163" s="906" t="s">
        <v>1274</v>
      </c>
    </row>
    <row r="164" spans="2:15" ht="29.25" customHeight="1">
      <c r="F164" s="577" t="s">
        <v>721</v>
      </c>
      <c r="G164" s="907" t="s">
        <v>722</v>
      </c>
      <c r="H164" s="908" t="s">
        <v>722</v>
      </c>
      <c r="I164" s="909" t="s">
        <v>722</v>
      </c>
      <c r="J164" s="907" t="s">
        <v>722</v>
      </c>
      <c r="K164" s="908" t="s">
        <v>722</v>
      </c>
      <c r="L164" s="909" t="s">
        <v>722</v>
      </c>
    </row>
    <row r="165" spans="2:15">
      <c r="F165" s="577" t="s">
        <v>2410</v>
      </c>
      <c r="G165" s="910"/>
      <c r="H165" s="905"/>
      <c r="I165" s="911"/>
      <c r="J165" s="910"/>
      <c r="K165" s="905"/>
      <c r="L165" s="911"/>
    </row>
    <row r="166" spans="2:15">
      <c r="F166" s="577" t="s">
        <v>2411</v>
      </c>
      <c r="G166" s="910" t="s">
        <v>728</v>
      </c>
      <c r="H166" s="905" t="s">
        <v>729</v>
      </c>
      <c r="I166" s="911" t="s">
        <v>730</v>
      </c>
      <c r="J166" s="910" t="s">
        <v>731</v>
      </c>
      <c r="K166" s="905" t="s">
        <v>728</v>
      </c>
      <c r="L166" s="911" t="s">
        <v>729</v>
      </c>
    </row>
    <row r="167" spans="2:15">
      <c r="F167" s="577" t="s">
        <v>2412</v>
      </c>
      <c r="G167" s="910"/>
      <c r="H167" s="905"/>
      <c r="I167" s="911"/>
      <c r="J167" s="910"/>
      <c r="K167" s="905"/>
      <c r="L167" s="911"/>
    </row>
    <row r="168" spans="2:15">
      <c r="F168" s="587" t="s">
        <v>2413</v>
      </c>
      <c r="G168" s="912" t="s">
        <v>730</v>
      </c>
      <c r="H168" s="913" t="s">
        <v>723</v>
      </c>
      <c r="I168" s="914" t="s">
        <v>724</v>
      </c>
      <c r="J168" s="912" t="s">
        <v>728</v>
      </c>
      <c r="K168" s="913" t="s">
        <v>730</v>
      </c>
      <c r="L168" s="914" t="s">
        <v>723</v>
      </c>
    </row>
    <row r="169" spans="2:15" ht="14.25" customHeight="1">
      <c r="D169" s="546"/>
      <c r="E169" s="546"/>
      <c r="F169" s="546"/>
      <c r="G169"/>
      <c r="H169"/>
      <c r="I169"/>
      <c r="J169"/>
      <c r="K169"/>
      <c r="L169"/>
      <c r="M169"/>
      <c r="N169"/>
      <c r="O169"/>
    </row>
    <row r="170" spans="2:15" ht="15.75">
      <c r="D170" s="546"/>
      <c r="E170" s="546"/>
      <c r="F170" s="900" t="s">
        <v>1275</v>
      </c>
      <c r="G170"/>
      <c r="H170"/>
      <c r="I170"/>
      <c r="J170" t="str">
        <f>IF(OR(F172=0,J171=0),$L$3,"")</f>
        <v/>
      </c>
      <c r="K170"/>
      <c r="L170"/>
      <c r="M170"/>
      <c r="N170"/>
      <c r="O170"/>
    </row>
    <row r="171" spans="2:15" ht="15" thickBot="1">
      <c r="D171" s="894"/>
      <c r="E171" s="543"/>
      <c r="F171" s="673"/>
      <c r="G171" s="559"/>
      <c r="H171" s="560" t="s">
        <v>1141</v>
      </c>
      <c r="I171" s="561"/>
      <c r="J171" s="562">
        <f>重み!M186</f>
        <v>0.33333333333333331</v>
      </c>
      <c r="K171" s="674"/>
      <c r="L171" s="674"/>
      <c r="M171" s="674"/>
      <c r="N171" s="674"/>
      <c r="O171" s="571"/>
    </row>
    <row r="172" spans="2:15" ht="27" customHeight="1" thickBot="1">
      <c r="D172" s="894"/>
      <c r="E172" s="551"/>
      <c r="F172" s="565">
        <v>3</v>
      </c>
      <c r="G172" s="569" t="s">
        <v>1847</v>
      </c>
      <c r="H172" s="570"/>
      <c r="I172" s="570"/>
      <c r="J172" s="570"/>
      <c r="K172" s="570"/>
      <c r="L172" s="771"/>
      <c r="M172" s="570"/>
      <c r="N172" s="661" t="s">
        <v>1103</v>
      </c>
      <c r="O172" s="571"/>
    </row>
    <row r="173" spans="2:15" ht="21" customHeight="1">
      <c r="B173" s="1">
        <v>1</v>
      </c>
      <c r="D173" s="894"/>
      <c r="E173" s="551"/>
      <c r="F173" s="577" t="str">
        <f>IF(F172=$F$7,$G$2,IF(ROUNDDOWN(F172,0)=$F$2,$H$2,$G$2))</f>
        <v>　レベル　1</v>
      </c>
      <c r="G173" s="574" t="s">
        <v>74</v>
      </c>
      <c r="H173" s="767"/>
      <c r="I173" s="767"/>
      <c r="J173" s="767"/>
      <c r="K173" s="767"/>
      <c r="L173" s="852"/>
      <c r="M173" s="767"/>
      <c r="N173" s="3467" t="s">
        <v>75</v>
      </c>
      <c r="O173" s="3468"/>
    </row>
    <row r="174" spans="2:15" ht="21" customHeight="1">
      <c r="B174" s="1" t="s">
        <v>419</v>
      </c>
      <c r="D174" s="894"/>
      <c r="E174" s="551"/>
      <c r="F174" s="577" t="str">
        <f>IF(F172=$F$7,$G$3,IF(ROUNDDOWN(F172,0)=$F$3,$H$3,$G$3))</f>
        <v>　レベル　2</v>
      </c>
      <c r="G174" s="580" t="s">
        <v>1818</v>
      </c>
      <c r="H174" s="670"/>
      <c r="I174" s="670"/>
      <c r="J174" s="670"/>
      <c r="K174" s="670"/>
      <c r="L174" s="853"/>
      <c r="M174" s="670"/>
      <c r="N174" s="3469"/>
      <c r="O174" s="3346"/>
    </row>
    <row r="175" spans="2:15" ht="21" customHeight="1">
      <c r="B175" s="1">
        <v>3</v>
      </c>
      <c r="D175" s="894"/>
      <c r="E175" s="551"/>
      <c r="F175" s="577" t="str">
        <f>IF(F172=$F$7,$G$4,IF(ROUNDDOWN(F172,0)=$F$4,$H$4,$G$4))</f>
        <v>■レベル　3</v>
      </c>
      <c r="G175" s="580" t="s">
        <v>76</v>
      </c>
      <c r="H175" s="670"/>
      <c r="I175" s="670"/>
      <c r="J175" s="670"/>
      <c r="K175" s="670"/>
      <c r="L175" s="853"/>
      <c r="M175" s="670"/>
      <c r="N175" s="3469"/>
      <c r="O175" s="3346"/>
    </row>
    <row r="176" spans="2:15" ht="21" customHeight="1">
      <c r="B176" s="1" t="s">
        <v>177</v>
      </c>
      <c r="D176" s="894"/>
      <c r="E176" s="551"/>
      <c r="F176" s="577" t="str">
        <f>IF(F172=$F$7,$G$5,IF(ROUNDDOWN(F172,0)=$F$5,$H$5,$G$5))</f>
        <v>　レベル　4</v>
      </c>
      <c r="G176" s="580" t="s">
        <v>1818</v>
      </c>
      <c r="H176" s="670"/>
      <c r="I176" s="670"/>
      <c r="J176" s="670"/>
      <c r="K176" s="670"/>
      <c r="L176" s="853"/>
      <c r="M176" s="670"/>
      <c r="N176" s="3469"/>
      <c r="O176" s="3346"/>
    </row>
    <row r="177" spans="2:15" ht="21" customHeight="1">
      <c r="B177" s="1">
        <v>5</v>
      </c>
      <c r="D177" s="894"/>
      <c r="E177" s="551"/>
      <c r="F177" s="587" t="str">
        <f>IF(F172=$F$7,$G$6,IF(ROUNDDOWN(F172,0)=$F$6,$H$6,$G$6))</f>
        <v>　レベル　5</v>
      </c>
      <c r="G177" s="591" t="s">
        <v>77</v>
      </c>
      <c r="H177" s="788"/>
      <c r="I177" s="788"/>
      <c r="J177" s="788"/>
      <c r="K177" s="788"/>
      <c r="L177" s="901"/>
      <c r="M177" s="788"/>
      <c r="N177" s="3470"/>
      <c r="O177" s="3471"/>
    </row>
    <row r="178" spans="2:15" ht="14.25">
      <c r="B178" s="594">
        <v>0</v>
      </c>
      <c r="D178" s="894"/>
      <c r="E178" s="551"/>
      <c r="F178" s="887" t="s">
        <v>3402</v>
      </c>
      <c r="G178" s="2423"/>
      <c r="H178" s="2396"/>
      <c r="I178" s="2396"/>
      <c r="J178" s="2397"/>
      <c r="K178" s="2576"/>
      <c r="L178"/>
      <c r="M178"/>
      <c r="N178"/>
      <c r="O178"/>
    </row>
    <row r="179" spans="2:15" ht="14.25">
      <c r="B179" s="918"/>
      <c r="D179" s="894"/>
      <c r="E179" s="551"/>
      <c r="F179"/>
      <c r="G179" s="2431" t="s">
        <v>3457</v>
      </c>
      <c r="H179" s="2450"/>
      <c r="I179" s="2450"/>
      <c r="J179" s="2450"/>
      <c r="K179" s="2450"/>
      <c r="L179" s="2450"/>
      <c r="M179" s="2450"/>
      <c r="N179" s="2450"/>
      <c r="O179" s="543"/>
    </row>
    <row r="180" spans="2:15" ht="14.25">
      <c r="B180" s="918"/>
      <c r="D180" s="894"/>
      <c r="E180" s="551"/>
      <c r="F180" s="2447"/>
      <c r="G180" s="2431" t="s">
        <v>3456</v>
      </c>
      <c r="H180" s="2448"/>
      <c r="I180" s="2448"/>
      <c r="J180" s="2448"/>
      <c r="K180" s="2448"/>
      <c r="L180" s="2448"/>
      <c r="M180" s="2448"/>
      <c r="N180" s="2448"/>
      <c r="O180" s="543"/>
    </row>
    <row r="181" spans="2:15" ht="15.75">
      <c r="D181" s="894"/>
      <c r="E181" s="551"/>
      <c r="F181" s="805" t="s">
        <v>1671</v>
      </c>
      <c r="G181" s="805"/>
      <c r="H181" s="546"/>
      <c r="I181" s="546"/>
      <c r="J181" s="546"/>
      <c r="K181" s="551"/>
      <c r="L181" s="551"/>
    </row>
    <row r="182" spans="2:15" ht="14.25">
      <c r="D182" s="894"/>
      <c r="E182" s="551"/>
      <c r="F182" s="543" t="s">
        <v>929</v>
      </c>
    </row>
    <row r="183" spans="2:15" ht="14.25">
      <c r="D183" s="894"/>
      <c r="E183" s="551"/>
      <c r="F183" s="915"/>
      <c r="G183" s="3464" t="s">
        <v>719</v>
      </c>
      <c r="H183" s="3465"/>
      <c r="I183" s="3466"/>
      <c r="J183" s="3464" t="s">
        <v>720</v>
      </c>
      <c r="K183" s="3465"/>
      <c r="L183" s="3466"/>
    </row>
    <row r="184" spans="2:15" ht="14.25">
      <c r="D184" s="894"/>
      <c r="E184" s="551"/>
      <c r="F184" s="903"/>
      <c r="G184" s="904" t="s">
        <v>1266</v>
      </c>
      <c r="H184" s="905" t="s">
        <v>1268</v>
      </c>
      <c r="I184" s="906"/>
      <c r="J184" s="904" t="s">
        <v>1266</v>
      </c>
      <c r="K184" s="905" t="s">
        <v>1268</v>
      </c>
      <c r="L184" s="906"/>
    </row>
    <row r="185" spans="2:15" ht="29.25" customHeight="1">
      <c r="D185" s="894"/>
      <c r="E185" s="551"/>
      <c r="F185" s="577" t="s">
        <v>721</v>
      </c>
      <c r="G185" s="907" t="s">
        <v>722</v>
      </c>
      <c r="H185" s="908" t="s">
        <v>722</v>
      </c>
      <c r="I185" s="916"/>
      <c r="J185" s="907" t="s">
        <v>722</v>
      </c>
      <c r="K185" s="908" t="s">
        <v>722</v>
      </c>
      <c r="L185" s="916"/>
    </row>
    <row r="186" spans="2:15" ht="14.25">
      <c r="D186" s="894"/>
      <c r="E186" s="551"/>
      <c r="F186" s="577" t="s">
        <v>2410</v>
      </c>
      <c r="G186" s="910"/>
      <c r="H186" s="905"/>
      <c r="I186" s="911"/>
      <c r="J186" s="910"/>
      <c r="K186" s="905"/>
      <c r="L186" s="911"/>
    </row>
    <row r="187" spans="2:15" ht="14.25">
      <c r="D187" s="894"/>
      <c r="E187" s="551"/>
      <c r="F187" s="577" t="s">
        <v>2411</v>
      </c>
      <c r="G187" s="910" t="s">
        <v>728</v>
      </c>
      <c r="H187" s="905" t="s">
        <v>729</v>
      </c>
      <c r="I187" s="911"/>
      <c r="J187" s="910" t="s">
        <v>1672</v>
      </c>
      <c r="K187" s="905" t="s">
        <v>728</v>
      </c>
      <c r="L187" s="911"/>
    </row>
    <row r="188" spans="2:15" ht="14.25">
      <c r="D188" s="894"/>
      <c r="E188" s="551"/>
      <c r="F188" s="577" t="s">
        <v>2412</v>
      </c>
      <c r="G188" s="910"/>
      <c r="H188" s="905"/>
      <c r="I188" s="911"/>
      <c r="J188" s="910"/>
      <c r="K188" s="905"/>
      <c r="L188" s="911"/>
    </row>
    <row r="189" spans="2:15" ht="14.25">
      <c r="D189" s="894"/>
      <c r="E189" s="551"/>
      <c r="F189" s="587" t="s">
        <v>2413</v>
      </c>
      <c r="G189" s="912" t="s">
        <v>729</v>
      </c>
      <c r="H189" s="913" t="s">
        <v>730</v>
      </c>
      <c r="I189" s="914"/>
      <c r="J189" s="912" t="s">
        <v>728</v>
      </c>
      <c r="K189" s="913" t="s">
        <v>729</v>
      </c>
      <c r="L189" s="914"/>
    </row>
    <row r="190" spans="2:15" ht="14.25">
      <c r="D190" s="894"/>
      <c r="E190" s="551"/>
      <c r="F190" s="1283"/>
      <c r="G190"/>
      <c r="H190"/>
      <c r="I190"/>
      <c r="J190"/>
      <c r="K190"/>
      <c r="L190"/>
      <c r="M190"/>
      <c r="N190"/>
      <c r="O190"/>
    </row>
    <row r="191" spans="2:15" ht="14.25">
      <c r="D191" s="894"/>
      <c r="E191" s="551"/>
      <c r="F191" s="900" t="s">
        <v>930</v>
      </c>
      <c r="G191"/>
      <c r="H191"/>
      <c r="I191"/>
      <c r="J191" t="str">
        <f>IF(OR(F193=0,J192=0),$L$3,"")</f>
        <v/>
      </c>
      <c r="K191"/>
      <c r="L191"/>
      <c r="M191"/>
      <c r="N191"/>
      <c r="O191"/>
    </row>
    <row r="192" spans="2:15" ht="15" thickBot="1">
      <c r="D192" s="894"/>
      <c r="E192" s="543"/>
      <c r="F192" s="673"/>
      <c r="G192" s="559"/>
      <c r="H192" s="560" t="s">
        <v>1141</v>
      </c>
      <c r="I192" s="561"/>
      <c r="J192" s="562">
        <f>重み!M187</f>
        <v>0.33333333333333331</v>
      </c>
      <c r="K192" s="674"/>
      <c r="L192" s="674"/>
      <c r="M192" s="674"/>
      <c r="N192" s="674"/>
      <c r="O192" s="571"/>
    </row>
    <row r="193" spans="2:15" ht="27" customHeight="1" thickBot="1">
      <c r="D193" s="546"/>
      <c r="E193" s="546"/>
      <c r="F193" s="565">
        <v>3</v>
      </c>
      <c r="G193" s="569" t="s">
        <v>1847</v>
      </c>
      <c r="H193" s="570"/>
      <c r="I193" s="570"/>
      <c r="J193" s="570"/>
      <c r="K193" s="570"/>
      <c r="L193" s="771"/>
      <c r="M193" s="570"/>
      <c r="N193" s="661" t="s">
        <v>1103</v>
      </c>
      <c r="O193" s="571"/>
    </row>
    <row r="194" spans="2:15" ht="29.25" customHeight="1">
      <c r="B194" s="1">
        <v>1</v>
      </c>
      <c r="D194" s="546"/>
      <c r="E194" s="546"/>
      <c r="F194" s="577" t="str">
        <f>IF(F193=$F$7,$G$2,IF(ROUNDDOWN(F193,0)=$F$2,$H$2,$G$2))</f>
        <v>　レベル　1</v>
      </c>
      <c r="G194" s="3153" t="s">
        <v>2913</v>
      </c>
      <c r="H194" s="3253"/>
      <c r="I194" s="3253"/>
      <c r="J194" s="3253"/>
      <c r="K194" s="3253"/>
      <c r="L194" s="3253"/>
      <c r="M194" s="3254"/>
      <c r="N194" s="3467" t="s">
        <v>3454</v>
      </c>
      <c r="O194" s="3468"/>
    </row>
    <row r="195" spans="2:15" ht="21" customHeight="1">
      <c r="B195" s="1" t="s">
        <v>419</v>
      </c>
      <c r="D195" s="546"/>
      <c r="E195" s="546"/>
      <c r="F195" s="577" t="str">
        <f>IF(F193=$F$7,$G$3,IF(ROUNDDOWN(F193,0)=$F$3,$H$3,$G$3))</f>
        <v>　レベル　2</v>
      </c>
      <c r="G195" s="580" t="s">
        <v>1818</v>
      </c>
      <c r="H195" s="670"/>
      <c r="I195" s="670"/>
      <c r="J195" s="670"/>
      <c r="K195" s="670"/>
      <c r="L195" s="853"/>
      <c r="M195" s="670"/>
      <c r="N195" s="3469"/>
      <c r="O195" s="3346"/>
    </row>
    <row r="196" spans="2:15" ht="30" customHeight="1">
      <c r="B196" s="1">
        <v>3</v>
      </c>
      <c r="D196" s="546"/>
      <c r="E196" s="546"/>
      <c r="F196" s="577" t="str">
        <f>IF(F193=$F$7,$G$4,IF(ROUNDDOWN(F193,0)=$F$4,$H$4,$G$4))</f>
        <v>■レベル　3</v>
      </c>
      <c r="G196" s="3157" t="s">
        <v>2912</v>
      </c>
      <c r="H196" s="3245"/>
      <c r="I196" s="3245"/>
      <c r="J196" s="3245"/>
      <c r="K196" s="3245"/>
      <c r="L196" s="3245"/>
      <c r="M196" s="3244"/>
      <c r="N196" s="3469"/>
      <c r="O196" s="3346"/>
    </row>
    <row r="197" spans="2:15" ht="21" customHeight="1">
      <c r="B197" s="1" t="s">
        <v>419</v>
      </c>
      <c r="D197" s="546"/>
      <c r="E197" s="546"/>
      <c r="F197" s="577" t="str">
        <f>IF(F193=$F$7,$G$5,IF(ROUNDDOWN(F193,0)=$F$5,$H$5,$G$5))</f>
        <v>　レベル　4</v>
      </c>
      <c r="G197" s="580" t="s">
        <v>1818</v>
      </c>
      <c r="H197" s="670"/>
      <c r="I197" s="670"/>
      <c r="J197" s="670"/>
      <c r="K197" s="670"/>
      <c r="L197" s="853"/>
      <c r="M197" s="670"/>
      <c r="N197" s="3469"/>
      <c r="O197" s="3346"/>
    </row>
    <row r="198" spans="2:15" ht="21" customHeight="1">
      <c r="B198" s="1" t="s">
        <v>419</v>
      </c>
      <c r="D198" s="546"/>
      <c r="F198" s="587" t="str">
        <f>IF(F193=$F$7,$G$6,IF(ROUNDDOWN(F193,0)=$F$6,$H$6,$G$6))</f>
        <v>　レベル　5</v>
      </c>
      <c r="G198" s="591" t="s">
        <v>1818</v>
      </c>
      <c r="H198" s="788"/>
      <c r="I198" s="788"/>
      <c r="J198" s="788"/>
      <c r="K198" s="788"/>
      <c r="L198" s="901"/>
      <c r="M198" s="788"/>
      <c r="N198" s="3470"/>
      <c r="O198" s="3471"/>
    </row>
    <row r="199" spans="2:15" ht="15.75">
      <c r="B199" s="594">
        <v>0</v>
      </c>
      <c r="D199" s="546"/>
      <c r="E199" s="546"/>
      <c r="F199" s="887" t="s">
        <v>3402</v>
      </c>
      <c r="G199" s="2423"/>
      <c r="H199" s="2396"/>
      <c r="I199" s="2396"/>
      <c r="J199" s="2397"/>
      <c r="K199" s="2576"/>
      <c r="L199"/>
      <c r="M199"/>
      <c r="N199"/>
      <c r="O199"/>
    </row>
    <row r="200" spans="2:15" ht="15.75">
      <c r="B200" s="918"/>
      <c r="D200" s="546"/>
      <c r="E200" s="546"/>
      <c r="F200" s="2449"/>
      <c r="G200"/>
      <c r="H200"/>
      <c r="I200"/>
      <c r="J200"/>
      <c r="K200"/>
      <c r="L200"/>
      <c r="M200"/>
      <c r="N200"/>
      <c r="O200"/>
    </row>
    <row r="201" spans="2:15" ht="13.5" customHeight="1">
      <c r="D201" s="894">
        <v>3.2</v>
      </c>
      <c r="E201" s="553" t="s">
        <v>931</v>
      </c>
      <c r="F201" s="917"/>
      <c r="G201"/>
      <c r="H201"/>
      <c r="I201"/>
      <c r="J201"/>
      <c r="K201"/>
      <c r="L201"/>
      <c r="M201"/>
      <c r="N201"/>
      <c r="O201"/>
    </row>
    <row r="202" spans="2:15" ht="13.5" customHeight="1">
      <c r="D202" s="894"/>
      <c r="E202" s="553"/>
      <c r="F202" s="273" t="s">
        <v>932</v>
      </c>
      <c r="G202"/>
      <c r="H202"/>
      <c r="I202"/>
      <c r="J202" t="str">
        <f>IF(OR(F204=0,J203=0),$L$3,"")</f>
        <v/>
      </c>
      <c r="K202"/>
      <c r="L202"/>
      <c r="M202"/>
      <c r="N202"/>
      <c r="O202"/>
    </row>
    <row r="203" spans="2:15" ht="15" thickBot="1">
      <c r="D203" s="894"/>
      <c r="E203" s="543"/>
      <c r="F203" s="673"/>
      <c r="G203" s="559"/>
      <c r="H203" s="560" t="s">
        <v>1141</v>
      </c>
      <c r="I203" s="561"/>
      <c r="J203" s="562">
        <f>重み!M189</f>
        <v>0.7</v>
      </c>
      <c r="K203" s="674"/>
      <c r="L203" s="674"/>
      <c r="M203" s="674"/>
      <c r="N203" s="674"/>
      <c r="O203" s="571"/>
    </row>
    <row r="204" spans="2:15" ht="27" customHeight="1" thickBot="1">
      <c r="D204" s="894"/>
      <c r="E204" s="546"/>
      <c r="F204" s="565">
        <v>3</v>
      </c>
      <c r="G204" s="569" t="s">
        <v>1847</v>
      </c>
      <c r="H204" s="570"/>
      <c r="I204" s="570"/>
      <c r="J204" s="570"/>
      <c r="K204" s="570"/>
      <c r="L204" s="771"/>
      <c r="M204" s="570"/>
      <c r="N204" s="661" t="s">
        <v>1103</v>
      </c>
      <c r="O204" s="571"/>
    </row>
    <row r="205" spans="2:15" ht="21" customHeight="1">
      <c r="B205" s="870">
        <v>1</v>
      </c>
      <c r="D205" s="546"/>
      <c r="E205" s="546"/>
      <c r="F205" s="577" t="str">
        <f>IF(F204=$F$7,$G$2,IF(ROUNDDOWN(F204,0)=$F$2,$H$2,$G$2))</f>
        <v>　レベル　1</v>
      </c>
      <c r="G205" s="574" t="s">
        <v>732</v>
      </c>
      <c r="H205" s="767"/>
      <c r="I205" s="767"/>
      <c r="J205" s="767"/>
      <c r="K205" s="767"/>
      <c r="L205" s="852"/>
      <c r="M205" s="767"/>
      <c r="N205" s="3229" t="s">
        <v>287</v>
      </c>
      <c r="O205" s="3230"/>
    </row>
    <row r="206" spans="2:15" ht="28.5" customHeight="1">
      <c r="B206" s="1">
        <v>2</v>
      </c>
      <c r="D206" s="546"/>
      <c r="E206" s="546"/>
      <c r="F206" s="577" t="str">
        <f>IF(F204=$F$7,$G$3,IF(ROUNDDOWN(F204,0)=$F$3,$H$3,$G$3))</f>
        <v>　レベル　2</v>
      </c>
      <c r="G206" s="3157" t="s">
        <v>733</v>
      </c>
      <c r="H206" s="3386"/>
      <c r="I206" s="3386"/>
      <c r="J206" s="3386"/>
      <c r="K206" s="3386"/>
      <c r="L206" s="3386"/>
      <c r="M206" s="3387"/>
      <c r="N206" s="3331"/>
      <c r="O206" s="3332"/>
    </row>
    <row r="207" spans="2:15" ht="39.75" customHeight="1">
      <c r="B207" s="1">
        <v>3</v>
      </c>
      <c r="D207" s="546"/>
      <c r="E207" s="546"/>
      <c r="F207" s="577" t="str">
        <f>IF(F204=$F$7,$G$4,IF(ROUNDDOWN(F204,0)=$F$4,$H$4,$G$4))</f>
        <v>■レベル　3</v>
      </c>
      <c r="G207" s="3157" t="s">
        <v>2059</v>
      </c>
      <c r="H207" s="3386"/>
      <c r="I207" s="3386"/>
      <c r="J207" s="3386"/>
      <c r="K207" s="3386"/>
      <c r="L207" s="3386"/>
      <c r="M207" s="3387"/>
      <c r="N207" s="3331"/>
      <c r="O207" s="3332"/>
    </row>
    <row r="208" spans="2:15" ht="28.5" customHeight="1">
      <c r="B208" s="1">
        <v>4</v>
      </c>
      <c r="D208" s="546"/>
      <c r="E208" s="546"/>
      <c r="F208" s="577" t="str">
        <f>IF(F204=$F$7,$G$5,IF(ROUNDDOWN(F204,0)=$F$5,$H$5,$G$5))</f>
        <v>　レベル　4</v>
      </c>
      <c r="G208" s="3157" t="s">
        <v>2060</v>
      </c>
      <c r="H208" s="3386"/>
      <c r="I208" s="3386"/>
      <c r="J208" s="3386"/>
      <c r="K208" s="3386"/>
      <c r="L208" s="3386"/>
      <c r="M208" s="3387"/>
      <c r="N208" s="3331"/>
      <c r="O208" s="3332"/>
    </row>
    <row r="209" spans="2:15" ht="28.5" customHeight="1">
      <c r="B209" s="1">
        <v>5</v>
      </c>
      <c r="D209" s="546"/>
      <c r="E209" s="546"/>
      <c r="F209" s="587" t="str">
        <f>IF(F204=$F$7,$G$6,IF(ROUNDDOWN(F204,0)=$F$6,$H$6,$G$6))</f>
        <v>　レベル　5</v>
      </c>
      <c r="G209" s="3155" t="s">
        <v>2061</v>
      </c>
      <c r="H209" s="3388"/>
      <c r="I209" s="3388"/>
      <c r="J209" s="3388"/>
      <c r="K209" s="3388"/>
      <c r="L209" s="3388"/>
      <c r="M209" s="3389"/>
      <c r="N209" s="3231"/>
      <c r="O209" s="3232"/>
    </row>
    <row r="210" spans="2:15" ht="15.75">
      <c r="B210" s="594">
        <v>0</v>
      </c>
      <c r="D210" s="546"/>
      <c r="E210" s="546"/>
      <c r="F210" s="887" t="s">
        <v>3402</v>
      </c>
      <c r="G210" s="2423"/>
      <c r="H210" s="2396"/>
      <c r="I210" s="2396"/>
      <c r="J210" s="2397"/>
      <c r="K210" s="2576" t="s">
        <v>3554</v>
      </c>
      <c r="L210"/>
      <c r="M210"/>
      <c r="N210"/>
      <c r="O210"/>
    </row>
    <row r="211" spans="2:15" ht="15.75">
      <c r="B211" s="918"/>
      <c r="C211" s="918"/>
      <c r="D211" s="546"/>
      <c r="E211" s="546"/>
      <c r="F211" s="546"/>
      <c r="G211"/>
      <c r="H211"/>
      <c r="I211"/>
      <c r="J211"/>
      <c r="K211"/>
      <c r="L211"/>
      <c r="M211"/>
      <c r="N211"/>
      <c r="O211"/>
    </row>
    <row r="212" spans="2:15" ht="15.75">
      <c r="D212" s="546"/>
      <c r="E212" s="546"/>
      <c r="F212" s="273" t="s">
        <v>2062</v>
      </c>
      <c r="G212"/>
      <c r="H212"/>
      <c r="I212"/>
      <c r="J212" t="str">
        <f>IF(OR(F214=0,J213=0),$L$3,"")</f>
        <v>&lt;評価しない&gt;</v>
      </c>
      <c r="K212"/>
      <c r="L212"/>
      <c r="M212"/>
      <c r="N212"/>
      <c r="O212"/>
    </row>
    <row r="213" spans="2:15" ht="15" thickBot="1">
      <c r="D213" s="894"/>
      <c r="E213" s="543"/>
      <c r="F213" s="673"/>
      <c r="G213" s="559"/>
      <c r="H213" s="560" t="s">
        <v>1141</v>
      </c>
      <c r="I213" s="561"/>
      <c r="J213" s="562">
        <f>重み!M190</f>
        <v>0</v>
      </c>
      <c r="K213" s="674"/>
      <c r="L213" s="674"/>
      <c r="M213" s="674"/>
      <c r="N213" s="674"/>
      <c r="O213" s="571"/>
    </row>
    <row r="214" spans="2:15" ht="27" customHeight="1" thickBot="1">
      <c r="B214" t="s">
        <v>3432</v>
      </c>
      <c r="D214" s="546"/>
      <c r="E214" s="546"/>
      <c r="F214" s="1978">
        <f>G222</f>
        <v>3</v>
      </c>
      <c r="G214" s="569" t="s">
        <v>2063</v>
      </c>
      <c r="H214" s="570"/>
      <c r="I214" s="570"/>
      <c r="J214" s="570"/>
      <c r="K214" s="570"/>
      <c r="L214" s="771"/>
      <c r="M214" s="570"/>
      <c r="N214" s="570"/>
      <c r="O214" s="571"/>
    </row>
    <row r="215" spans="2:15" ht="21" customHeight="1">
      <c r="B215">
        <v>0</v>
      </c>
      <c r="D215" s="546"/>
      <c r="E215" s="546"/>
      <c r="F215" s="577" t="str">
        <f>IF(F214=$F$7,$G$2,IF(ROUNDDOWN(F214,0)=$F$2,$H$2,$G$2))</f>
        <v>　レベル　1</v>
      </c>
      <c r="G215" s="574" t="s">
        <v>2064</v>
      </c>
      <c r="H215" s="767"/>
      <c r="I215" s="767"/>
      <c r="J215" s="767"/>
      <c r="K215" s="767"/>
      <c r="L215" s="852"/>
      <c r="M215" s="767"/>
      <c r="N215" s="767"/>
      <c r="O215" s="768"/>
    </row>
    <row r="216" spans="2:15" ht="21" customHeight="1">
      <c r="B216">
        <v>1</v>
      </c>
      <c r="D216" s="546"/>
      <c r="E216" s="546"/>
      <c r="F216" s="577" t="str">
        <f>IF(F214=$F$7,$G$3,IF(ROUNDDOWN(F214,0)=$F$3,$H$3,$G$3))</f>
        <v>　レベル　2</v>
      </c>
      <c r="G216" s="580" t="s">
        <v>933</v>
      </c>
      <c r="H216" s="670"/>
      <c r="I216" s="670"/>
      <c r="J216" s="670"/>
      <c r="K216" s="670"/>
      <c r="L216" s="853"/>
      <c r="M216" s="670"/>
      <c r="N216" s="670"/>
      <c r="O216" s="669"/>
    </row>
    <row r="217" spans="2:15" ht="21" customHeight="1">
      <c r="B217">
        <v>2</v>
      </c>
      <c r="D217" s="546"/>
      <c r="E217" s="546"/>
      <c r="F217" s="577" t="str">
        <f>IF(F214=$F$7,$G$4,IF(ROUNDDOWN(F214,0)=$F$4,$H$4,$G$4))</f>
        <v>■レベル　3</v>
      </c>
      <c r="G217" s="580" t="s">
        <v>934</v>
      </c>
      <c r="H217" s="670"/>
      <c r="I217" s="670"/>
      <c r="J217" s="670"/>
      <c r="K217" s="670"/>
      <c r="L217" s="853"/>
      <c r="M217" s="670"/>
      <c r="N217" s="670"/>
      <c r="O217" s="669"/>
    </row>
    <row r="218" spans="2:15" ht="21" customHeight="1">
      <c r="B218">
        <v>3</v>
      </c>
      <c r="D218" s="546"/>
      <c r="E218" s="546"/>
      <c r="F218" s="577" t="str">
        <f>IF(F214=$F$7,$G$5,IF(ROUNDDOWN(F214,0)=$F$5,$H$5,$G$5))</f>
        <v>　レベル　4</v>
      </c>
      <c r="G218" s="580" t="s">
        <v>2065</v>
      </c>
      <c r="H218" s="670"/>
      <c r="I218" s="670"/>
      <c r="J218" s="670"/>
      <c r="K218" s="670"/>
      <c r="L218" s="853"/>
      <c r="M218" s="670"/>
      <c r="N218" s="670"/>
      <c r="O218" s="669"/>
    </row>
    <row r="219" spans="2:15" ht="21" customHeight="1">
      <c r="B219">
        <v>4</v>
      </c>
      <c r="D219" s="546"/>
      <c r="E219" s="546"/>
      <c r="F219" s="587" t="str">
        <f>IF(F214=$F$7,$G$6,IF(ROUNDDOWN(F214,0)=$F$6,$H$6,$G$6))</f>
        <v>　レベル　5</v>
      </c>
      <c r="G219" s="591" t="s">
        <v>2066</v>
      </c>
      <c r="H219" s="788"/>
      <c r="I219" s="788"/>
      <c r="J219" s="788"/>
      <c r="K219" s="788"/>
      <c r="L219" s="901"/>
      <c r="M219" s="788"/>
      <c r="N219" s="788"/>
      <c r="O219" s="789"/>
    </row>
    <row r="220" spans="2:15" ht="15.75">
      <c r="D220" s="546"/>
      <c r="E220" s="546"/>
      <c r="F220" s="887" t="s">
        <v>3402</v>
      </c>
      <c r="G220" s="2423"/>
      <c r="H220" s="2396"/>
      <c r="I220" s="2396"/>
      <c r="J220" s="2397"/>
      <c r="K220" s="2576" t="s">
        <v>3709</v>
      </c>
      <c r="L220"/>
      <c r="M220"/>
      <c r="N220"/>
      <c r="O220"/>
    </row>
    <row r="221" spans="2:15" ht="15.75">
      <c r="D221" s="546"/>
      <c r="E221" s="546"/>
      <c r="F221" s="550" t="s">
        <v>2263</v>
      </c>
      <c r="H221" s="543"/>
      <c r="I221" s="1294"/>
      <c r="J221" s="1294"/>
      <c r="K221" s="1282"/>
      <c r="L221" s="1282"/>
      <c r="M221" s="1282"/>
      <c r="N221" s="1282"/>
      <c r="O221" s="543"/>
    </row>
    <row r="222" spans="2:15" ht="16.5" thickBot="1">
      <c r="B222" t="s">
        <v>3433</v>
      </c>
      <c r="C222" s="918"/>
      <c r="D222" s="546"/>
      <c r="E222" s="546"/>
      <c r="F222" s="919"/>
      <c r="G222" s="2442">
        <f>IF(G228&gt;=B219,5,IF(G228&gt;=B218,4,IF(G228&gt;=B217,3,IF(G228&gt;=B216,2,1))))</f>
        <v>3</v>
      </c>
      <c r="H222" s="3306" t="s">
        <v>2106</v>
      </c>
      <c r="I222" s="3307"/>
      <c r="J222" s="3308"/>
      <c r="K222" s="3306" t="s">
        <v>935</v>
      </c>
      <c r="L222" s="3307"/>
      <c r="M222" s="3307"/>
      <c r="N222" s="3307"/>
      <c r="O222" s="692" t="s">
        <v>2107</v>
      </c>
    </row>
    <row r="223" spans="2:15" ht="27.75" customHeight="1">
      <c r="B223">
        <v>2</v>
      </c>
      <c r="C223" s="918"/>
      <c r="D223" s="546"/>
      <c r="E223" s="546"/>
      <c r="F223" s="2409" t="s">
        <v>3070</v>
      </c>
      <c r="G223" s="3482">
        <v>2</v>
      </c>
      <c r="H223" s="3455" t="s">
        <v>936</v>
      </c>
      <c r="I223" s="3497"/>
      <c r="J223" s="3498"/>
      <c r="K223" s="3170" t="s">
        <v>937</v>
      </c>
      <c r="L223" s="3262"/>
      <c r="M223" s="3262"/>
      <c r="N223" s="3262"/>
      <c r="O223" s="1295">
        <v>1</v>
      </c>
    </row>
    <row r="224" spans="2:15" ht="27.75" customHeight="1">
      <c r="C224" s="918"/>
      <c r="D224" s="546"/>
      <c r="E224" s="546"/>
      <c r="G224" s="3483"/>
      <c r="H224" s="3499"/>
      <c r="I224" s="3499"/>
      <c r="J224" s="3500"/>
      <c r="K224" s="3175" t="s">
        <v>938</v>
      </c>
      <c r="L224" s="3406"/>
      <c r="M224" s="3406"/>
      <c r="N224" s="3406"/>
      <c r="O224" s="1296">
        <v>2</v>
      </c>
    </row>
    <row r="225" spans="2:15" ht="27.75" customHeight="1">
      <c r="B225">
        <v>4</v>
      </c>
      <c r="C225" s="918"/>
      <c r="D225" s="546"/>
      <c r="E225" s="546"/>
      <c r="F225" s="2409" t="s">
        <v>3071</v>
      </c>
      <c r="G225" s="3484"/>
      <c r="H225" s="3460" t="s">
        <v>939</v>
      </c>
      <c r="I225" s="3487"/>
      <c r="J225" s="3488"/>
      <c r="K225" s="3175" t="s">
        <v>940</v>
      </c>
      <c r="L225" s="3406"/>
      <c r="M225" s="3406"/>
      <c r="N225" s="3406"/>
      <c r="O225" s="1296">
        <v>1</v>
      </c>
    </row>
    <row r="226" spans="2:15" ht="15.75">
      <c r="B226" s="918"/>
      <c r="C226" s="918"/>
      <c r="D226" s="546"/>
      <c r="E226" s="546"/>
      <c r="F226" s="919"/>
      <c r="G226" s="3485"/>
      <c r="H226" s="3489"/>
      <c r="I226" s="3490"/>
      <c r="J226" s="3491"/>
      <c r="K226" s="3175" t="s">
        <v>941</v>
      </c>
      <c r="L226" s="3406"/>
      <c r="M226" s="3406"/>
      <c r="N226" s="3406"/>
      <c r="O226" s="1296">
        <v>2</v>
      </c>
    </row>
    <row r="227" spans="2:15" ht="16.5" thickBot="1">
      <c r="B227" s="918"/>
      <c r="C227" s="918"/>
      <c r="D227" s="546"/>
      <c r="E227" s="546"/>
      <c r="F227" s="919"/>
      <c r="G227" s="3486"/>
      <c r="H227" s="3492"/>
      <c r="I227" s="3493"/>
      <c r="J227" s="3494"/>
      <c r="K227" s="3453" t="s">
        <v>2067</v>
      </c>
      <c r="L227" s="3454"/>
      <c r="M227" s="3454"/>
      <c r="N227" s="3454"/>
      <c r="O227" s="1297">
        <v>4</v>
      </c>
    </row>
    <row r="228" spans="2:15" ht="21" customHeight="1">
      <c r="B228" s="918"/>
      <c r="C228" s="918"/>
      <c r="D228" s="546"/>
      <c r="E228" s="546"/>
      <c r="F228" s="2409" t="s">
        <v>3431</v>
      </c>
      <c r="G228" s="2440">
        <f>SUM(G223:G227)</f>
        <v>2</v>
      </c>
      <c r="H228" s="1529" t="s">
        <v>1353</v>
      </c>
      <c r="I228" s="756"/>
      <c r="J228" s="2439"/>
      <c r="K228" s="2441"/>
      <c r="L228" s="2439"/>
      <c r="M228" s="2441"/>
      <c r="N228" s="2435"/>
      <c r="O228" s="2688">
        <f>SUM(B223:B227)</f>
        <v>6</v>
      </c>
    </row>
    <row r="229" spans="2:15" ht="15.75">
      <c r="B229" s="918"/>
      <c r="C229" s="918"/>
      <c r="D229" s="546"/>
      <c r="E229" s="546"/>
      <c r="F229" s="919"/>
      <c r="G229"/>
      <c r="H229"/>
      <c r="I229"/>
      <c r="J229"/>
      <c r="K229"/>
      <c r="L229"/>
      <c r="M229"/>
      <c r="N229"/>
      <c r="O229"/>
    </row>
    <row r="230" spans="2:15" ht="15.75">
      <c r="D230" s="546"/>
      <c r="E230" s="546"/>
      <c r="F230" s="273" t="s">
        <v>2068</v>
      </c>
      <c r="G230"/>
      <c r="H230"/>
      <c r="I230"/>
      <c r="J230" t="str">
        <f>IF(OR(F232=0,J231=0),$L$3,"")</f>
        <v/>
      </c>
      <c r="K230"/>
      <c r="L230"/>
      <c r="M230"/>
      <c r="N230"/>
      <c r="O230"/>
    </row>
    <row r="231" spans="2:15" ht="15" thickBot="1">
      <c r="D231" s="894"/>
      <c r="E231" s="543"/>
      <c r="F231" s="673"/>
      <c r="G231" s="559"/>
      <c r="H231" s="560" t="s">
        <v>1141</v>
      </c>
      <c r="I231" s="561"/>
      <c r="J231" s="562">
        <f>重み!M191</f>
        <v>0.3</v>
      </c>
      <c r="K231" s="674"/>
      <c r="L231" s="674"/>
      <c r="M231" s="674"/>
      <c r="N231" s="674"/>
      <c r="O231" s="571"/>
    </row>
    <row r="232" spans="2:15" ht="27" customHeight="1" thickBot="1">
      <c r="D232" s="546"/>
      <c r="E232" s="546"/>
      <c r="F232" s="565">
        <v>3</v>
      </c>
      <c r="G232" s="569" t="s">
        <v>1847</v>
      </c>
      <c r="H232" s="570"/>
      <c r="I232" s="570"/>
      <c r="J232" s="570"/>
      <c r="K232" s="570"/>
      <c r="L232" s="771"/>
      <c r="M232" s="570"/>
      <c r="N232" s="570"/>
      <c r="O232" s="571"/>
    </row>
    <row r="233" spans="2:15" ht="21" customHeight="1">
      <c r="B233" s="1" t="s">
        <v>1229</v>
      </c>
      <c r="C233" s="1">
        <v>1</v>
      </c>
      <c r="D233" s="546"/>
      <c r="E233" s="546"/>
      <c r="F233" s="577" t="str">
        <f>IF(F232=$F$7,$G$2,IF(ROUNDDOWN(F232,0)=$F$2,$H$2,$G$2))</f>
        <v>　レベル　1</v>
      </c>
      <c r="G233" s="574" t="s">
        <v>1818</v>
      </c>
      <c r="H233" s="767"/>
      <c r="I233" s="767"/>
      <c r="J233" s="767"/>
      <c r="K233" s="767"/>
      <c r="L233" s="852"/>
      <c r="M233" s="767"/>
      <c r="N233" s="767"/>
      <c r="O233" s="768"/>
    </row>
    <row r="234" spans="2:15" ht="21" customHeight="1">
      <c r="B234" s="1" t="s">
        <v>1229</v>
      </c>
      <c r="C234" s="1">
        <v>2</v>
      </c>
      <c r="D234" s="546"/>
      <c r="E234" s="546"/>
      <c r="F234" s="577" t="str">
        <f>IF(F232=$F$7,$G$3,IF(ROUNDDOWN(F232,0)=$F$3,$H$3,$G$3))</f>
        <v>　レベル　2</v>
      </c>
      <c r="G234" s="580" t="s">
        <v>1818</v>
      </c>
      <c r="H234" s="670"/>
      <c r="I234" s="670"/>
      <c r="J234" s="670"/>
      <c r="K234" s="670"/>
      <c r="L234" s="853"/>
      <c r="M234" s="670"/>
      <c r="N234" s="670"/>
      <c r="O234" s="669"/>
    </row>
    <row r="235" spans="2:15" ht="21" customHeight="1">
      <c r="B235" s="1">
        <v>3</v>
      </c>
      <c r="C235" s="1">
        <v>3</v>
      </c>
      <c r="D235" s="546"/>
      <c r="E235" s="546"/>
      <c r="F235" s="577" t="str">
        <f>IF(F232=$F$7,$G$4,IF(ROUNDDOWN(F232,0)=$F$4,$H$4,$G$4))</f>
        <v>■レベル　3</v>
      </c>
      <c r="G235" s="580" t="s">
        <v>2459</v>
      </c>
      <c r="H235" s="670"/>
      <c r="I235" s="670"/>
      <c r="J235" s="670"/>
      <c r="K235" s="670"/>
      <c r="L235" s="853"/>
      <c r="M235" s="670"/>
      <c r="N235" s="670"/>
      <c r="O235" s="669"/>
    </row>
    <row r="236" spans="2:15" ht="21" customHeight="1">
      <c r="B236" s="1">
        <v>4</v>
      </c>
      <c r="C236" s="1">
        <v>4</v>
      </c>
      <c r="D236" s="546"/>
      <c r="E236" s="546"/>
      <c r="F236" s="577" t="str">
        <f>IF(F232=$F$7,$G$5,IF(ROUNDDOWN(F232,0)=$F$5,$H$5,$G$5))</f>
        <v>　レベル　4</v>
      </c>
      <c r="G236" s="580" t="s">
        <v>2460</v>
      </c>
      <c r="H236" s="670"/>
      <c r="I236" s="670"/>
      <c r="J236" s="670"/>
      <c r="K236" s="670"/>
      <c r="L236" s="853"/>
      <c r="M236" s="670"/>
      <c r="N236" s="670"/>
      <c r="O236" s="669"/>
    </row>
    <row r="237" spans="2:15" ht="21" customHeight="1">
      <c r="B237" s="1" t="s">
        <v>1229</v>
      </c>
      <c r="C237" s="1">
        <v>5</v>
      </c>
      <c r="D237" s="546"/>
      <c r="E237" s="546"/>
      <c r="F237" s="587" t="str">
        <f>IF(F232=$F$7,$G$6,IF(ROUNDDOWN(F232,0)=$F$6,$H$6,$G$6))</f>
        <v>　レベル　5</v>
      </c>
      <c r="G237" s="591" t="s">
        <v>1818</v>
      </c>
      <c r="H237" s="788"/>
      <c r="I237" s="788"/>
      <c r="J237" s="788"/>
      <c r="K237" s="788"/>
      <c r="L237" s="901"/>
      <c r="M237" s="788"/>
      <c r="N237" s="788"/>
      <c r="O237" s="789"/>
    </row>
    <row r="238" spans="2:15" ht="15.75">
      <c r="B238" s="594">
        <v>0</v>
      </c>
      <c r="C238" s="594">
        <v>0</v>
      </c>
      <c r="D238" s="546"/>
      <c r="E238" s="546"/>
      <c r="F238" s="887" t="s">
        <v>3402</v>
      </c>
      <c r="G238" s="2423"/>
      <c r="H238" s="2396"/>
      <c r="I238" s="2396"/>
      <c r="J238" s="2397"/>
      <c r="K238" s="2576" t="s">
        <v>3714</v>
      </c>
      <c r="L238"/>
      <c r="M238"/>
      <c r="N238"/>
      <c r="O238"/>
    </row>
    <row r="239" spans="2:15" ht="24" customHeight="1">
      <c r="B239" s="918"/>
      <c r="C239" s="918"/>
      <c r="D239" s="546"/>
      <c r="E239" s="546"/>
      <c r="F239"/>
      <c r="G239" s="3496" t="s">
        <v>2461</v>
      </c>
      <c r="H239" s="3496"/>
      <c r="I239" s="3496"/>
      <c r="J239" s="3496"/>
      <c r="K239" s="3496"/>
      <c r="L239" s="3496"/>
      <c r="M239" s="3496"/>
      <c r="N239" s="3496"/>
      <c r="O239" s="3496"/>
    </row>
    <row r="240" spans="2:15" ht="15.75">
      <c r="D240" s="546"/>
      <c r="E240" s="546"/>
      <c r="F240" s="919"/>
      <c r="G240"/>
      <c r="H240"/>
      <c r="I240"/>
      <c r="J240"/>
      <c r="K240"/>
      <c r="L240"/>
      <c r="M240"/>
      <c r="N240"/>
      <c r="O240"/>
    </row>
    <row r="241" spans="2:15" ht="14.25">
      <c r="D241" s="894">
        <v>3.3</v>
      </c>
      <c r="E241" s="553" t="s">
        <v>2069</v>
      </c>
      <c r="F241" s="553"/>
      <c r="G241"/>
      <c r="H241"/>
      <c r="I241"/>
      <c r="J241"/>
      <c r="K241"/>
      <c r="L241"/>
      <c r="M241"/>
      <c r="N241"/>
      <c r="O241"/>
    </row>
    <row r="242" spans="2:15" ht="14.25">
      <c r="D242" s="894"/>
      <c r="E242" s="553"/>
      <c r="F242" s="273" t="s">
        <v>2462</v>
      </c>
      <c r="G242"/>
      <c r="H242"/>
      <c r="I242"/>
      <c r="K242"/>
      <c r="L242"/>
      <c r="M242"/>
      <c r="N242"/>
      <c r="O242" t="str">
        <f>IF(OR(F244=0,J243=0),$L$3,"")</f>
        <v/>
      </c>
    </row>
    <row r="243" spans="2:15" ht="14.25" thickBot="1">
      <c r="D243" s="543"/>
      <c r="E243" s="543"/>
      <c r="F243" s="673"/>
      <c r="G243" s="559"/>
      <c r="H243" s="560" t="s">
        <v>1141</v>
      </c>
      <c r="I243" s="561"/>
      <c r="J243" s="562">
        <f>重み!M193</f>
        <v>0.7</v>
      </c>
      <c r="K243" s="674"/>
      <c r="L243" s="674"/>
      <c r="M243" s="674"/>
      <c r="N243" s="674"/>
      <c r="O243" s="571"/>
    </row>
    <row r="244" spans="2:15" ht="27" customHeight="1" thickBot="1">
      <c r="B244" t="s">
        <v>3432</v>
      </c>
      <c r="D244" s="546"/>
      <c r="E244" s="543"/>
      <c r="F244" s="1978">
        <f>G252</f>
        <v>3</v>
      </c>
      <c r="G244" s="569" t="s">
        <v>407</v>
      </c>
      <c r="H244" s="570"/>
      <c r="I244" s="570"/>
      <c r="J244" s="570"/>
      <c r="K244" s="570"/>
      <c r="L244" s="771"/>
      <c r="M244" s="570"/>
      <c r="N244" s="570"/>
      <c r="O244" s="571"/>
    </row>
    <row r="245" spans="2:15" ht="21" customHeight="1">
      <c r="B245">
        <v>0</v>
      </c>
      <c r="D245" s="546"/>
      <c r="E245" s="543"/>
      <c r="F245" s="577" t="str">
        <f>IF(F244=$F$7,$G$2,IF(ROUNDDOWN(F244,0)=$F$2,$H$2,$G$2))</f>
        <v>　レベル　1</v>
      </c>
      <c r="G245" s="574" t="s">
        <v>1010</v>
      </c>
      <c r="H245" s="767"/>
      <c r="I245" s="767"/>
      <c r="J245" s="767"/>
      <c r="K245" s="767"/>
      <c r="L245" s="852"/>
      <c r="M245" s="767"/>
      <c r="N245" s="767"/>
      <c r="O245" s="768"/>
    </row>
    <row r="246" spans="2:15" ht="21" customHeight="1">
      <c r="B246">
        <v>1</v>
      </c>
      <c r="D246" s="546"/>
      <c r="E246" s="543"/>
      <c r="F246" s="577" t="str">
        <f>IF(F244=$F$7,$G$3,IF(ROUNDDOWN(F244,0)=$F$3,$H$3,$G$3))</f>
        <v>　レベル　2</v>
      </c>
      <c r="G246" s="580" t="s">
        <v>1366</v>
      </c>
      <c r="H246" s="670"/>
      <c r="I246" s="670"/>
      <c r="J246" s="670"/>
      <c r="K246" s="670"/>
      <c r="L246" s="853"/>
      <c r="M246" s="670"/>
      <c r="N246" s="670"/>
      <c r="O246" s="669"/>
    </row>
    <row r="247" spans="2:15" ht="21" customHeight="1">
      <c r="B247">
        <v>2</v>
      </c>
      <c r="D247" s="546"/>
      <c r="E247" s="543"/>
      <c r="F247" s="577" t="str">
        <f>IF(F244=$F$7,$G$4,IF(ROUNDDOWN(F244,0)=$F$4,$H$4,$G$4))</f>
        <v>■レベル　3</v>
      </c>
      <c r="G247" s="580" t="s">
        <v>1367</v>
      </c>
      <c r="H247" s="670"/>
      <c r="I247" s="670"/>
      <c r="J247" s="670"/>
      <c r="K247" s="670"/>
      <c r="L247" s="853"/>
      <c r="M247" s="670"/>
      <c r="N247" s="670"/>
      <c r="O247" s="669"/>
    </row>
    <row r="248" spans="2:15" ht="21" customHeight="1">
      <c r="B248">
        <v>3</v>
      </c>
      <c r="D248" s="546"/>
      <c r="E248" s="543"/>
      <c r="F248" s="577" t="str">
        <f>IF(F244=$F$7,$G$5,IF(ROUNDDOWN(F244,0)=$F$5,$H$5,$G$5))</f>
        <v>　レベル　4</v>
      </c>
      <c r="G248" s="580" t="s">
        <v>1368</v>
      </c>
      <c r="H248" s="670"/>
      <c r="I248" s="670"/>
      <c r="J248" s="670"/>
      <c r="K248" s="670"/>
      <c r="L248" s="853"/>
      <c r="M248" s="670"/>
      <c r="N248" s="670"/>
      <c r="O248" s="669"/>
    </row>
    <row r="249" spans="2:15" ht="21" customHeight="1">
      <c r="B249">
        <v>4</v>
      </c>
      <c r="D249" s="546"/>
      <c r="E249" s="543"/>
      <c r="F249" s="587" t="str">
        <f>IF(F244=$F$7,$G$6,IF(ROUNDDOWN(F244,0)=$F$6,$H$6,$G$6))</f>
        <v>　レベル　5</v>
      </c>
      <c r="G249" s="591" t="s">
        <v>97</v>
      </c>
      <c r="H249" s="788"/>
      <c r="I249" s="788"/>
      <c r="J249" s="788"/>
      <c r="K249" s="788"/>
      <c r="L249" s="901"/>
      <c r="M249" s="788"/>
      <c r="N249" s="788"/>
      <c r="O249" s="789"/>
    </row>
    <row r="250" spans="2:15" ht="15.75">
      <c r="D250" s="546"/>
      <c r="E250" s="543"/>
      <c r="F250" s="887" t="s">
        <v>3402</v>
      </c>
      <c r="G250" s="2423"/>
      <c r="H250" s="2396"/>
      <c r="I250" s="2396"/>
      <c r="J250" s="2397"/>
      <c r="K250" s="2576" t="s">
        <v>3709</v>
      </c>
      <c r="L250"/>
      <c r="M250"/>
      <c r="N250"/>
      <c r="O250"/>
    </row>
    <row r="251" spans="2:15" ht="15.75">
      <c r="D251" s="546"/>
      <c r="E251" s="543"/>
      <c r="F251" s="550" t="s">
        <v>2263</v>
      </c>
      <c r="H251" s="543"/>
      <c r="I251" s="1294"/>
      <c r="J251" s="1294"/>
      <c r="K251" s="1282"/>
      <c r="L251" s="1282"/>
      <c r="M251" s="1282"/>
      <c r="N251" s="1282"/>
      <c r="O251" s="543"/>
    </row>
    <row r="252" spans="2:15" ht="16.5" thickBot="1">
      <c r="B252" t="s">
        <v>3433</v>
      </c>
      <c r="D252" s="546"/>
      <c r="E252" s="435"/>
      <c r="F252" s="543"/>
      <c r="G252" s="2442">
        <f>IF(G259&gt;=B249,5,IF(G259&gt;=B248,4,IF(G259&gt;=B247,3,IF(G259&gt;=B246,2,1))))</f>
        <v>3</v>
      </c>
      <c r="H252" s="3501" t="s">
        <v>935</v>
      </c>
      <c r="I252" s="3501"/>
      <c r="J252" s="3501"/>
      <c r="K252" s="3501"/>
      <c r="L252" s="3501"/>
      <c r="M252" s="3501"/>
      <c r="N252" s="3501"/>
      <c r="O252" s="692" t="s">
        <v>1454</v>
      </c>
    </row>
    <row r="253" spans="2:15" ht="15.75">
      <c r="B253">
        <v>2</v>
      </c>
      <c r="D253" s="546"/>
      <c r="E253" s="433"/>
      <c r="F253" s="2409" t="s">
        <v>3070</v>
      </c>
      <c r="G253" s="3292"/>
      <c r="H253" s="3502" t="s">
        <v>2071</v>
      </c>
      <c r="I253" s="3455"/>
      <c r="J253" s="3455"/>
      <c r="K253" s="3455"/>
      <c r="L253" s="3455"/>
      <c r="M253" s="3455"/>
      <c r="N253" s="3455"/>
      <c r="O253" s="3476" t="s">
        <v>2108</v>
      </c>
    </row>
    <row r="254" spans="2:15" ht="15.75">
      <c r="D254" s="546"/>
      <c r="E254" s="433"/>
      <c r="G254" s="3333"/>
      <c r="H254" s="3478" t="s">
        <v>3448</v>
      </c>
      <c r="I254" s="3479"/>
      <c r="J254" s="3479"/>
      <c r="K254" s="3479"/>
      <c r="L254" s="3479"/>
      <c r="M254" s="3479"/>
      <c r="N254" s="3479"/>
      <c r="O254" s="3477"/>
    </row>
    <row r="255" spans="2:15" ht="15.75">
      <c r="D255" s="546"/>
      <c r="E255" s="433"/>
      <c r="G255" s="3286"/>
      <c r="H255" s="3480" t="s">
        <v>3449</v>
      </c>
      <c r="I255" s="3481"/>
      <c r="J255" s="3481"/>
      <c r="K255" s="3481"/>
      <c r="L255" s="3481"/>
      <c r="M255" s="3481"/>
      <c r="N255" s="3481"/>
      <c r="O255" s="3477"/>
    </row>
    <row r="256" spans="2:15" ht="15.75">
      <c r="B256">
        <v>2</v>
      </c>
      <c r="D256" s="546"/>
      <c r="E256" s="433"/>
      <c r="F256" s="2409" t="s">
        <v>3071</v>
      </c>
      <c r="G256" s="3284">
        <v>2</v>
      </c>
      <c r="H256" s="3460" t="s">
        <v>2376</v>
      </c>
      <c r="I256" s="3495"/>
      <c r="J256" s="3495"/>
      <c r="K256" s="3495"/>
      <c r="L256" s="3495"/>
      <c r="M256" s="3495"/>
      <c r="N256" s="3495"/>
      <c r="O256" s="3477" t="s">
        <v>98</v>
      </c>
    </row>
    <row r="257" spans="2:15" ht="15.75">
      <c r="D257" s="546"/>
      <c r="E257" s="433"/>
      <c r="F257" s="543"/>
      <c r="G257" s="3333"/>
      <c r="H257" s="3478" t="s">
        <v>3450</v>
      </c>
      <c r="I257" s="3479"/>
      <c r="J257" s="3479"/>
      <c r="K257" s="3479"/>
      <c r="L257" s="3479"/>
      <c r="M257" s="3479"/>
      <c r="N257" s="3479"/>
      <c r="O257" s="3477"/>
    </row>
    <row r="258" spans="2:15" ht="16.5" thickBot="1">
      <c r="D258" s="546"/>
      <c r="E258" s="433"/>
      <c r="F258" s="543"/>
      <c r="G258" s="3285"/>
      <c r="H258" s="3480" t="s">
        <v>3451</v>
      </c>
      <c r="I258" s="3481"/>
      <c r="J258" s="3481"/>
      <c r="K258" s="3481"/>
      <c r="L258" s="3481"/>
      <c r="M258" s="3481"/>
      <c r="N258" s="3481"/>
      <c r="O258" s="3477"/>
    </row>
    <row r="259" spans="2:15" ht="21" customHeight="1">
      <c r="D259" s="546"/>
      <c r="E259" s="433"/>
      <c r="F259" s="2409" t="s">
        <v>3431</v>
      </c>
      <c r="G259" s="2440">
        <f>SUM(G253:G258)</f>
        <v>2</v>
      </c>
      <c r="H259" s="1529" t="s">
        <v>1353</v>
      </c>
      <c r="I259" s="756"/>
      <c r="J259" s="2439"/>
      <c r="K259" s="2441"/>
      <c r="L259" s="2439"/>
      <c r="M259" s="2441"/>
      <c r="N259" s="2435"/>
      <c r="O259" s="2688">
        <f>SUM(B253:B258)</f>
        <v>4</v>
      </c>
    </row>
    <row r="260" spans="2:15" ht="15.75">
      <c r="D260" s="546"/>
      <c r="E260" s="433"/>
      <c r="F260" s="433"/>
      <c r="G260"/>
      <c r="H260"/>
      <c r="I260"/>
      <c r="J260"/>
      <c r="K260"/>
      <c r="L260"/>
      <c r="M260"/>
      <c r="N260"/>
      <c r="O260"/>
    </row>
    <row r="261" spans="2:15" ht="15.75">
      <c r="D261" s="546"/>
      <c r="E261" s="433"/>
      <c r="F261" s="273" t="s">
        <v>99</v>
      </c>
      <c r="G261"/>
      <c r="H261"/>
      <c r="I261"/>
      <c r="J261" t="str">
        <f>IF(OR(F263=0,J262=0),$L$3,"")</f>
        <v/>
      </c>
      <c r="K261"/>
      <c r="L261"/>
      <c r="M261"/>
      <c r="N261"/>
      <c r="O261"/>
    </row>
    <row r="262" spans="2:15" ht="15" thickBot="1">
      <c r="D262" s="894"/>
      <c r="E262" s="543"/>
      <c r="F262" s="673"/>
      <c r="G262" s="559"/>
      <c r="H262" s="560" t="s">
        <v>1141</v>
      </c>
      <c r="I262" s="561"/>
      <c r="J262" s="562">
        <f>重み!M194</f>
        <v>0.3</v>
      </c>
      <c r="K262" s="674"/>
      <c r="L262" s="674"/>
      <c r="M262" s="674"/>
      <c r="N262" s="674"/>
      <c r="O262" s="571"/>
    </row>
    <row r="263" spans="2:15" ht="27" customHeight="1" thickBot="1">
      <c r="D263" s="894"/>
      <c r="E263" s="543"/>
      <c r="F263" s="565">
        <v>3</v>
      </c>
      <c r="G263" s="569" t="s">
        <v>78</v>
      </c>
      <c r="H263" s="570"/>
      <c r="I263" s="570"/>
      <c r="J263" s="570"/>
      <c r="K263" s="570"/>
      <c r="L263" s="771"/>
      <c r="M263" s="570"/>
      <c r="N263" s="570"/>
      <c r="O263" s="571"/>
    </row>
    <row r="264" spans="2:15" ht="21" customHeight="1">
      <c r="B264" s="1" t="s">
        <v>1817</v>
      </c>
      <c r="D264" s="894"/>
      <c r="E264" s="543"/>
      <c r="F264" s="577" t="str">
        <f>IF(F263=$F$7,$G$2,IF(ROUNDDOWN(F263,0)=$F$2,$H$2,$G$2))</f>
        <v>　レベル　1</v>
      </c>
      <c r="G264" s="574" t="s">
        <v>295</v>
      </c>
      <c r="H264" s="575"/>
      <c r="I264" s="575"/>
      <c r="J264" s="575"/>
      <c r="K264" s="575"/>
      <c r="L264" s="575"/>
      <c r="M264" s="575"/>
      <c r="N264" s="575"/>
      <c r="O264" s="576"/>
    </row>
    <row r="265" spans="2:15" ht="21" customHeight="1">
      <c r="B265" s="1" t="s">
        <v>1817</v>
      </c>
      <c r="D265" s="894"/>
      <c r="E265" s="543"/>
      <c r="F265" s="577" t="str">
        <f>IF(F263=$F$7,$G$3,IF(ROUNDDOWN(F263,0)=$F$3,$H$3,$G$3))</f>
        <v>　レベル　2</v>
      </c>
      <c r="G265" s="880" t="s">
        <v>295</v>
      </c>
      <c r="H265" s="920"/>
      <c r="I265" s="920"/>
      <c r="J265" s="920"/>
      <c r="K265" s="920"/>
      <c r="L265" s="920"/>
      <c r="M265" s="920"/>
      <c r="N265" s="581"/>
      <c r="O265" s="582"/>
    </row>
    <row r="266" spans="2:15" ht="21" customHeight="1">
      <c r="B266" s="1">
        <v>3</v>
      </c>
      <c r="D266" s="894"/>
      <c r="E266" s="543"/>
      <c r="F266" s="577" t="str">
        <f>IF(F263=$F$7,$G$4,IF(ROUNDDOWN(F263,0)=$F$4,$H$4,$G$4))</f>
        <v>■レベル　3</v>
      </c>
      <c r="G266" s="880" t="s">
        <v>2579</v>
      </c>
      <c r="H266" s="920"/>
      <c r="I266" s="920"/>
      <c r="J266" s="920"/>
      <c r="K266" s="920"/>
      <c r="L266" s="920"/>
      <c r="M266" s="920"/>
      <c r="N266" s="581"/>
      <c r="O266" s="582"/>
    </row>
    <row r="267" spans="2:15" ht="21" customHeight="1">
      <c r="B267" s="1">
        <v>4</v>
      </c>
      <c r="D267" s="894"/>
      <c r="E267" s="543"/>
      <c r="F267" s="577" t="str">
        <f>IF(F263=$F$7,$G$5,IF(ROUNDDOWN(F263,0)=$F$5,$H$5,$G$5))</f>
        <v>　レベル　4</v>
      </c>
      <c r="G267" s="880" t="s">
        <v>79</v>
      </c>
      <c r="H267" s="920"/>
      <c r="I267" s="920"/>
      <c r="J267" s="920"/>
      <c r="K267" s="920"/>
      <c r="L267" s="920"/>
      <c r="M267" s="920"/>
      <c r="N267" s="581"/>
      <c r="O267" s="582"/>
    </row>
    <row r="268" spans="2:15" ht="21" customHeight="1">
      <c r="B268" s="1">
        <v>5</v>
      </c>
      <c r="D268" s="894"/>
      <c r="E268" s="543"/>
      <c r="F268" s="587" t="str">
        <f>IF(F263=$F$7,$G$6,IF(ROUNDDOWN(F263,0)=$F$6,$H$6,$G$6))</f>
        <v>　レベル　5</v>
      </c>
      <c r="G268" s="881" t="s">
        <v>3715</v>
      </c>
      <c r="H268" s="921"/>
      <c r="I268" s="921"/>
      <c r="J268" s="921"/>
      <c r="K268" s="921"/>
      <c r="L268" s="921"/>
      <c r="M268" s="921"/>
      <c r="N268" s="592"/>
      <c r="O268" s="593"/>
    </row>
    <row r="269" spans="2:15">
      <c r="B269" s="594">
        <v>0</v>
      </c>
      <c r="F269" s="887" t="s">
        <v>3402</v>
      </c>
      <c r="G269" s="2423"/>
      <c r="H269" s="2396"/>
      <c r="I269" s="2396"/>
      <c r="J269" s="2397"/>
      <c r="K269" s="2576"/>
      <c r="L269"/>
      <c r="M269"/>
      <c r="N269"/>
      <c r="O269"/>
    </row>
    <row r="293"/>
    <row r="294"/>
    <row r="295"/>
    <row r="296"/>
    <row r="297"/>
    <row r="298"/>
    <row r="299"/>
    <row r="300"/>
    <row r="301"/>
    <row r="302"/>
    <row r="303"/>
    <row r="304"/>
    <row r="305"/>
  </sheetData>
  <sheetProtection password="B2FC" sheet="1" objects="1" scenarios="1"/>
  <mergeCells count="114">
    <mergeCell ref="O60:O61"/>
    <mergeCell ref="O62:O63"/>
    <mergeCell ref="O64:O65"/>
    <mergeCell ref="O66:O67"/>
    <mergeCell ref="O70:O71"/>
    <mergeCell ref="H114:J117"/>
    <mergeCell ref="K114:N114"/>
    <mergeCell ref="K115:N115"/>
    <mergeCell ref="K116:N116"/>
    <mergeCell ref="K64:N64"/>
    <mergeCell ref="K60:N60"/>
    <mergeCell ref="K62:N62"/>
    <mergeCell ref="K61:N61"/>
    <mergeCell ref="H111:J111"/>
    <mergeCell ref="K111:N111"/>
    <mergeCell ref="K112:N112"/>
    <mergeCell ref="K77:N77"/>
    <mergeCell ref="K67:M67"/>
    <mergeCell ref="K69:M69"/>
    <mergeCell ref="K71:M71"/>
    <mergeCell ref="K65:M65"/>
    <mergeCell ref="K63:M63"/>
    <mergeCell ref="G87:K87"/>
    <mergeCell ref="G62:G63"/>
    <mergeCell ref="G70:G71"/>
    <mergeCell ref="G72:G73"/>
    <mergeCell ref="G74:G75"/>
    <mergeCell ref="G76:G77"/>
    <mergeCell ref="I72:J75"/>
    <mergeCell ref="K75:N75"/>
    <mergeCell ref="K73:N73"/>
    <mergeCell ref="K74:N74"/>
    <mergeCell ref="K72:N72"/>
    <mergeCell ref="H76:H77"/>
    <mergeCell ref="I76:J77"/>
    <mergeCell ref="O76:O77"/>
    <mergeCell ref="K76:N76"/>
    <mergeCell ref="G29:O29"/>
    <mergeCell ref="G31:O31"/>
    <mergeCell ref="G32:O32"/>
    <mergeCell ref="K57:N57"/>
    <mergeCell ref="H57:J57"/>
    <mergeCell ref="O58:O59"/>
    <mergeCell ref="K58:N58"/>
    <mergeCell ref="G66:G67"/>
    <mergeCell ref="G68:G69"/>
    <mergeCell ref="I58:J59"/>
    <mergeCell ref="I60:J65"/>
    <mergeCell ref="I66:J67"/>
    <mergeCell ref="I68:J71"/>
    <mergeCell ref="G58:G59"/>
    <mergeCell ref="H58:H59"/>
    <mergeCell ref="G64:G65"/>
    <mergeCell ref="K59:N59"/>
    <mergeCell ref="O68:O69"/>
    <mergeCell ref="G60:G61"/>
    <mergeCell ref="O72:O73"/>
    <mergeCell ref="O74:O75"/>
    <mergeCell ref="H60:H75"/>
    <mergeCell ref="G256:G258"/>
    <mergeCell ref="H256:N256"/>
    <mergeCell ref="K136:N136"/>
    <mergeCell ref="K137:N137"/>
    <mergeCell ref="K223:N223"/>
    <mergeCell ref="K226:N226"/>
    <mergeCell ref="K225:N225"/>
    <mergeCell ref="K222:N222"/>
    <mergeCell ref="G194:M194"/>
    <mergeCell ref="G196:M196"/>
    <mergeCell ref="G239:O239"/>
    <mergeCell ref="O256:O258"/>
    <mergeCell ref="H257:N257"/>
    <mergeCell ref="H258:N258"/>
    <mergeCell ref="G155:I155"/>
    <mergeCell ref="J155:L155"/>
    <mergeCell ref="G162:I162"/>
    <mergeCell ref="J162:L162"/>
    <mergeCell ref="N173:O177"/>
    <mergeCell ref="H223:J224"/>
    <mergeCell ref="H252:N252"/>
    <mergeCell ref="K227:N227"/>
    <mergeCell ref="G253:G255"/>
    <mergeCell ref="H253:N253"/>
    <mergeCell ref="O253:O255"/>
    <mergeCell ref="H254:N254"/>
    <mergeCell ref="H255:N255"/>
    <mergeCell ref="H222:J222"/>
    <mergeCell ref="K224:N224"/>
    <mergeCell ref="G207:M207"/>
    <mergeCell ref="G208:M208"/>
    <mergeCell ref="G223:G224"/>
    <mergeCell ref="G225:G227"/>
    <mergeCell ref="H225:J227"/>
    <mergeCell ref="G209:M209"/>
    <mergeCell ref="G183:I183"/>
    <mergeCell ref="J183:L183"/>
    <mergeCell ref="N194:O198"/>
    <mergeCell ref="N205:O209"/>
    <mergeCell ref="G206:M206"/>
    <mergeCell ref="N145:O149"/>
    <mergeCell ref="K135:N135"/>
    <mergeCell ref="H136:J137"/>
    <mergeCell ref="H130:J130"/>
    <mergeCell ref="K130:N130"/>
    <mergeCell ref="L87:O87"/>
    <mergeCell ref="K117:N117"/>
    <mergeCell ref="K113:N113"/>
    <mergeCell ref="H112:J113"/>
    <mergeCell ref="H131:J131"/>
    <mergeCell ref="K131:N131"/>
    <mergeCell ref="H132:J134"/>
    <mergeCell ref="K132:N132"/>
    <mergeCell ref="K133:N133"/>
    <mergeCell ref="K134:N134"/>
  </mergeCells>
  <phoneticPr fontId="22"/>
  <conditionalFormatting sqref="F28 F83 F93 F144 F172 F193 F204 F232 F263">
    <cfRule type="expression" dxfId="14" priority="18" stopIfTrue="1">
      <formula>AND(OR(F28&lt;1,F28&gt;5),F28&lt;&gt;0)</formula>
    </cfRule>
    <cfRule type="expression" dxfId="13" priority="19" stopIfTrue="1">
      <formula>$J27&gt;0</formula>
    </cfRule>
  </conditionalFormatting>
  <conditionalFormatting sqref="G223:G227">
    <cfRule type="expression" dxfId="12" priority="16" stopIfTrue="1">
      <formula>$J$213&gt;0</formula>
    </cfRule>
  </conditionalFormatting>
  <dataValidations xWindow="203" yWindow="331" count="1">
    <dataValidation type="list" allowBlank="1" showInputMessage="1" sqref="F28 F83 F93 F144 F172 F193 F204 F232 F263" xr:uid="{00000000-0002-0000-0E00-000000000000}">
      <formula1>$B29:$B34</formula1>
    </dataValidation>
  </dataValidations>
  <printOptions horizontalCentered="1"/>
  <pageMargins left="0.59055118110236227" right="0.59055118110236227" top="0.78740157480314965" bottom="0.59055118110236227" header="0.51181102362204722" footer="0.51181102362204722"/>
  <pageSetup paperSize="9" scale="80" fitToHeight="0" orientation="portrait" verticalDpi="4294967293" r:id="rId1"/>
  <headerFooter alignWithMargins="0">
    <oddHeader>&amp;L&amp;F&amp;R&amp;A</oddHeader>
    <oddFooter>&amp;C&amp;P/&amp;N</oddFooter>
  </headerFooter>
  <rowBreaks count="6" manualBreakCount="6">
    <brk id="55" min="3" max="15" man="1"/>
    <brk id="79" min="3" max="15" man="1"/>
    <brk id="119" min="3" max="15" man="1"/>
    <brk id="169" min="3" max="15" man="1"/>
    <brk id="211" min="3" max="15" man="1"/>
    <brk id="240" min="3" max="15" man="1"/>
  </row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pageSetUpPr fitToPage="1"/>
  </sheetPr>
  <dimension ref="A1:AB183"/>
  <sheetViews>
    <sheetView showGridLines="0" workbookViewId="0"/>
  </sheetViews>
  <sheetFormatPr defaultColWidth="0" defaultRowHeight="13.5" zeroHeight="1"/>
  <cols>
    <col min="1" max="1" width="1.125" customWidth="1"/>
    <col min="2" max="2" width="2.375" customWidth="1"/>
    <col min="3" max="3" width="2" customWidth="1"/>
    <col min="4" max="4" width="17" customWidth="1"/>
    <col min="5" max="5" width="20.125" customWidth="1"/>
    <col min="6" max="6" width="7.5" bestFit="1" customWidth="1"/>
    <col min="7" max="7" width="2" customWidth="1"/>
    <col min="8" max="8" width="10" customWidth="1"/>
    <col min="9" max="9" width="9.625" customWidth="1"/>
    <col min="10" max="10" width="8.875" customWidth="1"/>
    <col min="11" max="11" width="9.125" customWidth="1"/>
    <col min="12" max="12" width="11.75" bestFit="1" customWidth="1"/>
    <col min="13" max="13" width="6" bestFit="1" customWidth="1"/>
    <col min="14" max="14" width="8" bestFit="1" customWidth="1"/>
    <col min="15" max="15" width="11.75" bestFit="1" customWidth="1"/>
    <col min="16" max="16" width="2.625" customWidth="1"/>
    <col min="17" max="17" width="6.25" hidden="1" customWidth="1"/>
    <col min="18" max="18" width="9.125" hidden="1" customWidth="1"/>
    <col min="19" max="19" width="13" hidden="1" customWidth="1"/>
    <col min="20" max="20" width="6.875" hidden="1" customWidth="1"/>
    <col min="21" max="21" width="12" hidden="1" customWidth="1"/>
    <col min="22" max="22" width="5" hidden="1" customWidth="1"/>
    <col min="23" max="23" width="6.125" hidden="1" customWidth="1"/>
    <col min="24" max="24" width="8" hidden="1" customWidth="1"/>
    <col min="25" max="25" width="6.375" hidden="1" customWidth="1"/>
    <col min="26" max="26" width="5" hidden="1" customWidth="1"/>
    <col min="27" max="28" width="5.25" hidden="1" customWidth="1"/>
    <col min="29" max="16384" width="9" hidden="1"/>
  </cols>
  <sheetData>
    <row r="1" spans="1:27" ht="7.5" customHeight="1" thickBot="1">
      <c r="A1" s="45"/>
    </row>
    <row r="2" spans="1:27" ht="14.25">
      <c r="B2" s="470" t="str">
        <f>メイン!C6</f>
        <v>CASBEE-建築(新築)2016年版</v>
      </c>
      <c r="C2" s="471"/>
      <c r="D2" s="472"/>
      <c r="E2" s="473"/>
      <c r="F2" s="474"/>
      <c r="G2" s="474"/>
      <c r="H2" s="474"/>
      <c r="I2" s="474"/>
      <c r="J2" s="474"/>
      <c r="K2" s="474"/>
      <c r="L2" s="3539" t="s">
        <v>1798</v>
      </c>
      <c r="M2" s="3539"/>
      <c r="N2" s="3540" t="str">
        <f>メイン!C6</f>
        <v>CASBEE-建築(新築)2016年版</v>
      </c>
      <c r="O2" s="3541"/>
    </row>
    <row r="3" spans="1:27" ht="14.25" thickBot="1">
      <c r="B3" s="475" t="str">
        <f>メイン!C11</f>
        <v>○○ビル</v>
      </c>
      <c r="C3" s="476"/>
      <c r="D3" s="477"/>
      <c r="E3" s="478"/>
      <c r="F3" s="474"/>
      <c r="G3" s="474"/>
      <c r="H3" s="474"/>
      <c r="I3" s="474"/>
      <c r="J3" s="474"/>
      <c r="K3" s="474"/>
      <c r="L3" s="3539" t="s">
        <v>2170</v>
      </c>
      <c r="M3" s="3542"/>
      <c r="N3" s="1452" t="str">
        <f>メイン!C5</f>
        <v>CASBEE-BD_NC_2016(v4.02)</v>
      </c>
      <c r="O3" s="479"/>
    </row>
    <row r="4" spans="1:27" ht="6.75" customHeight="1" thickBot="1">
      <c r="B4" s="474"/>
      <c r="C4" s="474"/>
      <c r="D4" s="474"/>
      <c r="E4" s="474"/>
      <c r="F4" s="474"/>
      <c r="G4" s="474"/>
      <c r="H4" s="474"/>
      <c r="I4" s="474"/>
      <c r="J4" s="474"/>
      <c r="K4" s="474"/>
      <c r="L4" s="474"/>
      <c r="M4" s="474"/>
      <c r="N4" s="474"/>
      <c r="O4" s="474"/>
    </row>
    <row r="5" spans="1:27" ht="18.75">
      <c r="B5" s="480" t="s">
        <v>2001</v>
      </c>
      <c r="C5" s="481"/>
      <c r="D5" s="482"/>
      <c r="E5" s="481"/>
      <c r="F5" s="483"/>
      <c r="G5" s="483"/>
      <c r="H5" s="483"/>
      <c r="I5" s="483"/>
      <c r="J5" s="483"/>
      <c r="K5" s="481"/>
      <c r="L5" s="484"/>
      <c r="M5" s="485"/>
      <c r="N5" s="486"/>
      <c r="O5" s="487"/>
    </row>
    <row r="6" spans="1:27" ht="14.25">
      <c r="B6" s="488"/>
      <c r="C6" s="489"/>
      <c r="D6" s="490"/>
      <c r="E6" s="489"/>
      <c r="F6" s="491"/>
      <c r="G6" s="491"/>
      <c r="H6" s="491"/>
      <c r="I6" s="491"/>
      <c r="J6" s="491"/>
      <c r="K6" s="489"/>
      <c r="L6" s="1352" t="s">
        <v>2002</v>
      </c>
      <c r="M6" s="493"/>
      <c r="N6" s="494"/>
      <c r="O6" s="1480" t="s">
        <v>2003</v>
      </c>
      <c r="R6" t="s">
        <v>637</v>
      </c>
      <c r="S6" t="s">
        <v>636</v>
      </c>
      <c r="T6" t="s">
        <v>638</v>
      </c>
      <c r="U6" t="s">
        <v>639</v>
      </c>
    </row>
    <row r="7" spans="1:27" ht="16.5">
      <c r="B7" s="495" t="s">
        <v>1621</v>
      </c>
      <c r="C7" s="489"/>
      <c r="D7" s="490"/>
      <c r="E7" s="489"/>
      <c r="F7" s="491"/>
      <c r="G7" s="491"/>
      <c r="H7" s="491"/>
      <c r="I7" s="491"/>
      <c r="J7" s="491"/>
      <c r="K7" s="489"/>
      <c r="L7" s="496"/>
      <c r="M7" s="493"/>
      <c r="N7" s="494"/>
      <c r="O7" s="498"/>
      <c r="R7" t="s">
        <v>2590</v>
      </c>
      <c r="T7" t="s">
        <v>2591</v>
      </c>
      <c r="U7" s="1545">
        <f>SUM(S8:S20)+U21+S22+S23+S25</f>
        <v>5000</v>
      </c>
    </row>
    <row r="8" spans="1:27" ht="14.25">
      <c r="B8" s="1312"/>
      <c r="C8" s="499" t="s">
        <v>1623</v>
      </c>
      <c r="D8" s="500"/>
      <c r="E8" s="489"/>
      <c r="F8" s="491"/>
      <c r="G8" s="491"/>
      <c r="H8" s="496"/>
      <c r="I8" s="497"/>
      <c r="J8" s="496" t="s">
        <v>1622</v>
      </c>
      <c r="K8" s="497"/>
      <c r="L8" s="496" t="s">
        <v>1622</v>
      </c>
      <c r="M8" s="497"/>
      <c r="N8" s="497"/>
      <c r="O8" s="498" t="s">
        <v>1622</v>
      </c>
      <c r="R8" s="1" t="str">
        <f>メイン!B47</f>
        <v xml:space="preserve"> 事務所</v>
      </c>
      <c r="S8" s="1544">
        <f>メイン!C47</f>
        <v>5000</v>
      </c>
    </row>
    <row r="9" spans="1:27">
      <c r="B9" s="1312"/>
      <c r="C9" s="506"/>
      <c r="D9" s="506" t="s">
        <v>275</v>
      </c>
      <c r="E9" s="504"/>
      <c r="F9" s="1481" t="s">
        <v>1356</v>
      </c>
      <c r="G9" s="504"/>
      <c r="H9" s="501" t="s">
        <v>1357</v>
      </c>
      <c r="I9" s="501" t="s">
        <v>1358</v>
      </c>
      <c r="J9" s="501" t="s">
        <v>1359</v>
      </c>
      <c r="K9" s="502" t="s">
        <v>273</v>
      </c>
      <c r="L9" s="503" t="s">
        <v>274</v>
      </c>
      <c r="M9" s="504"/>
      <c r="N9" s="502" t="s">
        <v>273</v>
      </c>
      <c r="O9" s="505" t="s">
        <v>274</v>
      </c>
      <c r="R9" s="1">
        <f>メイン!B48</f>
        <v>0</v>
      </c>
      <c r="S9" s="1544">
        <f>メイン!C48</f>
        <v>0</v>
      </c>
    </row>
    <row r="10" spans="1:27">
      <c r="B10" s="1315"/>
      <c r="C10" s="506"/>
      <c r="D10" s="506"/>
      <c r="E10" s="506" t="s">
        <v>377</v>
      </c>
      <c r="F10" s="1482">
        <f>IF($U$7=0,0,S8/$U$7)</f>
        <v>1</v>
      </c>
      <c r="G10" s="504"/>
      <c r="H10" s="1482">
        <f>IF(OR($F$20=$R$6,$F$20=$U$6),CO2データ!I12,IF($F$20=$S$6,CO2データ!L12,CO2データ!O12))</f>
        <v>13.998000000000001</v>
      </c>
      <c r="I10" s="1482">
        <f>IF(OR($F$20=$R$6,$F$20=$U$6),CO2データ!J12,IF($F$20=$S$6,CO2データ!M12,CO2データ!P12))</f>
        <v>13.998000000000001</v>
      </c>
      <c r="J10" s="1483">
        <f>IF(OR($F$20=$R$6,$F$20=$U$6),CO2データ!K12,IF($F$20=$S$6,CO2データ!N12,CO2データ!Q12))</f>
        <v>13.998000000000001</v>
      </c>
      <c r="K10" s="1326">
        <f>スコア!Q83</f>
        <v>3</v>
      </c>
      <c r="L10" s="1484">
        <f t="shared" ref="L10:L18" si="0">IF(K10&gt;=5,$J10,IF(K10&gt;=4,$I10,$H10))</f>
        <v>13.998000000000001</v>
      </c>
      <c r="M10" s="504"/>
      <c r="N10" s="1326">
        <v>3</v>
      </c>
      <c r="O10" s="1485">
        <f>IF(OR($F$20=$R$6,$F$20=$U$6),CO2データ!I7,IF($F$20=$S$6,CO2データ!L7,CO2データ!O7))</f>
        <v>13.998000000000001</v>
      </c>
      <c r="R10" s="1" t="str">
        <f>メイン!B49</f>
        <v xml:space="preserve"> 学校</v>
      </c>
      <c r="S10" s="1544">
        <f>メイン!C49</f>
        <v>0</v>
      </c>
    </row>
    <row r="11" spans="1:27">
      <c r="B11" s="1315"/>
      <c r="C11" s="506"/>
      <c r="D11" s="1486"/>
      <c r="E11" s="506" t="s">
        <v>1487</v>
      </c>
      <c r="F11" s="1482">
        <f>IF($U$7=0,0,S10/$U$7)</f>
        <v>0</v>
      </c>
      <c r="G11" s="504"/>
      <c r="H11" s="1482">
        <f>IF(OR($F$20=$R$6,$F$20=$U$6),CO2データ!I18,IF($F$20=$S$6,CO2データ!L18,CO2データ!O18))</f>
        <v>14.002000000000002</v>
      </c>
      <c r="I11" s="1482">
        <f>IF(OR($F$20=$R$6,$F$20=$U$6),CO2データ!J18,IF($F$20=$S$6,CO2データ!M18,CO2データ!P18))</f>
        <v>14.002000000000002</v>
      </c>
      <c r="J11" s="1483">
        <f>IF(OR($F$20=$R$6,$F$20=$U$6),CO2データ!K18,IF($F$20=$S$6,CO2データ!N18,CO2データ!Q18))</f>
        <v>14.002000000000002</v>
      </c>
      <c r="K11" s="1326">
        <f t="shared" ref="K11:K18" si="1">K$10</f>
        <v>3</v>
      </c>
      <c r="L11" s="1484">
        <f t="shared" si="0"/>
        <v>14.002000000000002</v>
      </c>
      <c r="M11" s="504"/>
      <c r="N11" s="1326">
        <f t="shared" ref="N11:N18" si="2">N$10</f>
        <v>3</v>
      </c>
      <c r="O11" s="1485">
        <f>IF(OR($F$20=$R$6,$F$20=$U$6),CO2データ!I13,IF($F$20=$S$6,CO2データ!L13,CO2データ!O13))</f>
        <v>14.002000000000002</v>
      </c>
      <c r="R11" s="1">
        <f>メイン!B50</f>
        <v>0</v>
      </c>
      <c r="S11" s="1544">
        <f>メイン!C50</f>
        <v>0</v>
      </c>
      <c r="AA11" t="str">
        <f>重み!AB6</f>
        <v>学校</v>
      </c>
    </row>
    <row r="12" spans="1:27">
      <c r="B12" s="1315"/>
      <c r="C12" s="506"/>
      <c r="D12" s="506"/>
      <c r="E12" s="506" t="s">
        <v>379</v>
      </c>
      <c r="F12" s="1482">
        <f>IF($U$7=0,0,S15/$U$7)</f>
        <v>0</v>
      </c>
      <c r="G12" s="504"/>
      <c r="H12" s="1482">
        <f>IF(OR($F$20=$R$6,$F$20=$U$6),CO2データ!I24,IF($F$20=$S$6,CO2データ!L24,CO2データ!O24))</f>
        <v>16.960999999999999</v>
      </c>
      <c r="I12" s="1482">
        <f>IF(OR($F$20=$R$6,$F$20=$U$6),CO2データ!J24,IF($F$20=$S$6,CO2データ!M24,CO2データ!P24))</f>
        <v>16.960999999999999</v>
      </c>
      <c r="J12" s="1483">
        <f>IF(OR($F$20=$R$6,$F$20=$U$6),CO2データ!K24,IF($F$20=$S$6,CO2データ!N24,CO2データ!Q24))</f>
        <v>16.960999999999999</v>
      </c>
      <c r="K12" s="1326">
        <f t="shared" si="1"/>
        <v>3</v>
      </c>
      <c r="L12" s="1484">
        <f t="shared" si="0"/>
        <v>16.960999999999999</v>
      </c>
      <c r="M12" s="504"/>
      <c r="N12" s="1326">
        <f t="shared" si="2"/>
        <v>3</v>
      </c>
      <c r="O12" s="1485">
        <f>IF(OR($F$20=$R$6,$F$20=$U$6),CO2データ!I19,IF($F$20=$S$6,CO2データ!L19,CO2データ!O19))</f>
        <v>16.960999999999999</v>
      </c>
      <c r="R12" s="1">
        <f>メイン!B51</f>
        <v>0</v>
      </c>
      <c r="S12" s="1544">
        <f>メイン!C51</f>
        <v>0</v>
      </c>
      <c r="AA12">
        <f>重み!AB7</f>
        <v>0</v>
      </c>
    </row>
    <row r="13" spans="1:27">
      <c r="B13" s="1315"/>
      <c r="C13" s="506"/>
      <c r="D13" s="506"/>
      <c r="E13" s="506" t="s">
        <v>380</v>
      </c>
      <c r="F13" s="1482">
        <f>IF($U$7=0,0,S17/$U$7)</f>
        <v>0</v>
      </c>
      <c r="G13" s="504"/>
      <c r="H13" s="1482">
        <f>IF(OR($F$20=$R$6,$F$20=$U$6),CO2データ!I30,IF($F$20=$S$6,CO2データ!L30,CO2データ!O30))</f>
        <v>16.960999999999999</v>
      </c>
      <c r="I13" s="1482">
        <f>IF(OR($F$20=$R$6,$F$20=$U$6),CO2データ!J30,IF($F$20=$S$6,CO2データ!M30,CO2データ!P30))</f>
        <v>16.960999999999999</v>
      </c>
      <c r="J13" s="1483">
        <f>IF(OR($F$20=$R$6,$F$20=$U$6),CO2データ!K30,IF($F$20=$S$6,CO2データ!N30,CO2データ!Q30))</f>
        <v>16.960999999999999</v>
      </c>
      <c r="K13" s="1326">
        <f t="shared" si="1"/>
        <v>3</v>
      </c>
      <c r="L13" s="1484">
        <f t="shared" si="0"/>
        <v>16.960999999999999</v>
      </c>
      <c r="M13" s="504"/>
      <c r="N13" s="1326">
        <f t="shared" si="2"/>
        <v>3</v>
      </c>
      <c r="O13" s="1485">
        <f>IF(OR($F$20=$R$6,$F$20=$U$6),CO2データ!I25,IF($F$20=$S$6,CO2データ!L25,CO2データ!O25))</f>
        <v>16.960999999999999</v>
      </c>
      <c r="R13" s="1">
        <f>メイン!B52</f>
        <v>0</v>
      </c>
      <c r="S13" s="1544">
        <f>メイン!C52</f>
        <v>0</v>
      </c>
    </row>
    <row r="14" spans="1:27">
      <c r="B14" s="1315"/>
      <c r="C14" s="506"/>
      <c r="D14" s="506"/>
      <c r="E14" s="1317" t="s">
        <v>1643</v>
      </c>
      <c r="F14" s="1482">
        <f>IF($U$7=0,0,S18/$U$7)</f>
        <v>0</v>
      </c>
      <c r="G14" s="504"/>
      <c r="H14" s="1482">
        <f>IF(OR($F$20=$R$6,$F$20=$U$6),CO2データ!I36,IF($F$20=$S$6,CO2データ!L36,CO2データ!O36))</f>
        <v>13.079000000000001</v>
      </c>
      <c r="I14" s="1482">
        <f>IF(OR($F$20=$R$6,$F$20=$U$6),CO2データ!J36,IF($F$20=$S$6,CO2データ!M36,CO2データ!P36))</f>
        <v>13.079000000000001</v>
      </c>
      <c r="J14" s="1483">
        <f>IF(OR($F$20=$R$6,$F$20=$U$6),CO2データ!K36,IF($F$20=$S$6,CO2データ!N36,CO2データ!Q36))</f>
        <v>13.079000000000001</v>
      </c>
      <c r="K14" s="1326">
        <f t="shared" si="1"/>
        <v>3</v>
      </c>
      <c r="L14" s="1484">
        <f t="shared" si="0"/>
        <v>13.079000000000001</v>
      </c>
      <c r="M14" s="504"/>
      <c r="N14" s="1326">
        <f t="shared" si="2"/>
        <v>3</v>
      </c>
      <c r="O14" s="1485">
        <f>IF(OR($F$20=$R$6,$F$20=$U$6),CO2データ!I31,IF($F$20=$S$6,CO2データ!L31,CO2データ!O31))</f>
        <v>13.079000000000001</v>
      </c>
      <c r="R14" s="1">
        <f>メイン!B53</f>
        <v>0</v>
      </c>
      <c r="S14" s="1544">
        <f>メイン!C53</f>
        <v>0</v>
      </c>
    </row>
    <row r="15" spans="1:27">
      <c r="B15" s="1315"/>
      <c r="C15" s="506"/>
      <c r="D15" s="506"/>
      <c r="E15" s="1317" t="s">
        <v>385</v>
      </c>
      <c r="F15" s="1482">
        <f>IF($U$7=0,0,U21/$U$7)</f>
        <v>0</v>
      </c>
      <c r="G15" s="504"/>
      <c r="H15" s="1482">
        <f>IF(OR($F$20=$R$6,$F$20=$U$6),CO2データ!I42,IF($F$20=$S$6,CO2データ!L42,CO2データ!O42))</f>
        <v>23.650000000000002</v>
      </c>
      <c r="I15" s="1482">
        <f>IF(OR($F$20=$R$6,$F$20=$U$6),CO2データ!J42,IF($F$20=$S$6,CO2データ!M42,CO2データ!P42))</f>
        <v>23.650000000000002</v>
      </c>
      <c r="J15" s="1483">
        <f>IF(OR($F$20=$R$6,$F$20=$U$6),CO2データ!K42,IF($F$20=$S$6,CO2データ!N42,CO2データ!Q42))</f>
        <v>23.650000000000002</v>
      </c>
      <c r="K15" s="1326">
        <f t="shared" si="1"/>
        <v>3</v>
      </c>
      <c r="L15" s="1484">
        <f t="shared" si="0"/>
        <v>23.650000000000002</v>
      </c>
      <c r="M15" s="504"/>
      <c r="N15" s="1326">
        <f t="shared" si="2"/>
        <v>3</v>
      </c>
      <c r="O15" s="1485">
        <f>IF(OR($F$20=$R$6,$F$20=$U$6),CO2データ!I37,IF($F$20=$S$6,CO2データ!L37,CO2データ!O37))</f>
        <v>23.650000000000002</v>
      </c>
      <c r="R15" s="1" t="str">
        <f>メイン!B54</f>
        <v xml:space="preserve"> 物販店</v>
      </c>
      <c r="S15" s="1544">
        <f>メイン!C54</f>
        <v>0</v>
      </c>
    </row>
    <row r="16" spans="1:27">
      <c r="B16" s="1315"/>
      <c r="C16" s="506"/>
      <c r="D16" s="506"/>
      <c r="E16" s="1317" t="s">
        <v>382</v>
      </c>
      <c r="F16" s="1482">
        <f>IF($U$7=0,0,S22/$U$7)</f>
        <v>0</v>
      </c>
      <c r="G16" s="504"/>
      <c r="H16" s="1482">
        <f>IF(OR($F$20=$R$6,$F$20=$U$6),CO2データ!I48,IF($F$20=$S$6,CO2データ!L48,CO2データ!O48))</f>
        <v>13.704000000000001</v>
      </c>
      <c r="I16" s="1482">
        <f>IF(OR($F$20=$R$6,$F$20=$U$6),CO2データ!J48,IF($F$20=$S$6,CO2データ!M48,CO2データ!P48))</f>
        <v>13.704000000000001</v>
      </c>
      <c r="J16" s="1483">
        <f>IF(OR($F$20=$R$6,$F$20=$U$6),CO2データ!K48,IF($F$20=$S$6,CO2データ!N48,CO2データ!Q48))</f>
        <v>13.704000000000001</v>
      </c>
      <c r="K16" s="1326">
        <f t="shared" si="1"/>
        <v>3</v>
      </c>
      <c r="L16" s="1484">
        <f t="shared" si="0"/>
        <v>13.704000000000001</v>
      </c>
      <c r="M16" s="504"/>
      <c r="N16" s="1326">
        <f t="shared" si="2"/>
        <v>3</v>
      </c>
      <c r="O16" s="1485">
        <f>IF(OR($F$20=$R$6,$F$20=$U$6),CO2データ!I43,IF($F$20=$S$6,CO2データ!L43,CO2データ!O43))</f>
        <v>13.704000000000001</v>
      </c>
      <c r="R16" s="1">
        <f>メイン!B55</f>
        <v>0</v>
      </c>
      <c r="S16" s="1544">
        <f>メイン!C55</f>
        <v>0</v>
      </c>
    </row>
    <row r="17" spans="2:21">
      <c r="B17" s="1315"/>
      <c r="C17" s="506"/>
      <c r="D17" s="506"/>
      <c r="E17" s="1317" t="s">
        <v>276</v>
      </c>
      <c r="F17" s="1482">
        <f>IF($U$7=0,0,S23/$U$7)</f>
        <v>0</v>
      </c>
      <c r="G17" s="504"/>
      <c r="H17" s="1482">
        <f>IF(OR($F$20=$R$6,$F$20=$U$6),CO2データ!I54,IF($F$20=$S$6,CO2データ!L54,CO2データ!O54))</f>
        <v>13.53</v>
      </c>
      <c r="I17" s="1482">
        <f>IF(OR($F$20=$R$6,$F$20=$U$6),CO2データ!J54,IF($F$20=$S$6,CO2データ!M54,CO2データ!P54))</f>
        <v>13.53</v>
      </c>
      <c r="J17" s="1483">
        <f>IF(OR($F$20=$R$6,$F$20=$U$6),CO2データ!K54,IF($F$20=$S$6,CO2データ!N54,CO2データ!Q54))</f>
        <v>13.53</v>
      </c>
      <c r="K17" s="1326">
        <f t="shared" si="1"/>
        <v>3</v>
      </c>
      <c r="L17" s="1484">
        <f t="shared" si="0"/>
        <v>13.53</v>
      </c>
      <c r="M17" s="504"/>
      <c r="N17" s="1326">
        <f t="shared" si="2"/>
        <v>3</v>
      </c>
      <c r="O17" s="1485">
        <f>IF(OR($F$20=$R$6,$F$20=$U$6),CO2データ!I49,IF($F$20=$S$6,CO2データ!L49,CO2データ!O49))</f>
        <v>13.53</v>
      </c>
      <c r="R17" s="1" t="str">
        <f>メイン!B56</f>
        <v xml:space="preserve"> 飲食店</v>
      </c>
      <c r="S17" s="1544">
        <f>メイン!C56</f>
        <v>0</v>
      </c>
    </row>
    <row r="18" spans="2:21">
      <c r="B18" s="1315"/>
      <c r="C18" s="506"/>
      <c r="D18" s="506"/>
      <c r="E18" s="1317" t="s">
        <v>1624</v>
      </c>
      <c r="F18" s="1482">
        <f>IF($U$7=0,0,S25/$U$7)</f>
        <v>0</v>
      </c>
      <c r="G18" s="504"/>
      <c r="H18" s="1482">
        <f>IF(OR($F$20=$R$6,$F$20=$U$6),CO2データ!I60,IF($F$20=$S$6,CO2データ!L60,CO2データ!O60))</f>
        <v>22.378</v>
      </c>
      <c r="I18" s="1482">
        <f>IF(OR($F$20=$R$6,$F$20=$U$6),CO2データ!J60,IF($F$20=$S$6,CO2データ!M60,CO2データ!P60))</f>
        <v>11.187999999999999</v>
      </c>
      <c r="J18" s="1483">
        <f>IF(OR($F$20=$R$6,$F$20=$U$6),CO2データ!K60,IF($F$20=$S$6,CO2データ!N60,CO2データ!Q60))</f>
        <v>7.4590000000000005</v>
      </c>
      <c r="K18" s="1326">
        <f t="shared" si="1"/>
        <v>3</v>
      </c>
      <c r="L18" s="1484">
        <f t="shared" si="0"/>
        <v>22.378</v>
      </c>
      <c r="M18" s="504"/>
      <c r="N18" s="1326">
        <f t="shared" si="2"/>
        <v>3</v>
      </c>
      <c r="O18" s="1485">
        <f>IF(OR($F$20=$R$6,$F$20=$U$6),CO2データ!I55,IF($F$20=$S$6,CO2データ!L55,CO2データ!O55))</f>
        <v>22.378</v>
      </c>
      <c r="R18" s="1" t="str">
        <f>メイン!B57</f>
        <v xml:space="preserve"> 集会所</v>
      </c>
      <c r="S18" s="1544">
        <f>メイン!C57</f>
        <v>0</v>
      </c>
    </row>
    <row r="19" spans="2:21">
      <c r="B19" s="1315"/>
      <c r="C19" s="506"/>
      <c r="D19" s="506"/>
      <c r="E19" s="506"/>
      <c r="F19" s="506"/>
      <c r="G19" s="506"/>
      <c r="H19" s="506"/>
      <c r="I19" s="1487"/>
      <c r="J19" s="1487"/>
      <c r="K19" s="1488"/>
      <c r="L19" s="1489"/>
      <c r="M19" s="504"/>
      <c r="N19" s="1488"/>
      <c r="O19" s="1490"/>
      <c r="R19" s="1">
        <f>メイン!B58</f>
        <v>0</v>
      </c>
      <c r="S19" s="1544">
        <f>メイン!C58</f>
        <v>0</v>
      </c>
    </row>
    <row r="20" spans="2:21">
      <c r="B20" s="1315"/>
      <c r="C20" s="504"/>
      <c r="D20" s="504" t="s">
        <v>277</v>
      </c>
      <c r="E20" s="504"/>
      <c r="F20" s="1491">
        <f>メイン!C23</f>
        <v>0</v>
      </c>
      <c r="G20" s="504"/>
      <c r="H20" s="1492"/>
      <c r="I20" s="1492"/>
      <c r="J20" s="1492"/>
      <c r="K20" s="1493"/>
      <c r="L20" s="504"/>
      <c r="M20" s="504"/>
      <c r="N20" s="1493"/>
      <c r="O20" s="1494"/>
      <c r="R20" s="1">
        <f>メイン!B59</f>
        <v>0</v>
      </c>
      <c r="S20" s="1544">
        <f>メイン!C59</f>
        <v>0</v>
      </c>
    </row>
    <row r="21" spans="2:21">
      <c r="B21" s="1495"/>
      <c r="C21" s="7"/>
      <c r="D21" s="7" t="s">
        <v>278</v>
      </c>
      <c r="E21" s="7"/>
      <c r="F21" s="1496">
        <f>'条件(標準)'!E31</f>
        <v>0</v>
      </c>
      <c r="G21" s="7"/>
      <c r="H21" s="7"/>
      <c r="I21" s="7"/>
      <c r="J21" s="7"/>
      <c r="K21" s="7"/>
      <c r="L21" s="7"/>
      <c r="M21" s="7"/>
      <c r="N21" s="1497">
        <v>0</v>
      </c>
      <c r="O21" s="1412"/>
      <c r="R21" s="1" t="str">
        <f>メイン!B60</f>
        <v xml:space="preserve"> 工場</v>
      </c>
      <c r="S21" s="1544">
        <f>メイン!C60</f>
        <v>0</v>
      </c>
      <c r="T21" s="1544" t="str">
        <f>メイン!D60</f>
        <v>㎡ 　うち省エネ計画対象面積</v>
      </c>
      <c r="U21" s="1544">
        <f>メイン!E60</f>
        <v>0</v>
      </c>
    </row>
    <row r="22" spans="2:21">
      <c r="B22" s="1495"/>
      <c r="C22" s="7"/>
      <c r="D22" s="7" t="s">
        <v>2004</v>
      </c>
      <c r="E22" s="7"/>
      <c r="F22" s="1496">
        <f>'条件(標準)'!E30</f>
        <v>0</v>
      </c>
      <c r="G22" s="7"/>
      <c r="H22" s="7"/>
      <c r="I22" s="7"/>
      <c r="J22" s="7"/>
      <c r="K22" s="7"/>
      <c r="L22" s="7"/>
      <c r="M22" s="7"/>
      <c r="N22" s="1497">
        <v>0</v>
      </c>
      <c r="O22" s="1412"/>
      <c r="R22" s="1" t="str">
        <f>メイン!B61</f>
        <v xml:space="preserve"> 病院</v>
      </c>
      <c r="S22" s="1544">
        <f>メイン!C61</f>
        <v>0</v>
      </c>
    </row>
    <row r="23" spans="2:21" ht="5.25" customHeight="1" thickBot="1">
      <c r="B23" s="1495"/>
      <c r="C23" s="7"/>
      <c r="D23" s="7"/>
      <c r="E23" s="7"/>
      <c r="F23" s="7"/>
      <c r="G23" s="7"/>
      <c r="H23" s="7"/>
      <c r="I23" s="7"/>
      <c r="J23" s="7"/>
      <c r="K23" s="7"/>
      <c r="L23" s="7"/>
      <c r="M23" s="7"/>
      <c r="N23" s="7"/>
      <c r="O23" s="1412"/>
      <c r="R23" s="1" t="str">
        <f>メイン!B62</f>
        <v xml:space="preserve"> ホテル</v>
      </c>
      <c r="S23" s="1544">
        <f>メイン!C62</f>
        <v>0</v>
      </c>
    </row>
    <row r="24" spans="2:21" ht="14.25" thickBot="1">
      <c r="B24" s="1495"/>
      <c r="C24" s="499" t="s">
        <v>2005</v>
      </c>
      <c r="D24" s="506"/>
      <c r="E24" s="504"/>
      <c r="F24" s="7"/>
      <c r="G24" s="7"/>
      <c r="H24" s="7"/>
      <c r="I24" s="7"/>
      <c r="J24" s="7"/>
      <c r="K24" s="7"/>
      <c r="L24" s="1498">
        <f>SUMPRODUCT(F10:F18,L10:L18)</f>
        <v>13.998000000000001</v>
      </c>
      <c r="M24" s="7"/>
      <c r="N24" s="7"/>
      <c r="O24" s="1498">
        <f>SUMPRODUCT(F10:F18,O10:O18)</f>
        <v>13.998000000000001</v>
      </c>
      <c r="R24" s="1" t="str">
        <f>メイン!B63</f>
        <v xml:space="preserve"> 非住宅　小計</v>
      </c>
      <c r="S24" s="1544">
        <f>メイン!C63</f>
        <v>5000</v>
      </c>
    </row>
    <row r="25" spans="2:21">
      <c r="B25" s="1495"/>
      <c r="C25" s="504"/>
      <c r="D25" s="506"/>
      <c r="E25" s="1317"/>
      <c r="F25" s="7"/>
      <c r="G25" s="7"/>
      <c r="H25" s="7"/>
      <c r="I25" s="7"/>
      <c r="J25" s="7"/>
      <c r="K25" s="7"/>
      <c r="L25" s="1499"/>
      <c r="M25" s="7"/>
      <c r="N25" s="7"/>
      <c r="O25" s="1500"/>
      <c r="R25" s="1" t="str">
        <f>メイン!B64</f>
        <v xml:space="preserve"> 集合住宅</v>
      </c>
      <c r="S25" s="1544">
        <f>メイン!C64</f>
        <v>0</v>
      </c>
    </row>
    <row r="26" spans="2:21" hidden="1">
      <c r="B26" s="1495"/>
      <c r="C26" s="504" t="s">
        <v>2006</v>
      </c>
      <c r="D26" s="7"/>
      <c r="E26" s="506" t="s">
        <v>377</v>
      </c>
      <c r="F26" s="1491">
        <f>メイン!N47</f>
        <v>1</v>
      </c>
      <c r="G26" s="7"/>
      <c r="H26" s="1482">
        <f>IF(OR($F$20=$R$6,$F$20=$U$6),CO2データ!I242,IF($F$20=$S$6,CO2データ!L242,CO2データ!O242))</f>
        <v>60</v>
      </c>
      <c r="I26" s="1482">
        <f>IF(OR($F$20=$R$6,$F$20=$U$6),CO2データ!J242,IF($F$20=$S$6,CO2データ!M242,CO2データ!P242))</f>
        <v>60</v>
      </c>
      <c r="J26" s="1482">
        <f>IF(OR($F$20=$R$6,$F$20=$U$6),CO2データ!K242,IF($F$20=$S$6,CO2データ!N242,CO2データ!Q242))</f>
        <v>60</v>
      </c>
      <c r="K26" s="1501">
        <f t="shared" ref="K26:K34" si="3">K10</f>
        <v>3</v>
      </c>
      <c r="L26" s="1502">
        <f t="shared" ref="L26:L34" si="4">IF($F26=1,IF($K26&lt;4,$H26,IF($K26&lt;5,$I26,$J26)),0)</f>
        <v>60</v>
      </c>
      <c r="M26" s="7"/>
      <c r="N26" s="1326">
        <v>3</v>
      </c>
      <c r="O26" s="1503">
        <f t="shared" ref="O26:O34" si="5">IF($F26=1,IF($N26&lt;4,$H26,IF($N26&lt;5,$I26,$J26)),0)</f>
        <v>60</v>
      </c>
      <c r="R26" t="str">
        <f t="shared" ref="R26:R34" si="6">IF($F26&lt;&gt;1,"",$E26&amp;"部分"&amp;L26&amp;"年,")</f>
        <v>事務所部分60年,</v>
      </c>
      <c r="U26" t="str">
        <f t="shared" ref="U26:U34" si="7">IF($F26&lt;&gt;1,"",$E26&amp;"部分"&amp;O26&amp;"年,")</f>
        <v>事務所部分60年,</v>
      </c>
    </row>
    <row r="27" spans="2:21" hidden="1">
      <c r="B27" s="1495"/>
      <c r="C27" s="504"/>
      <c r="D27" s="7"/>
      <c r="E27" s="506" t="s">
        <v>378</v>
      </c>
      <c r="F27" s="1491">
        <f>メイン!N49</f>
        <v>0</v>
      </c>
      <c r="G27" s="7"/>
      <c r="H27" s="1482">
        <f>IF(OR($F$20=$R$6,$F$20=$U$6),CO2データ!I243,IF($F$20=$S$6,CO2データ!L243,CO2データ!O243))</f>
        <v>60</v>
      </c>
      <c r="I27" s="1482">
        <f>IF(OR($F$20=$R$6,$F$20=$U$6),CO2データ!J243,IF($F$20=$S$6,CO2データ!M243,CO2データ!P243))</f>
        <v>60</v>
      </c>
      <c r="J27" s="1482">
        <f>IF(OR($F$20=$R$6,$F$20=$U$6),CO2データ!K243,IF($F$20=$S$6,CO2データ!N243,CO2データ!Q243))</f>
        <v>60</v>
      </c>
      <c r="K27" s="1501">
        <f t="shared" si="3"/>
        <v>3</v>
      </c>
      <c r="L27" s="1502">
        <f t="shared" si="4"/>
        <v>0</v>
      </c>
      <c r="M27" s="7"/>
      <c r="N27" s="1326">
        <v>3</v>
      </c>
      <c r="O27" s="1503">
        <f t="shared" si="5"/>
        <v>0</v>
      </c>
      <c r="R27" t="str">
        <f t="shared" si="6"/>
        <v/>
      </c>
      <c r="U27" t="str">
        <f t="shared" si="7"/>
        <v/>
      </c>
    </row>
    <row r="28" spans="2:21" hidden="1">
      <c r="B28" s="1495"/>
      <c r="C28" s="504"/>
      <c r="D28" s="7"/>
      <c r="E28" s="506" t="s">
        <v>379</v>
      </c>
      <c r="F28" s="1491">
        <f>メイン!N54</f>
        <v>0</v>
      </c>
      <c r="G28" s="7"/>
      <c r="H28" s="1482">
        <f>IF(OR($F$20=$R$6,$F$20=$U$6),CO2データ!I244,IF($F$20=$S$6,CO2データ!L244,CO2データ!O244))</f>
        <v>30</v>
      </c>
      <c r="I28" s="1482">
        <f>IF(OR($F$20=$R$6,$F$20=$U$6),CO2データ!J244,IF($F$20=$S$6,CO2データ!M244,CO2データ!P244))</f>
        <v>30</v>
      </c>
      <c r="J28" s="1482">
        <f>IF(OR($F$20=$R$6,$F$20=$U$6),CO2データ!K244,IF($F$20=$S$6,CO2データ!N244,CO2データ!Q244))</f>
        <v>30</v>
      </c>
      <c r="K28" s="1501">
        <f t="shared" si="3"/>
        <v>3</v>
      </c>
      <c r="L28" s="1502">
        <f t="shared" si="4"/>
        <v>0</v>
      </c>
      <c r="M28" s="7"/>
      <c r="N28" s="1326">
        <v>3</v>
      </c>
      <c r="O28" s="1503">
        <f t="shared" si="5"/>
        <v>0</v>
      </c>
      <c r="R28" t="str">
        <f t="shared" si="6"/>
        <v/>
      </c>
      <c r="U28" t="str">
        <f t="shared" si="7"/>
        <v/>
      </c>
    </row>
    <row r="29" spans="2:21" hidden="1">
      <c r="B29" s="1495"/>
      <c r="C29" s="504"/>
      <c r="D29" s="7"/>
      <c r="E29" s="506" t="s">
        <v>380</v>
      </c>
      <c r="F29" s="1491">
        <f>メイン!N56</f>
        <v>0</v>
      </c>
      <c r="G29" s="7"/>
      <c r="H29" s="1482">
        <f>IF(OR($F$20=$R$6,$F$20=$U$6),CO2データ!I245,IF($F$20=$S$6,CO2データ!L245,CO2データ!O245))</f>
        <v>30</v>
      </c>
      <c r="I29" s="1482">
        <f>IF(OR($F$20=$R$6,$F$20=$U$6),CO2データ!J245,IF($F$20=$S$6,CO2データ!M245,CO2データ!P245))</f>
        <v>30</v>
      </c>
      <c r="J29" s="1482">
        <f>IF(OR($F$20=$R$6,$F$20=$U$6),CO2データ!K245,IF($F$20=$S$6,CO2データ!N245,CO2データ!Q245))</f>
        <v>30</v>
      </c>
      <c r="K29" s="1501">
        <f t="shared" si="3"/>
        <v>3</v>
      </c>
      <c r="L29" s="1502">
        <f t="shared" si="4"/>
        <v>0</v>
      </c>
      <c r="M29" s="7"/>
      <c r="N29" s="1326">
        <v>3</v>
      </c>
      <c r="O29" s="1503">
        <f t="shared" si="5"/>
        <v>0</v>
      </c>
      <c r="R29" t="str">
        <f t="shared" si="6"/>
        <v/>
      </c>
      <c r="U29" t="str">
        <f t="shared" si="7"/>
        <v/>
      </c>
    </row>
    <row r="30" spans="2:21" hidden="1">
      <c r="B30" s="1495"/>
      <c r="C30" s="504"/>
      <c r="D30" s="7"/>
      <c r="E30" s="1317" t="s">
        <v>1643</v>
      </c>
      <c r="F30" s="1491">
        <f>メイン!N57</f>
        <v>0</v>
      </c>
      <c r="G30" s="7"/>
      <c r="H30" s="1482">
        <f>IF(OR($F$20=$R$6,$F$20=$U$6),CO2データ!I246,IF($F$20=$S$6,CO2データ!L246,CO2データ!O246))</f>
        <v>60</v>
      </c>
      <c r="I30" s="1482">
        <f>IF(OR($F$20=$R$6,$F$20=$U$6),CO2データ!J246,IF($F$20=$S$6,CO2データ!M246,CO2データ!P246))</f>
        <v>60</v>
      </c>
      <c r="J30" s="1482">
        <f>IF(OR($F$20=$R$6,$F$20=$U$6),CO2データ!K246,IF($F$20=$S$6,CO2データ!N246,CO2データ!Q246))</f>
        <v>60</v>
      </c>
      <c r="K30" s="1501">
        <f t="shared" si="3"/>
        <v>3</v>
      </c>
      <c r="L30" s="1502">
        <f t="shared" si="4"/>
        <v>0</v>
      </c>
      <c r="M30" s="7"/>
      <c r="N30" s="1326">
        <v>3</v>
      </c>
      <c r="O30" s="1503">
        <f t="shared" si="5"/>
        <v>0</v>
      </c>
      <c r="R30" t="str">
        <f t="shared" si="6"/>
        <v/>
      </c>
      <c r="U30" t="str">
        <f t="shared" si="7"/>
        <v/>
      </c>
    </row>
    <row r="31" spans="2:21" hidden="1">
      <c r="B31" s="1495"/>
      <c r="C31" s="504"/>
      <c r="D31" s="7"/>
      <c r="E31" s="1317" t="s">
        <v>385</v>
      </c>
      <c r="F31" s="1491">
        <f>メイン!N60</f>
        <v>0</v>
      </c>
      <c r="G31" s="7"/>
      <c r="H31" s="1482">
        <f>IF(OR($F$20=$R$6,$F$20=$U$6),CO2データ!I247,IF($F$20=$S$6,CO2データ!L247,CO2データ!O247))</f>
        <v>30</v>
      </c>
      <c r="I31" s="1482">
        <f>IF(OR($F$20=$R$6,$F$20=$U$6),CO2データ!J247,IF($F$20=$S$6,CO2データ!M247,CO2データ!P247))</f>
        <v>30</v>
      </c>
      <c r="J31" s="1482">
        <f>IF(OR($F$20=$R$6,$F$20=$U$6),CO2データ!K247,IF($F$20=$S$6,CO2データ!N247,CO2データ!Q247))</f>
        <v>30</v>
      </c>
      <c r="K31" s="1501">
        <f t="shared" si="3"/>
        <v>3</v>
      </c>
      <c r="L31" s="1502">
        <f t="shared" si="4"/>
        <v>0</v>
      </c>
      <c r="M31" s="7"/>
      <c r="N31" s="1326">
        <v>3</v>
      </c>
      <c r="O31" s="1503">
        <f t="shared" si="5"/>
        <v>0</v>
      </c>
      <c r="R31" t="str">
        <f t="shared" si="6"/>
        <v/>
      </c>
      <c r="U31" t="str">
        <f t="shared" si="7"/>
        <v/>
      </c>
    </row>
    <row r="32" spans="2:21" hidden="1">
      <c r="B32" s="1495"/>
      <c r="C32" s="504"/>
      <c r="D32" s="7"/>
      <c r="E32" s="1317" t="s">
        <v>382</v>
      </c>
      <c r="F32" s="1491">
        <f>メイン!N61</f>
        <v>0</v>
      </c>
      <c r="G32" s="7"/>
      <c r="H32" s="1482">
        <f>IF(OR($F$20=$R$6,$F$20=$U$6),CO2データ!I248,IF($F$20=$S$6,CO2データ!L248,CO2データ!O248))</f>
        <v>60</v>
      </c>
      <c r="I32" s="1482">
        <f>IF(OR($F$20=$R$6,$F$20=$U$6),CO2データ!J248,IF($F$20=$S$6,CO2データ!M248,CO2データ!P248))</f>
        <v>60</v>
      </c>
      <c r="J32" s="1482">
        <f>IF(OR($F$20=$R$6,$F$20=$U$6),CO2データ!K248,IF($F$20=$S$6,CO2データ!N248,CO2データ!Q248))</f>
        <v>60</v>
      </c>
      <c r="K32" s="1501">
        <f t="shared" si="3"/>
        <v>3</v>
      </c>
      <c r="L32" s="1502">
        <f t="shared" si="4"/>
        <v>0</v>
      </c>
      <c r="M32" s="7"/>
      <c r="N32" s="1326">
        <v>3</v>
      </c>
      <c r="O32" s="1503">
        <f t="shared" si="5"/>
        <v>0</v>
      </c>
      <c r="R32" t="str">
        <f t="shared" si="6"/>
        <v/>
      </c>
      <c r="U32" t="str">
        <f t="shared" si="7"/>
        <v/>
      </c>
    </row>
    <row r="33" spans="2:21" hidden="1">
      <c r="B33" s="1495"/>
      <c r="C33" s="504"/>
      <c r="D33" s="7"/>
      <c r="E33" s="1317" t="s">
        <v>276</v>
      </c>
      <c r="F33" s="1491">
        <f>メイン!N62</f>
        <v>0</v>
      </c>
      <c r="G33" s="7"/>
      <c r="H33" s="1482">
        <f>IF(OR($F$20=$R$6,$F$20=$U$6),CO2データ!I249,IF($F$20=$S$6,CO2データ!L249,CO2データ!O249))</f>
        <v>60</v>
      </c>
      <c r="I33" s="1482">
        <f>IF(OR($F$20=$R$6,$F$20=$U$6),CO2データ!J249,IF($F$20=$S$6,CO2データ!M249,CO2データ!P249))</f>
        <v>60</v>
      </c>
      <c r="J33" s="1482">
        <f>IF(OR($F$20=$R$6,$F$20=$U$6),CO2データ!K249,IF($F$20=$S$6,CO2データ!N249,CO2データ!Q249))</f>
        <v>60</v>
      </c>
      <c r="K33" s="1501">
        <f t="shared" si="3"/>
        <v>3</v>
      </c>
      <c r="L33" s="1502">
        <f t="shared" si="4"/>
        <v>0</v>
      </c>
      <c r="M33" s="7"/>
      <c r="N33" s="1326">
        <v>3</v>
      </c>
      <c r="O33" s="1503">
        <f t="shared" si="5"/>
        <v>0</v>
      </c>
      <c r="R33" t="str">
        <f t="shared" si="6"/>
        <v/>
      </c>
      <c r="U33" t="str">
        <f t="shared" si="7"/>
        <v/>
      </c>
    </row>
    <row r="34" spans="2:21" hidden="1">
      <c r="B34" s="1495"/>
      <c r="C34" s="504"/>
      <c r="D34" s="7"/>
      <c r="E34" s="1317" t="s">
        <v>384</v>
      </c>
      <c r="F34" s="1491">
        <f>メイン!N64</f>
        <v>0</v>
      </c>
      <c r="G34" s="7"/>
      <c r="H34" s="1482">
        <f>IF(OR($F$20=$R$6,$F$20=$U$6),CO2データ!I250,IF($F$20=$S$6,CO2データ!L250,CO2データ!O250))</f>
        <v>30</v>
      </c>
      <c r="I34" s="1482">
        <f>IF(OR($F$20=$R$6,$F$20=$U$6),CO2データ!J250,IF($F$20=$S$6,CO2データ!M250,CO2データ!P250))</f>
        <v>60</v>
      </c>
      <c r="J34" s="1482">
        <f>IF(OR($F$20=$R$6,$F$20=$U$6),CO2データ!K250,IF($F$20=$S$6,CO2データ!N250,CO2データ!Q250))</f>
        <v>90</v>
      </c>
      <c r="K34" s="1501">
        <f t="shared" si="3"/>
        <v>3</v>
      </c>
      <c r="L34" s="1502">
        <f t="shared" si="4"/>
        <v>0</v>
      </c>
      <c r="M34" s="7"/>
      <c r="N34" s="1326">
        <v>3</v>
      </c>
      <c r="O34" s="1503">
        <f t="shared" si="5"/>
        <v>0</v>
      </c>
      <c r="R34" t="str">
        <f t="shared" si="6"/>
        <v/>
      </c>
      <c r="U34" t="str">
        <f t="shared" si="7"/>
        <v/>
      </c>
    </row>
    <row r="35" spans="2:21" ht="14.25" hidden="1" thickBot="1">
      <c r="B35" s="1495"/>
      <c r="C35" s="504"/>
      <c r="D35" s="7"/>
      <c r="E35" s="1317"/>
      <c r="F35" s="1317"/>
      <c r="G35" s="1317"/>
      <c r="H35" s="1317"/>
      <c r="I35" s="1317"/>
      <c r="J35" s="1317"/>
      <c r="K35" s="1317"/>
      <c r="L35" s="1504" t="str">
        <f>R26&amp;R27&amp;R28&amp;R29&amp;R30&amp;R31&amp;R32&amp;R33&amp;R34&amp;R35</f>
        <v>事務所部分60年,</v>
      </c>
      <c r="M35" s="1317"/>
      <c r="N35" s="1317"/>
      <c r="O35" s="1504" t="str">
        <f>U26&amp;U27&amp;U28&amp;U29&amp;U30&amp;U31&amp;U32&amp;U33&amp;U34&amp;U35</f>
        <v>事務所部分60年,</v>
      </c>
      <c r="R35" t="str">
        <f>IF(SUM(F26:F34)&gt;1,"他","")</f>
        <v/>
      </c>
      <c r="U35" t="str">
        <f>IF(SUM(F26:F34)&gt;1,"他","")</f>
        <v/>
      </c>
    </row>
    <row r="36" spans="2:21" hidden="1">
      <c r="B36" s="1495"/>
      <c r="C36" s="504"/>
      <c r="D36" s="7"/>
      <c r="E36" s="1317"/>
      <c r="F36" s="1317"/>
      <c r="G36" s="1317"/>
      <c r="H36" s="1317"/>
      <c r="I36" s="1317"/>
      <c r="J36" s="1317"/>
      <c r="K36" s="1317"/>
      <c r="L36" s="1317"/>
      <c r="M36" s="1317"/>
      <c r="N36" s="1317"/>
      <c r="O36" s="1505"/>
    </row>
    <row r="37" spans="2:21" hidden="1">
      <c r="B37" s="1506"/>
      <c r="C37" s="1507" t="s">
        <v>2007</v>
      </c>
      <c r="D37" s="1507"/>
      <c r="E37" s="1314"/>
      <c r="F37" s="1314"/>
      <c r="G37" s="1314"/>
      <c r="H37" s="1508"/>
      <c r="I37" s="507" t="s">
        <v>2008</v>
      </c>
      <c r="J37" s="507" t="s">
        <v>2009</v>
      </c>
      <c r="K37" s="1509"/>
      <c r="L37" s="1509"/>
      <c r="M37" s="1509"/>
      <c r="N37" s="1509"/>
      <c r="O37" s="1510"/>
    </row>
    <row r="38" spans="2:21" hidden="1">
      <c r="B38" s="1506"/>
      <c r="C38" s="1314"/>
      <c r="D38" s="1314" t="s">
        <v>1486</v>
      </c>
      <c r="E38" s="1314"/>
      <c r="F38" s="1482">
        <f>F10</f>
        <v>1</v>
      </c>
      <c r="G38" s="1314"/>
      <c r="H38" s="1482">
        <f>IF(OR($F$20=$R$6,$F$20=$U$6),CO2データ!I253,IF($F$20=$S$6,CO2データ!L253,CO2データ!O253))</f>
        <v>0.69599999999999995</v>
      </c>
      <c r="I38" s="1482">
        <f>IF(OR($F$20=$R$6,$F$20=$U$6),CO2データ!J253,IF($F$20=$S$6,CO2データ!M253,CO2データ!P253))</f>
        <v>0</v>
      </c>
      <c r="J38" s="1482">
        <f>IF(OR($F$20=$R$6,$F$20=$U$6),CO2データ!K253,IF($F$20=$S$6,CO2データ!N253,CO2データ!Q253))</f>
        <v>0</v>
      </c>
      <c r="K38" s="1509"/>
      <c r="L38" s="1508">
        <f t="shared" ref="L38:L69" si="8">H38-(H38-I38)*$F$21-(H38-J38)*$F$22</f>
        <v>0.69599999999999995</v>
      </c>
      <c r="M38" s="1509"/>
      <c r="N38" s="1508"/>
      <c r="O38" s="1511">
        <f t="shared" ref="O38:O69" si="9">H38</f>
        <v>0.69599999999999995</v>
      </c>
      <c r="P38" t="s">
        <v>2011</v>
      </c>
    </row>
    <row r="39" spans="2:21" hidden="1">
      <c r="B39" s="1506"/>
      <c r="C39" s="1314"/>
      <c r="D39" s="1314"/>
      <c r="E39" s="1314"/>
      <c r="F39" s="1482">
        <f>$F$38</f>
        <v>1</v>
      </c>
      <c r="G39" s="1314"/>
      <c r="H39" s="1482">
        <f>IF(OR($F$20=$R$6,$F$20=$U$6),CO2データ!I254,IF($F$20=$S$6,CO2データ!L254,CO2データ!O254))</f>
        <v>0</v>
      </c>
      <c r="I39" s="1482">
        <f>IF(OR($F$20=$R$6,$F$20=$U$6),CO2データ!J254,IF($F$20=$S$6,CO2データ!M254,CO2データ!P254))</f>
        <v>0</v>
      </c>
      <c r="J39" s="1482">
        <f>IF(OR($F$20=$R$6,$F$20=$U$6),CO2データ!K254,IF($F$20=$S$6,CO2データ!N254,CO2データ!Q254))</f>
        <v>0.69599999999999995</v>
      </c>
      <c r="K39" s="1509"/>
      <c r="L39" s="1508">
        <f t="shared" si="8"/>
        <v>0</v>
      </c>
      <c r="M39" s="1509"/>
      <c r="N39" s="1508"/>
      <c r="O39" s="1511">
        <f t="shared" si="9"/>
        <v>0</v>
      </c>
      <c r="P39" t="s">
        <v>2011</v>
      </c>
    </row>
    <row r="40" spans="2:21" hidden="1">
      <c r="B40" s="1506"/>
      <c r="C40" s="1314"/>
      <c r="D40" s="1314"/>
      <c r="E40" s="1314"/>
      <c r="F40" s="1482">
        <f>$F$38</f>
        <v>1</v>
      </c>
      <c r="G40" s="1314"/>
      <c r="H40" s="1482">
        <f>IF(OR($F$20=$R$6,$F$20=$U$6),CO2データ!I255,IF($F$20=$S$6,CO2データ!L255,CO2データ!O255))</f>
        <v>0.1</v>
      </c>
      <c r="I40" s="1482">
        <f>IF(OR($F$20=$R$6,$F$20=$U$6),CO2データ!J255,IF($F$20=$S$6,CO2データ!M255,CO2データ!P255))</f>
        <v>0</v>
      </c>
      <c r="J40" s="1482">
        <f>IF(OR($F$20=$R$6,$F$20=$U$6),CO2データ!K255,IF($F$20=$S$6,CO2データ!N255,CO2データ!Q255))</f>
        <v>0.1</v>
      </c>
      <c r="K40" s="1509"/>
      <c r="L40" s="1508">
        <f t="shared" si="8"/>
        <v>0.1</v>
      </c>
      <c r="M40" s="1509"/>
      <c r="N40" s="1508"/>
      <c r="O40" s="1511">
        <f t="shared" si="9"/>
        <v>0.1</v>
      </c>
      <c r="P40" t="s">
        <v>2014</v>
      </c>
    </row>
    <row r="41" spans="2:21" hidden="1">
      <c r="B41" s="1506"/>
      <c r="C41" s="1314"/>
      <c r="D41" s="1314"/>
      <c r="E41" s="1314"/>
      <c r="F41" s="1482">
        <f>$F$38</f>
        <v>1</v>
      </c>
      <c r="G41" s="1314"/>
      <c r="H41" s="1482">
        <f>IF(OR($F$20=$R$6,$F$20=$U$6),CO2データ!I256,IF($F$20=$S$6,CO2データ!L256,CO2データ!O256))</f>
        <v>0</v>
      </c>
      <c r="I41" s="1482">
        <f>IF(OR($F$20=$R$6,$F$20=$U$6),CO2データ!J256,IF($F$20=$S$6,CO2データ!M256,CO2データ!P256))</f>
        <v>0</v>
      </c>
      <c r="J41" s="1482">
        <f>IF(OR($F$20=$R$6,$F$20=$U$6),CO2データ!K256,IF($F$20=$S$6,CO2データ!N256,CO2データ!Q256))</f>
        <v>0</v>
      </c>
      <c r="K41" s="1509"/>
      <c r="L41" s="1508">
        <f t="shared" si="8"/>
        <v>0</v>
      </c>
      <c r="M41" s="1509"/>
      <c r="N41" s="1508"/>
      <c r="O41" s="1511">
        <f t="shared" si="9"/>
        <v>0</v>
      </c>
      <c r="P41" t="s">
        <v>2014</v>
      </c>
    </row>
    <row r="42" spans="2:21" hidden="1">
      <c r="B42" s="1506"/>
      <c r="C42" s="1314"/>
      <c r="D42" s="1314"/>
      <c r="E42" s="1314"/>
      <c r="F42" s="1482">
        <f>$F$38</f>
        <v>1</v>
      </c>
      <c r="G42" s="1314"/>
      <c r="H42" s="1482">
        <f>IF(OR($F$20=$R$6,$F$20=$U$6),CO2データ!I257,IF($F$20=$S$6,CO2データ!L257,CO2データ!O257))</f>
        <v>7.8E-2</v>
      </c>
      <c r="I42" s="1482">
        <f>IF(OR($F$20=$R$6,$F$20=$U$6),CO2データ!J257,IF($F$20=$S$6,CO2データ!M257,CO2データ!P257))</f>
        <v>0</v>
      </c>
      <c r="J42" s="1482">
        <f>IF(OR($F$20=$R$6,$F$20=$U$6),CO2データ!K257,IF($F$20=$S$6,CO2データ!N257,CO2データ!Q257))</f>
        <v>7.8E-2</v>
      </c>
      <c r="K42" s="1509"/>
      <c r="L42" s="1508">
        <f t="shared" si="8"/>
        <v>7.8E-2</v>
      </c>
      <c r="M42" s="1509"/>
      <c r="N42" s="1508"/>
      <c r="O42" s="1511">
        <f t="shared" si="9"/>
        <v>7.8E-2</v>
      </c>
      <c r="P42" t="s">
        <v>2014</v>
      </c>
    </row>
    <row r="43" spans="2:21" hidden="1">
      <c r="B43" s="1506"/>
      <c r="C43" s="1314"/>
      <c r="D43" s="1314"/>
      <c r="E43" s="1314"/>
      <c r="F43" s="1482">
        <f>$F$38</f>
        <v>1</v>
      </c>
      <c r="G43" s="1314"/>
      <c r="H43" s="1482">
        <f>IF(OR($F$20=$R$6,$F$20=$U$6),CO2データ!I258,IF($F$20=$S$6,CO2データ!L258,CO2データ!O258))</f>
        <v>8.0000000000000002E-3</v>
      </c>
      <c r="I43" s="1482">
        <f>IF(OR($F$20=$R$6,$F$20=$U$6),CO2データ!J258,IF($F$20=$S$6,CO2データ!M258,CO2データ!P258))</f>
        <v>0</v>
      </c>
      <c r="J43" s="1482">
        <f>IF(OR($F$20=$R$6,$F$20=$U$6),CO2データ!K258,IF($F$20=$S$6,CO2データ!N258,CO2データ!Q258))</f>
        <v>8.0000000000000002E-3</v>
      </c>
      <c r="K43" s="1509"/>
      <c r="L43" s="1508">
        <f t="shared" si="8"/>
        <v>8.0000000000000002E-3</v>
      </c>
      <c r="M43" s="1509"/>
      <c r="N43" s="1508"/>
      <c r="O43" s="1511">
        <f t="shared" si="9"/>
        <v>8.0000000000000002E-3</v>
      </c>
      <c r="P43" t="s">
        <v>2014</v>
      </c>
    </row>
    <row r="44" spans="2:21" hidden="1">
      <c r="B44" s="1506"/>
      <c r="C44" s="1314"/>
      <c r="D44" s="1314" t="s">
        <v>1487</v>
      </c>
      <c r="E44" s="1314"/>
      <c r="F44" s="1482">
        <f>F11</f>
        <v>0</v>
      </c>
      <c r="G44" s="1314"/>
      <c r="H44" s="1482">
        <f>IF(OR($F$20=$R$6,$F$20=$U$6),CO2データ!I259,IF($F$20=$S$6,CO2データ!L259,CO2データ!O259))</f>
        <v>0.95799999999999996</v>
      </c>
      <c r="I44" s="1482">
        <f>IF(OR($F$20=$R$6,$F$20=$U$6),CO2データ!J259,IF($F$20=$S$6,CO2データ!M259,CO2データ!P259))</f>
        <v>0</v>
      </c>
      <c r="J44" s="1482">
        <f>IF(OR($F$20=$R$6,$F$20=$U$6),CO2データ!K259,IF($F$20=$S$6,CO2データ!N259,CO2データ!Q259))</f>
        <v>0</v>
      </c>
      <c r="K44" s="1509"/>
      <c r="L44" s="1508">
        <f t="shared" si="8"/>
        <v>0.95799999999999996</v>
      </c>
      <c r="M44" s="1509"/>
      <c r="N44" s="1508"/>
      <c r="O44" s="1511">
        <f t="shared" si="9"/>
        <v>0.95799999999999996</v>
      </c>
      <c r="P44" t="s">
        <v>2011</v>
      </c>
    </row>
    <row r="45" spans="2:21" hidden="1">
      <c r="B45" s="1506"/>
      <c r="C45" s="1314"/>
      <c r="D45" s="1314"/>
      <c r="E45" s="1314"/>
      <c r="F45" s="1482">
        <f>$F$44</f>
        <v>0</v>
      </c>
      <c r="G45" s="1314"/>
      <c r="H45" s="1482">
        <f>IF(OR($F$20=$R$6,$F$20=$U$6),CO2データ!I260,IF($F$20=$S$6,CO2データ!L260,CO2データ!O260))</f>
        <v>0</v>
      </c>
      <c r="I45" s="1482">
        <f>IF(OR($F$20=$R$6,$F$20=$U$6),CO2データ!J260,IF($F$20=$S$6,CO2データ!M260,CO2データ!P260))</f>
        <v>0</v>
      </c>
      <c r="J45" s="1482">
        <f>IF(OR($F$20=$R$6,$F$20=$U$6),CO2データ!K260,IF($F$20=$S$6,CO2データ!N260,CO2データ!Q260))</f>
        <v>0.95799999999999996</v>
      </c>
      <c r="K45" s="1509"/>
      <c r="L45" s="1508">
        <f t="shared" si="8"/>
        <v>0</v>
      </c>
      <c r="M45" s="1509"/>
      <c r="N45" s="1508"/>
      <c r="O45" s="1511">
        <f t="shared" si="9"/>
        <v>0</v>
      </c>
      <c r="P45" t="s">
        <v>2011</v>
      </c>
    </row>
    <row r="46" spans="2:21" hidden="1">
      <c r="B46" s="1506"/>
      <c r="C46" s="1314"/>
      <c r="D46" s="1314"/>
      <c r="E46" s="1314"/>
      <c r="F46" s="1482">
        <f>$F$44</f>
        <v>0</v>
      </c>
      <c r="G46" s="1314"/>
      <c r="H46" s="1482">
        <f>IF(OR($F$20=$R$6,$F$20=$U$6),CO2データ!I261,IF($F$20=$S$6,CO2データ!L261,CO2データ!O261))</f>
        <v>7.8E-2</v>
      </c>
      <c r="I46" s="1482">
        <f>IF(OR($F$20=$R$6,$F$20=$U$6),CO2データ!J261,IF($F$20=$S$6,CO2データ!M261,CO2データ!P261))</f>
        <v>0</v>
      </c>
      <c r="J46" s="1482">
        <f>IF(OR($F$20=$R$6,$F$20=$U$6),CO2データ!K261,IF($F$20=$S$6,CO2データ!N261,CO2データ!Q261))</f>
        <v>7.8E-2</v>
      </c>
      <c r="K46" s="1509"/>
      <c r="L46" s="1508">
        <f t="shared" si="8"/>
        <v>7.8E-2</v>
      </c>
      <c r="M46" s="1509"/>
      <c r="N46" s="1508"/>
      <c r="O46" s="1511">
        <f t="shared" si="9"/>
        <v>7.8E-2</v>
      </c>
      <c r="P46" t="s">
        <v>2014</v>
      </c>
    </row>
    <row r="47" spans="2:21" hidden="1">
      <c r="B47" s="1506"/>
      <c r="C47" s="1314"/>
      <c r="D47" s="1314"/>
      <c r="E47" s="1314"/>
      <c r="F47" s="1482">
        <f>$F$44</f>
        <v>0</v>
      </c>
      <c r="G47" s="1314"/>
      <c r="H47" s="1482">
        <f>IF(OR($F$20=$R$6,$F$20=$U$6),CO2データ!I262,IF($F$20=$S$6,CO2データ!L262,CO2データ!O262))</f>
        <v>0</v>
      </c>
      <c r="I47" s="1482">
        <f>IF(OR($F$20=$R$6,$F$20=$U$6),CO2データ!J262,IF($F$20=$S$6,CO2データ!M262,CO2データ!P262))</f>
        <v>0</v>
      </c>
      <c r="J47" s="1482">
        <f>IF(OR($F$20=$R$6,$F$20=$U$6),CO2データ!K262,IF($F$20=$S$6,CO2データ!N262,CO2データ!Q262))</f>
        <v>0</v>
      </c>
      <c r="K47" s="1509"/>
      <c r="L47" s="1508">
        <f t="shared" si="8"/>
        <v>0</v>
      </c>
      <c r="M47" s="1509"/>
      <c r="N47" s="1508"/>
      <c r="O47" s="1511">
        <f t="shared" si="9"/>
        <v>0</v>
      </c>
      <c r="P47" t="s">
        <v>2014</v>
      </c>
    </row>
    <row r="48" spans="2:21" hidden="1">
      <c r="B48" s="1506"/>
      <c r="C48" s="1314"/>
      <c r="D48" s="1314"/>
      <c r="E48" s="1314"/>
      <c r="F48" s="1482">
        <f>$F$44</f>
        <v>0</v>
      </c>
      <c r="G48" s="1314"/>
      <c r="H48" s="1482">
        <f>IF(OR($F$20=$R$6,$F$20=$U$6),CO2データ!I263,IF($F$20=$S$6,CO2データ!L263,CO2データ!O263))</f>
        <v>0.11</v>
      </c>
      <c r="I48" s="1482">
        <f>IF(OR($F$20=$R$6,$F$20=$U$6),CO2データ!J263,IF($F$20=$S$6,CO2データ!M263,CO2データ!P263))</f>
        <v>0</v>
      </c>
      <c r="J48" s="1482">
        <f>IF(OR($F$20=$R$6,$F$20=$U$6),CO2データ!K263,IF($F$20=$S$6,CO2データ!N263,CO2データ!Q263))</f>
        <v>0.11</v>
      </c>
      <c r="K48" s="1509"/>
      <c r="L48" s="1508">
        <f t="shared" si="8"/>
        <v>0.11</v>
      </c>
      <c r="M48" s="1509"/>
      <c r="N48" s="1508"/>
      <c r="O48" s="1511">
        <f t="shared" si="9"/>
        <v>0.11</v>
      </c>
      <c r="P48" t="s">
        <v>2014</v>
      </c>
    </row>
    <row r="49" spans="2:16" hidden="1">
      <c r="B49" s="1506"/>
      <c r="C49" s="1314"/>
      <c r="D49" s="1314"/>
      <c r="E49" s="1314"/>
      <c r="F49" s="1482">
        <f>$F$44</f>
        <v>0</v>
      </c>
      <c r="G49" s="1314"/>
      <c r="H49" s="1482">
        <f>IF(OR($F$20=$R$6,$F$20=$U$6),CO2データ!I264,IF($F$20=$S$6,CO2データ!L264,CO2データ!O264))</f>
        <v>1.2E-2</v>
      </c>
      <c r="I49" s="1482">
        <f>IF(OR($F$20=$R$6,$F$20=$U$6),CO2データ!J264,IF($F$20=$S$6,CO2データ!M264,CO2データ!P264))</f>
        <v>0</v>
      </c>
      <c r="J49" s="1482">
        <f>IF(OR($F$20=$R$6,$F$20=$U$6),CO2データ!K264,IF($F$20=$S$6,CO2データ!N264,CO2データ!Q264))</f>
        <v>1.167E-2</v>
      </c>
      <c r="K49" s="1509"/>
      <c r="L49" s="1508">
        <f t="shared" si="8"/>
        <v>1.2E-2</v>
      </c>
      <c r="M49" s="1509"/>
      <c r="N49" s="1508"/>
      <c r="O49" s="1511">
        <f t="shared" si="9"/>
        <v>1.2E-2</v>
      </c>
      <c r="P49" t="s">
        <v>2014</v>
      </c>
    </row>
    <row r="50" spans="2:16" hidden="1">
      <c r="B50" s="1506"/>
      <c r="C50" s="1314"/>
      <c r="D50" s="1314" t="s">
        <v>1640</v>
      </c>
      <c r="E50" s="1314"/>
      <c r="F50" s="1482">
        <f>F12</f>
        <v>0</v>
      </c>
      <c r="G50" s="1314"/>
      <c r="H50" s="1482">
        <f>IF(OR($F$20=$R$6,$F$20=$U$6),CO2データ!I265,IF($F$20=$S$6,CO2データ!L265,CO2データ!O265))</f>
        <v>0.307</v>
      </c>
      <c r="I50" s="1482">
        <f>IF(OR($F$20=$R$6,$F$20=$U$6),CO2データ!J265,IF($F$20=$S$6,CO2データ!M265,CO2データ!P265))</f>
        <v>0</v>
      </c>
      <c r="J50" s="1482">
        <f>IF(OR($F$20=$R$6,$F$20=$U$6),CO2データ!K265,IF($F$20=$S$6,CO2データ!N265,CO2データ!Q265))</f>
        <v>0</v>
      </c>
      <c r="K50" s="1509"/>
      <c r="L50" s="1508">
        <f t="shared" si="8"/>
        <v>0.307</v>
      </c>
      <c r="M50" s="1509"/>
      <c r="N50" s="1508"/>
      <c r="O50" s="1511">
        <f t="shared" si="9"/>
        <v>0.307</v>
      </c>
      <c r="P50" t="s">
        <v>1625</v>
      </c>
    </row>
    <row r="51" spans="2:16" hidden="1">
      <c r="B51" s="1506"/>
      <c r="C51" s="1314"/>
      <c r="D51" s="1314"/>
      <c r="E51" s="1314"/>
      <c r="F51" s="1482">
        <f>$F$50</f>
        <v>0</v>
      </c>
      <c r="G51" s="1314"/>
      <c r="H51" s="1482">
        <f>IF(OR($F$20=$R$6,$F$20=$U$6),CO2データ!I266,IF($F$20=$S$6,CO2データ!L266,CO2データ!O266))</f>
        <v>0</v>
      </c>
      <c r="I51" s="1482">
        <f>IF(OR($F$20=$R$6,$F$20=$U$6),CO2データ!J266,IF($F$20=$S$6,CO2データ!M266,CO2データ!P266))</f>
        <v>0</v>
      </c>
      <c r="J51" s="1482">
        <f>IF(OR($F$20=$R$6,$F$20=$U$6),CO2データ!K266,IF($F$20=$S$6,CO2データ!N266,CO2データ!Q266))</f>
        <v>0.307</v>
      </c>
      <c r="K51" s="1509"/>
      <c r="L51" s="1508">
        <f t="shared" si="8"/>
        <v>0</v>
      </c>
      <c r="M51" s="1509"/>
      <c r="N51" s="1508"/>
      <c r="O51" s="1511">
        <f t="shared" si="9"/>
        <v>0</v>
      </c>
      <c r="P51" t="s">
        <v>2011</v>
      </c>
    </row>
    <row r="52" spans="2:16" hidden="1">
      <c r="B52" s="1506"/>
      <c r="C52" s="1314"/>
      <c r="D52" s="1314"/>
      <c r="E52" s="1314"/>
      <c r="F52" s="1482">
        <f>$F$50</f>
        <v>0</v>
      </c>
      <c r="G52" s="1314"/>
      <c r="H52" s="1482">
        <f>IF(OR($F$20=$R$6,$F$20=$U$6),CO2データ!I267,IF($F$20=$S$6,CO2データ!L267,CO2データ!O267))</f>
        <v>7.0999999999999994E-2</v>
      </c>
      <c r="I52" s="1482">
        <f>IF(OR($F$20=$R$6,$F$20=$U$6),CO2データ!J267,IF($F$20=$S$6,CO2データ!M267,CO2データ!P267))</f>
        <v>0</v>
      </c>
      <c r="J52" s="1482">
        <f>IF(OR($F$20=$R$6,$F$20=$U$6),CO2データ!K267,IF($F$20=$S$6,CO2データ!N267,CO2データ!Q267))</f>
        <v>7.0999999999999994E-2</v>
      </c>
      <c r="K52" s="1509"/>
      <c r="L52" s="1508">
        <f t="shared" si="8"/>
        <v>7.0999999999999994E-2</v>
      </c>
      <c r="M52" s="1509"/>
      <c r="N52" s="1508"/>
      <c r="O52" s="1511">
        <f t="shared" si="9"/>
        <v>7.0999999999999994E-2</v>
      </c>
      <c r="P52" t="s">
        <v>2014</v>
      </c>
    </row>
    <row r="53" spans="2:16" hidden="1">
      <c r="B53" s="1506"/>
      <c r="C53" s="1314"/>
      <c r="D53" s="1314"/>
      <c r="E53" s="1314"/>
      <c r="F53" s="1482">
        <f>$F$50</f>
        <v>0</v>
      </c>
      <c r="G53" s="1314"/>
      <c r="H53" s="1482">
        <f>IF(OR($F$20=$R$6,$F$20=$U$6),CO2データ!I268,IF($F$20=$S$6,CO2データ!L268,CO2データ!O268))</f>
        <v>0</v>
      </c>
      <c r="I53" s="1482">
        <f>IF(OR($F$20=$R$6,$F$20=$U$6),CO2データ!J268,IF($F$20=$S$6,CO2データ!M268,CO2データ!P268))</f>
        <v>0</v>
      </c>
      <c r="J53" s="1482">
        <f>IF(OR($F$20=$R$6,$F$20=$U$6),CO2データ!K268,IF($F$20=$S$6,CO2データ!N268,CO2データ!Q268))</f>
        <v>0</v>
      </c>
      <c r="K53" s="1509"/>
      <c r="L53" s="1508">
        <f t="shared" si="8"/>
        <v>0</v>
      </c>
      <c r="M53" s="1509"/>
      <c r="N53" s="1508"/>
      <c r="O53" s="1511">
        <f t="shared" si="9"/>
        <v>0</v>
      </c>
      <c r="P53" t="s">
        <v>2014</v>
      </c>
    </row>
    <row r="54" spans="2:16" hidden="1">
      <c r="B54" s="1506"/>
      <c r="C54" s="1314"/>
      <c r="D54" s="1314"/>
      <c r="E54" s="1314"/>
      <c r="F54" s="1482">
        <f>$F$50</f>
        <v>0</v>
      </c>
      <c r="G54" s="1314"/>
      <c r="H54" s="1482">
        <f>IF(OR($F$20=$R$6,$F$20=$U$6),CO2データ!I269,IF($F$20=$S$6,CO2データ!L269,CO2データ!O269))</f>
        <v>5.2999999999999999E-2</v>
      </c>
      <c r="I54" s="1482">
        <f>IF(OR($F$20=$R$6,$F$20=$U$6),CO2データ!J269,IF($F$20=$S$6,CO2データ!M269,CO2データ!P269))</f>
        <v>0</v>
      </c>
      <c r="J54" s="1482">
        <f>IF(OR($F$20=$R$6,$F$20=$U$6),CO2データ!K269,IF($F$20=$S$6,CO2データ!N269,CO2データ!Q269))</f>
        <v>5.2999999999999999E-2</v>
      </c>
      <c r="K54" s="1509"/>
      <c r="L54" s="1508">
        <f t="shared" si="8"/>
        <v>5.2999999999999999E-2</v>
      </c>
      <c r="M54" s="1509"/>
      <c r="N54" s="1508"/>
      <c r="O54" s="1511">
        <f t="shared" si="9"/>
        <v>5.2999999999999999E-2</v>
      </c>
      <c r="P54" t="s">
        <v>2014</v>
      </c>
    </row>
    <row r="55" spans="2:16" hidden="1">
      <c r="B55" s="1506"/>
      <c r="C55" s="1314"/>
      <c r="D55" s="1314"/>
      <c r="E55" s="1314"/>
      <c r="F55" s="1482">
        <f>$F$50</f>
        <v>0</v>
      </c>
      <c r="G55" s="1314"/>
      <c r="H55" s="1482">
        <f>IF(OR($F$20=$R$6,$F$20=$U$6),CO2データ!I270,IF($F$20=$S$6,CO2データ!L270,CO2データ!O270))</f>
        <v>5.0000000000000001E-3</v>
      </c>
      <c r="I55" s="1482">
        <f>IF(OR($F$20=$R$6,$F$20=$U$6),CO2データ!J270,IF($F$20=$S$6,CO2データ!M270,CO2データ!P270))</f>
        <v>0</v>
      </c>
      <c r="J55" s="1482">
        <f>IF(OR($F$20=$R$6,$F$20=$U$6),CO2データ!K270,IF($F$20=$S$6,CO2データ!N270,CO2データ!Q270))</f>
        <v>4.8300000000000001E-3</v>
      </c>
      <c r="K55" s="1509"/>
      <c r="L55" s="1508">
        <f t="shared" si="8"/>
        <v>5.0000000000000001E-3</v>
      </c>
      <c r="M55" s="1509"/>
      <c r="N55" s="1508"/>
      <c r="O55" s="1511">
        <f t="shared" si="9"/>
        <v>5.0000000000000001E-3</v>
      </c>
      <c r="P55" t="s">
        <v>2014</v>
      </c>
    </row>
    <row r="56" spans="2:16" hidden="1">
      <c r="B56" s="1506"/>
      <c r="C56" s="1314"/>
      <c r="D56" s="1314" t="s">
        <v>1745</v>
      </c>
      <c r="E56" s="1314"/>
      <c r="F56" s="1482">
        <f>F13</f>
        <v>0</v>
      </c>
      <c r="G56" s="1314"/>
      <c r="H56" s="1482">
        <f>IF(OR($F$20=$R$6,$F$20=$U$6),CO2データ!I271,IF($F$20=$S$6,CO2データ!L271,CO2データ!O271))</f>
        <v>0.307</v>
      </c>
      <c r="I56" s="1482">
        <f>IF(OR($F$20=$R$6,$F$20=$U$6),CO2データ!J271,IF($F$20=$S$6,CO2データ!M271,CO2データ!P271))</f>
        <v>0</v>
      </c>
      <c r="J56" s="1482">
        <f>IF(OR($F$20=$R$6,$F$20=$U$6),CO2データ!K271,IF($F$20=$S$6,CO2データ!N271,CO2データ!Q271))</f>
        <v>0</v>
      </c>
      <c r="K56" s="1509"/>
      <c r="L56" s="1508">
        <f t="shared" si="8"/>
        <v>0.307</v>
      </c>
      <c r="M56" s="1509"/>
      <c r="N56" s="1508"/>
      <c r="O56" s="1511">
        <f t="shared" si="9"/>
        <v>0.307</v>
      </c>
      <c r="P56" t="s">
        <v>2011</v>
      </c>
    </row>
    <row r="57" spans="2:16" hidden="1">
      <c r="B57" s="1506"/>
      <c r="C57" s="1314"/>
      <c r="D57" s="1314"/>
      <c r="E57" s="1314"/>
      <c r="F57" s="1482">
        <f>$F$56</f>
        <v>0</v>
      </c>
      <c r="G57" s="1314"/>
      <c r="H57" s="1482">
        <f>IF(OR($F$20=$R$6,$F$20=$U$6),CO2データ!I272,IF($F$20=$S$6,CO2データ!L272,CO2データ!O272))</f>
        <v>0</v>
      </c>
      <c r="I57" s="1482">
        <f>IF(OR($F$20=$R$6,$F$20=$U$6),CO2データ!J272,IF($F$20=$S$6,CO2データ!M272,CO2データ!P272))</f>
        <v>0</v>
      </c>
      <c r="J57" s="1482">
        <f>IF(OR($F$20=$R$6,$F$20=$U$6),CO2データ!K272,IF($F$20=$S$6,CO2データ!N272,CO2データ!Q272))</f>
        <v>0.307</v>
      </c>
      <c r="K57" s="1509"/>
      <c r="L57" s="1508">
        <f t="shared" si="8"/>
        <v>0</v>
      </c>
      <c r="M57" s="1509"/>
      <c r="N57" s="1508"/>
      <c r="O57" s="1511">
        <f t="shared" si="9"/>
        <v>0</v>
      </c>
      <c r="P57" t="s">
        <v>2011</v>
      </c>
    </row>
    <row r="58" spans="2:16" hidden="1">
      <c r="B58" s="1506"/>
      <c r="C58" s="1314"/>
      <c r="D58" s="1314"/>
      <c r="E58" s="1314"/>
      <c r="F58" s="1482">
        <f>$F$56</f>
        <v>0</v>
      </c>
      <c r="G58" s="1314"/>
      <c r="H58" s="1482">
        <f>IF(OR($F$20=$R$6,$F$20=$U$6),CO2データ!I273,IF($F$20=$S$6,CO2データ!L273,CO2データ!O273))</f>
        <v>7.0999999999999994E-2</v>
      </c>
      <c r="I58" s="1482">
        <f>IF(OR($F$20=$R$6,$F$20=$U$6),CO2データ!J273,IF($F$20=$S$6,CO2データ!M273,CO2データ!P273))</f>
        <v>0</v>
      </c>
      <c r="J58" s="1482">
        <f>IF(OR($F$20=$R$6,$F$20=$U$6),CO2データ!K273,IF($F$20=$S$6,CO2データ!N273,CO2データ!Q273))</f>
        <v>7.0999999999999994E-2</v>
      </c>
      <c r="K58" s="1509"/>
      <c r="L58" s="1508">
        <f t="shared" si="8"/>
        <v>7.0999999999999994E-2</v>
      </c>
      <c r="M58" s="1509"/>
      <c r="N58" s="1508"/>
      <c r="O58" s="1511">
        <f t="shared" si="9"/>
        <v>7.0999999999999994E-2</v>
      </c>
      <c r="P58" t="s">
        <v>2014</v>
      </c>
    </row>
    <row r="59" spans="2:16" hidden="1">
      <c r="B59" s="1506"/>
      <c r="C59" s="1314"/>
      <c r="D59" s="1314"/>
      <c r="E59" s="1314"/>
      <c r="F59" s="1482">
        <f>$F$56</f>
        <v>0</v>
      </c>
      <c r="G59" s="1314"/>
      <c r="H59" s="1482">
        <f>IF(OR($F$20=$R$6,$F$20=$U$6),CO2データ!I274,IF($F$20=$S$6,CO2データ!L274,CO2データ!O274))</f>
        <v>0</v>
      </c>
      <c r="I59" s="1482">
        <f>IF(OR($F$20=$R$6,$F$20=$U$6),CO2データ!J274,IF($F$20=$S$6,CO2データ!M274,CO2データ!P274))</f>
        <v>0</v>
      </c>
      <c r="J59" s="1482">
        <f>IF(OR($F$20=$R$6,$F$20=$U$6),CO2データ!K274,IF($F$20=$S$6,CO2データ!N274,CO2データ!Q274))</f>
        <v>0</v>
      </c>
      <c r="K59" s="1509"/>
      <c r="L59" s="1508">
        <f t="shared" si="8"/>
        <v>0</v>
      </c>
      <c r="M59" s="1509"/>
      <c r="N59" s="1508"/>
      <c r="O59" s="1511">
        <f t="shared" si="9"/>
        <v>0</v>
      </c>
      <c r="P59" t="s">
        <v>2014</v>
      </c>
    </row>
    <row r="60" spans="2:16" hidden="1">
      <c r="B60" s="1506"/>
      <c r="C60" s="1314"/>
      <c r="D60" s="1314"/>
      <c r="E60" s="1314"/>
      <c r="F60" s="1482">
        <f>$F$56</f>
        <v>0</v>
      </c>
      <c r="G60" s="1314"/>
      <c r="H60" s="1482">
        <f>IF(OR($F$20=$R$6,$F$20=$U$6),CO2データ!I275,IF($F$20=$S$6,CO2データ!L275,CO2データ!O275))</f>
        <v>5.2999999999999999E-2</v>
      </c>
      <c r="I60" s="1482">
        <f>IF(OR($F$20=$R$6,$F$20=$U$6),CO2データ!J275,IF($F$20=$S$6,CO2データ!M275,CO2データ!P275))</f>
        <v>0</v>
      </c>
      <c r="J60" s="1482">
        <f>IF(OR($F$20=$R$6,$F$20=$U$6),CO2データ!K275,IF($F$20=$S$6,CO2データ!N275,CO2データ!Q275))</f>
        <v>5.2999999999999999E-2</v>
      </c>
      <c r="K60" s="1509"/>
      <c r="L60" s="1508">
        <f t="shared" si="8"/>
        <v>5.2999999999999999E-2</v>
      </c>
      <c r="M60" s="1509"/>
      <c r="N60" s="1508"/>
      <c r="O60" s="1511">
        <f t="shared" si="9"/>
        <v>5.2999999999999999E-2</v>
      </c>
      <c r="P60" t="s">
        <v>2014</v>
      </c>
    </row>
    <row r="61" spans="2:16" hidden="1">
      <c r="B61" s="1506"/>
      <c r="C61" s="1314"/>
      <c r="D61" s="1314"/>
      <c r="E61" s="1314"/>
      <c r="F61" s="1482">
        <f>$F$56</f>
        <v>0</v>
      </c>
      <c r="G61" s="1314"/>
      <c r="H61" s="1482">
        <f>IF(OR($F$20=$R$6,$F$20=$U$6),CO2データ!I276,IF($F$20=$S$6,CO2データ!L276,CO2データ!O276))</f>
        <v>5.0000000000000001E-3</v>
      </c>
      <c r="I61" s="1482">
        <f>IF(OR($F$20=$R$6,$F$20=$U$6),CO2データ!J276,IF($F$20=$S$6,CO2データ!M276,CO2データ!P276))</f>
        <v>0</v>
      </c>
      <c r="J61" s="1482">
        <f>IF(OR($F$20=$R$6,$F$20=$U$6),CO2データ!K276,IF($F$20=$S$6,CO2データ!N276,CO2データ!Q276))</f>
        <v>4.8300000000000001E-3</v>
      </c>
      <c r="K61" s="1509"/>
      <c r="L61" s="1508">
        <f t="shared" si="8"/>
        <v>5.0000000000000001E-3</v>
      </c>
      <c r="M61" s="1509"/>
      <c r="N61" s="1508"/>
      <c r="O61" s="1511">
        <f t="shared" si="9"/>
        <v>5.0000000000000001E-3</v>
      </c>
      <c r="P61" t="s">
        <v>2014</v>
      </c>
    </row>
    <row r="62" spans="2:16" hidden="1">
      <c r="B62" s="1506"/>
      <c r="C62" s="1314"/>
      <c r="D62" s="1314" t="s">
        <v>1642</v>
      </c>
      <c r="E62" s="1314"/>
      <c r="F62" s="1482">
        <f>F14</f>
        <v>0</v>
      </c>
      <c r="G62" s="1314"/>
      <c r="H62" s="1482">
        <f>IF(OR($F$20=$R$6,$F$20=$U$6),CO2データ!I277,IF($F$20=$S$6,CO2データ!L277,CO2データ!O277))</f>
        <v>0.86199999999999999</v>
      </c>
      <c r="I62" s="1482">
        <f>IF(OR($F$20=$R$6,$F$20=$U$6),CO2データ!J277,IF($F$20=$S$6,CO2データ!M277,CO2データ!P277))</f>
        <v>0</v>
      </c>
      <c r="J62" s="1482">
        <f>IF(OR($F$20=$R$6,$F$20=$U$6),CO2データ!K277,IF($F$20=$S$6,CO2データ!N277,CO2データ!Q277))</f>
        <v>0</v>
      </c>
      <c r="K62" s="1509"/>
      <c r="L62" s="1508">
        <f t="shared" si="8"/>
        <v>0.86199999999999999</v>
      </c>
      <c r="M62" s="1509"/>
      <c r="N62" s="1508"/>
      <c r="O62" s="1511">
        <f t="shared" si="9"/>
        <v>0.86199999999999999</v>
      </c>
      <c r="P62" t="s">
        <v>2011</v>
      </c>
    </row>
    <row r="63" spans="2:16" hidden="1">
      <c r="B63" s="1506"/>
      <c r="C63" s="1314"/>
      <c r="D63" s="1314"/>
      <c r="E63" s="1314"/>
      <c r="F63" s="1482">
        <f>$F$62</f>
        <v>0</v>
      </c>
      <c r="G63" s="1314"/>
      <c r="H63" s="1482">
        <f>IF(OR($F$20=$R$6,$F$20=$U$6),CO2データ!I278,IF($F$20=$S$6,CO2データ!L278,CO2データ!O278))</f>
        <v>0</v>
      </c>
      <c r="I63" s="1482">
        <f>IF(OR($F$20=$R$6,$F$20=$U$6),CO2データ!J278,IF($F$20=$S$6,CO2データ!M278,CO2データ!P278))</f>
        <v>0</v>
      </c>
      <c r="J63" s="1482">
        <f>IF(OR($F$20=$R$6,$F$20=$U$6),CO2データ!K278,IF($F$20=$S$6,CO2データ!N278,CO2データ!Q278))</f>
        <v>0.86199999999999999</v>
      </c>
      <c r="K63" s="1509"/>
      <c r="L63" s="1508">
        <f t="shared" si="8"/>
        <v>0</v>
      </c>
      <c r="M63" s="1509"/>
      <c r="N63" s="1508"/>
      <c r="O63" s="1511">
        <f t="shared" si="9"/>
        <v>0</v>
      </c>
      <c r="P63" t="s">
        <v>2011</v>
      </c>
    </row>
    <row r="64" spans="2:16" hidden="1">
      <c r="B64" s="1506"/>
      <c r="C64" s="1314"/>
      <c r="D64" s="1314"/>
      <c r="E64" s="1314"/>
      <c r="F64" s="1482">
        <f>$F$62</f>
        <v>0</v>
      </c>
      <c r="G64" s="1314"/>
      <c r="H64" s="1482">
        <f>IF(OR($F$20=$R$6,$F$20=$U$6),CO2データ!I279,IF($F$20=$S$6,CO2データ!L279,CO2データ!O279))</f>
        <v>5.8999999999999997E-2</v>
      </c>
      <c r="I64" s="1482">
        <f>IF(OR($F$20=$R$6,$F$20=$U$6),CO2データ!J279,IF($F$20=$S$6,CO2データ!M279,CO2データ!P279))</f>
        <v>0</v>
      </c>
      <c r="J64" s="1482">
        <f>IF(OR($F$20=$R$6,$F$20=$U$6),CO2データ!K279,IF($F$20=$S$6,CO2データ!N279,CO2データ!Q279))</f>
        <v>5.8999999999999997E-2</v>
      </c>
      <c r="K64" s="1509"/>
      <c r="L64" s="1508">
        <f t="shared" si="8"/>
        <v>5.8999999999999997E-2</v>
      </c>
      <c r="M64" s="1509"/>
      <c r="N64" s="1508"/>
      <c r="O64" s="1511">
        <f t="shared" si="9"/>
        <v>5.8999999999999997E-2</v>
      </c>
      <c r="P64" t="s">
        <v>2014</v>
      </c>
    </row>
    <row r="65" spans="2:16" hidden="1">
      <c r="B65" s="1506"/>
      <c r="C65" s="1314"/>
      <c r="D65" s="1314"/>
      <c r="E65" s="1314"/>
      <c r="F65" s="1482">
        <f>$F$62</f>
        <v>0</v>
      </c>
      <c r="G65" s="1314"/>
      <c r="H65" s="1482">
        <f>IF(OR($F$20=$R$6,$F$20=$U$6),CO2データ!I280,IF($F$20=$S$6,CO2データ!L280,CO2データ!O280))</f>
        <v>0</v>
      </c>
      <c r="I65" s="1482">
        <f>IF(OR($F$20=$R$6,$F$20=$U$6),CO2データ!J280,IF($F$20=$S$6,CO2データ!M280,CO2データ!P280))</f>
        <v>0</v>
      </c>
      <c r="J65" s="1482">
        <f>IF(OR($F$20=$R$6,$F$20=$U$6),CO2データ!K280,IF($F$20=$S$6,CO2データ!N280,CO2データ!Q280))</f>
        <v>0</v>
      </c>
      <c r="K65" s="1509"/>
      <c r="L65" s="1508">
        <f t="shared" si="8"/>
        <v>0</v>
      </c>
      <c r="M65" s="1509"/>
      <c r="N65" s="1508"/>
      <c r="O65" s="1511">
        <f t="shared" si="9"/>
        <v>0</v>
      </c>
      <c r="P65" t="s">
        <v>2014</v>
      </c>
    </row>
    <row r="66" spans="2:16" hidden="1">
      <c r="B66" s="1506"/>
      <c r="C66" s="1314"/>
      <c r="D66" s="1314"/>
      <c r="E66" s="1314"/>
      <c r="F66" s="1482">
        <f>$F$62</f>
        <v>0</v>
      </c>
      <c r="G66" s="1314"/>
      <c r="H66" s="1482">
        <f>IF(OR($F$20=$R$6,$F$20=$U$6),CO2データ!I281,IF($F$20=$S$6,CO2データ!L281,CO2データ!O281))</f>
        <v>0.1</v>
      </c>
      <c r="I66" s="1482">
        <f>IF(OR($F$20=$R$6,$F$20=$U$6),CO2データ!J281,IF($F$20=$S$6,CO2データ!M281,CO2データ!P281))</f>
        <v>0</v>
      </c>
      <c r="J66" s="1482">
        <f>IF(OR($F$20=$R$6,$F$20=$U$6),CO2データ!K281,IF($F$20=$S$6,CO2データ!N281,CO2データ!Q281))</f>
        <v>0.1</v>
      </c>
      <c r="K66" s="1509"/>
      <c r="L66" s="1508">
        <f t="shared" si="8"/>
        <v>0.1</v>
      </c>
      <c r="M66" s="1509"/>
      <c r="N66" s="1508"/>
      <c r="O66" s="1511">
        <f t="shared" si="9"/>
        <v>0.1</v>
      </c>
      <c r="P66" t="s">
        <v>2014</v>
      </c>
    </row>
    <row r="67" spans="2:16" hidden="1">
      <c r="B67" s="1506"/>
      <c r="C67" s="1314"/>
      <c r="D67" s="1314"/>
      <c r="E67" s="1314"/>
      <c r="F67" s="1482">
        <f>$F$62</f>
        <v>0</v>
      </c>
      <c r="G67" s="1314"/>
      <c r="H67" s="1482">
        <f>IF(OR($F$20=$R$6,$F$20=$U$6),CO2データ!I282,IF($F$20=$S$6,CO2データ!L282,CO2データ!O282))</f>
        <v>1.2E-2</v>
      </c>
      <c r="I67" s="1482">
        <f>IF(OR($F$20=$R$6,$F$20=$U$6),CO2データ!J282,IF($F$20=$S$6,CO2データ!M282,CO2データ!P282))</f>
        <v>0</v>
      </c>
      <c r="J67" s="1482">
        <f>IF(OR($F$20=$R$6,$F$20=$U$6),CO2データ!K282,IF($F$20=$S$6,CO2データ!N282,CO2データ!Q282))</f>
        <v>1.227E-2</v>
      </c>
      <c r="K67" s="1509"/>
      <c r="L67" s="1508">
        <f t="shared" si="8"/>
        <v>1.2E-2</v>
      </c>
      <c r="M67" s="1509"/>
      <c r="N67" s="1508"/>
      <c r="O67" s="1511">
        <f t="shared" si="9"/>
        <v>1.2E-2</v>
      </c>
      <c r="P67" t="s">
        <v>2014</v>
      </c>
    </row>
    <row r="68" spans="2:16" hidden="1">
      <c r="B68" s="1506"/>
      <c r="C68" s="1314"/>
      <c r="D68" s="1314" t="s">
        <v>385</v>
      </c>
      <c r="E68" s="1314"/>
      <c r="F68" s="1482">
        <f>F15</f>
        <v>0</v>
      </c>
      <c r="G68" s="1314"/>
      <c r="H68" s="1482">
        <f>IF(OR($F$20=$R$6,$F$20=$U$6),CO2データ!I283,IF($F$20=$S$6,CO2データ!L283,CO2データ!O283))</f>
        <v>0.66900000000000004</v>
      </c>
      <c r="I68" s="1482">
        <f>IF(OR($F$20=$R$6,$F$20=$U$6),CO2データ!J283,IF($F$20=$S$6,CO2データ!M283,CO2データ!P283))</f>
        <v>0</v>
      </c>
      <c r="J68" s="1482">
        <f>IF(OR($F$20=$R$6,$F$20=$U$6),CO2データ!K283,IF($F$20=$S$6,CO2データ!N283,CO2データ!Q283))</f>
        <v>0</v>
      </c>
      <c r="K68" s="1509"/>
      <c r="L68" s="1508">
        <f t="shared" si="8"/>
        <v>0.66900000000000004</v>
      </c>
      <c r="M68" s="1509"/>
      <c r="N68" s="1508"/>
      <c r="O68" s="1511">
        <f t="shared" si="9"/>
        <v>0.66900000000000004</v>
      </c>
      <c r="P68" t="s">
        <v>2011</v>
      </c>
    </row>
    <row r="69" spans="2:16" hidden="1">
      <c r="B69" s="1506"/>
      <c r="C69" s="1314"/>
      <c r="D69" s="1314"/>
      <c r="E69" s="1314"/>
      <c r="F69" s="1482">
        <f>$F$68</f>
        <v>0</v>
      </c>
      <c r="G69" s="1314"/>
      <c r="H69" s="1482">
        <f>IF(OR($F$20=$R$6,$F$20=$U$6),CO2データ!I284,IF($F$20=$S$6,CO2データ!L284,CO2データ!O284))</f>
        <v>0</v>
      </c>
      <c r="I69" s="1482">
        <f>IF(OR($F$20=$R$6,$F$20=$U$6),CO2データ!J284,IF($F$20=$S$6,CO2データ!M284,CO2データ!P284))</f>
        <v>0</v>
      </c>
      <c r="J69" s="1482">
        <f>IF(OR($F$20=$R$6,$F$20=$U$6),CO2データ!K284,IF($F$20=$S$6,CO2データ!N284,CO2データ!Q284))</f>
        <v>0.66900000000000004</v>
      </c>
      <c r="K69" s="1509"/>
      <c r="L69" s="1508">
        <f t="shared" si="8"/>
        <v>0</v>
      </c>
      <c r="M69" s="1509"/>
      <c r="N69" s="1508"/>
      <c r="O69" s="1511">
        <f t="shared" si="9"/>
        <v>0</v>
      </c>
      <c r="P69" t="s">
        <v>2011</v>
      </c>
    </row>
    <row r="70" spans="2:16" hidden="1">
      <c r="B70" s="1506"/>
      <c r="C70" s="1314"/>
      <c r="D70" s="1314"/>
      <c r="E70" s="1314"/>
      <c r="F70" s="1482">
        <f>$F$68</f>
        <v>0</v>
      </c>
      <c r="G70" s="1314"/>
      <c r="H70" s="1482">
        <f>IF(OR($F$20=$R$6,$F$20=$U$6),CO2データ!I285,IF($F$20=$S$6,CO2データ!L285,CO2データ!O285))</f>
        <v>7.6999999999999999E-2</v>
      </c>
      <c r="I70" s="1482">
        <f>IF(OR($F$20=$R$6,$F$20=$U$6),CO2データ!J285,IF($F$20=$S$6,CO2データ!M285,CO2データ!P285))</f>
        <v>0</v>
      </c>
      <c r="J70" s="1482">
        <f>IF(OR($F$20=$R$6,$F$20=$U$6),CO2データ!K285,IF($F$20=$S$6,CO2データ!N285,CO2データ!Q285))</f>
        <v>7.6999999999999999E-2</v>
      </c>
      <c r="K70" s="1509"/>
      <c r="L70" s="1508">
        <f t="shared" ref="L70:L91" si="10">H70-(H70-I70)*$F$21-(H70-J70)*$F$22</f>
        <v>7.6999999999999999E-2</v>
      </c>
      <c r="M70" s="1509"/>
      <c r="N70" s="1508"/>
      <c r="O70" s="1511">
        <f t="shared" ref="O70:O91" si="11">H70</f>
        <v>7.6999999999999999E-2</v>
      </c>
      <c r="P70" t="s">
        <v>2014</v>
      </c>
    </row>
    <row r="71" spans="2:16" hidden="1">
      <c r="B71" s="1506"/>
      <c r="C71" s="1314"/>
      <c r="D71" s="1314"/>
      <c r="E71" s="1314"/>
      <c r="F71" s="1482">
        <f>$F$68</f>
        <v>0</v>
      </c>
      <c r="G71" s="1314"/>
      <c r="H71" s="1482">
        <f>IF(OR($F$20=$R$6,$F$20=$U$6),CO2データ!I286,IF($F$20=$S$6,CO2データ!L286,CO2データ!O286))</f>
        <v>0</v>
      </c>
      <c r="I71" s="1482">
        <f>IF(OR($F$20=$R$6,$F$20=$U$6),CO2データ!J286,IF($F$20=$S$6,CO2データ!M286,CO2データ!P286))</f>
        <v>0</v>
      </c>
      <c r="J71" s="1482">
        <f>IF(OR($F$20=$R$6,$F$20=$U$6),CO2データ!K286,IF($F$20=$S$6,CO2データ!N286,CO2データ!Q286))</f>
        <v>0</v>
      </c>
      <c r="K71" s="1509"/>
      <c r="L71" s="1508">
        <f t="shared" si="10"/>
        <v>0</v>
      </c>
      <c r="M71" s="1509"/>
      <c r="N71" s="1508"/>
      <c r="O71" s="1511">
        <f t="shared" si="11"/>
        <v>0</v>
      </c>
      <c r="P71" t="s">
        <v>2014</v>
      </c>
    </row>
    <row r="72" spans="2:16" hidden="1">
      <c r="B72" s="1506"/>
      <c r="C72" s="1314"/>
      <c r="D72" s="1314"/>
      <c r="E72" s="1314"/>
      <c r="F72" s="1482">
        <f>$F$68</f>
        <v>0</v>
      </c>
      <c r="G72" s="1314"/>
      <c r="H72" s="1482">
        <f>IF(OR($F$20=$R$6,$F$20=$U$6),CO2データ!I287,IF($F$20=$S$6,CO2データ!L287,CO2データ!O287))</f>
        <v>0.08</v>
      </c>
      <c r="I72" s="1482">
        <f>IF(OR($F$20=$R$6,$F$20=$U$6),CO2データ!J287,IF($F$20=$S$6,CO2データ!M287,CO2データ!P287))</f>
        <v>0</v>
      </c>
      <c r="J72" s="1482">
        <f>IF(OR($F$20=$R$6,$F$20=$U$6),CO2データ!K287,IF($F$20=$S$6,CO2データ!N287,CO2データ!Q287))</f>
        <v>0.08</v>
      </c>
      <c r="K72" s="1509"/>
      <c r="L72" s="1508">
        <f t="shared" si="10"/>
        <v>0.08</v>
      </c>
      <c r="M72" s="1509"/>
      <c r="N72" s="1508"/>
      <c r="O72" s="1511">
        <f t="shared" si="11"/>
        <v>0.08</v>
      </c>
      <c r="P72" t="s">
        <v>2014</v>
      </c>
    </row>
    <row r="73" spans="2:16" hidden="1">
      <c r="B73" s="1506"/>
      <c r="C73" s="1314"/>
      <c r="D73" s="1314"/>
      <c r="E73" s="1314"/>
      <c r="F73" s="1482">
        <f>$F$68</f>
        <v>0</v>
      </c>
      <c r="G73" s="1314"/>
      <c r="H73" s="1482">
        <f>IF(OR($F$20=$R$6,$F$20=$U$6),CO2データ!I288,IF($F$20=$S$6,CO2データ!L288,CO2データ!O288))</f>
        <v>7.0000000000000001E-3</v>
      </c>
      <c r="I73" s="1482">
        <f>IF(OR($F$20=$R$6,$F$20=$U$6),CO2データ!J288,IF($F$20=$S$6,CO2データ!M288,CO2データ!P288))</f>
        <v>0</v>
      </c>
      <c r="J73" s="1482">
        <f>IF(OR($F$20=$R$6,$F$20=$U$6),CO2データ!K288,IF($F$20=$S$6,CO2データ!N288,CO2データ!Q288))</f>
        <v>6.6899999999999998E-3</v>
      </c>
      <c r="K73" s="1509"/>
      <c r="L73" s="1508">
        <f t="shared" si="10"/>
        <v>7.0000000000000001E-3</v>
      </c>
      <c r="M73" s="1509"/>
      <c r="N73" s="1508"/>
      <c r="O73" s="1511">
        <f t="shared" si="11"/>
        <v>7.0000000000000001E-3</v>
      </c>
      <c r="P73" t="s">
        <v>2014</v>
      </c>
    </row>
    <row r="74" spans="2:16" hidden="1">
      <c r="B74" s="1506"/>
      <c r="C74" s="1314"/>
      <c r="D74" s="1314" t="s">
        <v>1644</v>
      </c>
      <c r="E74" s="1314"/>
      <c r="F74" s="1482">
        <f>F16</f>
        <v>0</v>
      </c>
      <c r="G74" s="1314"/>
      <c r="H74" s="1482">
        <f>IF(OR($F$20=$R$6,$F$20=$U$6),CO2データ!I289,IF($F$20=$S$6,CO2データ!L289,CO2データ!O289))</f>
        <v>0.81200000000000006</v>
      </c>
      <c r="I74" s="1482">
        <f>IF(OR($F$20=$R$6,$F$20=$U$6),CO2データ!J289,IF($F$20=$S$6,CO2データ!M289,CO2データ!P289))</f>
        <v>0</v>
      </c>
      <c r="J74" s="1482">
        <f>IF(OR($F$20=$R$6,$F$20=$U$6),CO2データ!K289,IF($F$20=$S$6,CO2データ!N289,CO2データ!Q289))</f>
        <v>0</v>
      </c>
      <c r="K74" s="1509"/>
      <c r="L74" s="1508">
        <f t="shared" si="10"/>
        <v>0.81200000000000006</v>
      </c>
      <c r="M74" s="1509"/>
      <c r="N74" s="1508"/>
      <c r="O74" s="1511">
        <f t="shared" si="11"/>
        <v>0.81200000000000006</v>
      </c>
      <c r="P74" t="s">
        <v>2011</v>
      </c>
    </row>
    <row r="75" spans="2:16" hidden="1">
      <c r="B75" s="1506"/>
      <c r="C75" s="1314"/>
      <c r="D75" s="1314"/>
      <c r="E75" s="1314"/>
      <c r="F75" s="1482">
        <f>$F$74</f>
        <v>0</v>
      </c>
      <c r="G75" s="1314"/>
      <c r="H75" s="1482">
        <f>IF(OR($F$20=$R$6,$F$20=$U$6),CO2データ!I290,IF($F$20=$S$6,CO2データ!L290,CO2データ!O290))</f>
        <v>0</v>
      </c>
      <c r="I75" s="1482">
        <f>IF(OR($F$20=$R$6,$F$20=$U$6),CO2データ!J290,IF($F$20=$S$6,CO2データ!M290,CO2データ!P290))</f>
        <v>0</v>
      </c>
      <c r="J75" s="1482">
        <f>IF(OR($F$20=$R$6,$F$20=$U$6),CO2データ!K290,IF($F$20=$S$6,CO2データ!N290,CO2データ!Q290))</f>
        <v>0.81200000000000006</v>
      </c>
      <c r="K75" s="1509"/>
      <c r="L75" s="1508">
        <f t="shared" si="10"/>
        <v>0</v>
      </c>
      <c r="M75" s="1509"/>
      <c r="N75" s="1508"/>
      <c r="O75" s="1511">
        <f t="shared" si="11"/>
        <v>0</v>
      </c>
      <c r="P75" t="s">
        <v>2011</v>
      </c>
    </row>
    <row r="76" spans="2:16" hidden="1">
      <c r="B76" s="1506"/>
      <c r="C76" s="1314"/>
      <c r="D76" s="1314"/>
      <c r="E76" s="1314"/>
      <c r="F76" s="1482">
        <f>$F$74</f>
        <v>0</v>
      </c>
      <c r="G76" s="1314"/>
      <c r="H76" s="1482">
        <f>IF(OR($F$20=$R$6,$F$20=$U$6),CO2データ!I291,IF($F$20=$S$6,CO2データ!L291,CO2データ!O291))</f>
        <v>0.66</v>
      </c>
      <c r="I76" s="1482">
        <f>IF(OR($F$20=$R$6,$F$20=$U$6),CO2データ!J291,IF($F$20=$S$6,CO2データ!M291,CO2データ!P291))</f>
        <v>0</v>
      </c>
      <c r="J76" s="1482">
        <f>IF(OR($F$20=$R$6,$F$20=$U$6),CO2データ!K291,IF($F$20=$S$6,CO2データ!N291,CO2データ!Q291))</f>
        <v>6.6000000000000003E-2</v>
      </c>
      <c r="K76" s="1509"/>
      <c r="L76" s="1508">
        <f t="shared" si="10"/>
        <v>0.66</v>
      </c>
      <c r="M76" s="1509"/>
      <c r="N76" s="1508"/>
      <c r="O76" s="1511">
        <f t="shared" si="11"/>
        <v>0.66</v>
      </c>
      <c r="P76" t="s">
        <v>2014</v>
      </c>
    </row>
    <row r="77" spans="2:16" hidden="1">
      <c r="B77" s="1506"/>
      <c r="C77" s="1314"/>
      <c r="D77" s="1314"/>
      <c r="E77" s="1314"/>
      <c r="F77" s="1482">
        <f>$F$74</f>
        <v>0</v>
      </c>
      <c r="G77" s="1314"/>
      <c r="H77" s="1482">
        <f>IF(OR($F$20=$R$6,$F$20=$U$6),CO2データ!I292,IF($F$20=$S$6,CO2データ!L292,CO2データ!O292))</f>
        <v>0</v>
      </c>
      <c r="I77" s="1482">
        <f>IF(OR($F$20=$R$6,$F$20=$U$6),CO2データ!J292,IF($F$20=$S$6,CO2データ!M292,CO2データ!P292))</f>
        <v>0</v>
      </c>
      <c r="J77" s="1482">
        <f>IF(OR($F$20=$R$6,$F$20=$U$6),CO2データ!K292,IF($F$20=$S$6,CO2データ!N292,CO2データ!Q292))</f>
        <v>0</v>
      </c>
      <c r="K77" s="1509"/>
      <c r="L77" s="1508">
        <f t="shared" si="10"/>
        <v>0</v>
      </c>
      <c r="M77" s="1509"/>
      <c r="N77" s="1508"/>
      <c r="O77" s="1511">
        <f t="shared" si="11"/>
        <v>0</v>
      </c>
      <c r="P77" t="s">
        <v>2014</v>
      </c>
    </row>
    <row r="78" spans="2:16" hidden="1">
      <c r="B78" s="1506"/>
      <c r="C78" s="1314"/>
      <c r="D78" s="1314"/>
      <c r="E78" s="1314"/>
      <c r="F78" s="1482">
        <f>$F$74</f>
        <v>0</v>
      </c>
      <c r="G78" s="1314"/>
      <c r="H78" s="1482">
        <f>IF(OR($F$20=$R$6,$F$20=$U$6),CO2データ!I293,IF($F$20=$S$6,CO2データ!L293,CO2データ!O293))</f>
        <v>8.8999999999999996E-2</v>
      </c>
      <c r="I78" s="1482">
        <f>IF(OR($F$20=$R$6,$F$20=$U$6),CO2データ!J293,IF($F$20=$S$6,CO2データ!M293,CO2データ!P293))</f>
        <v>0</v>
      </c>
      <c r="J78" s="1482">
        <f>IF(OR($F$20=$R$6,$F$20=$U$6),CO2データ!K293,IF($F$20=$S$6,CO2データ!N293,CO2データ!Q293))</f>
        <v>8.8999999999999996E-2</v>
      </c>
      <c r="K78" s="1509"/>
      <c r="L78" s="1508">
        <f t="shared" si="10"/>
        <v>8.8999999999999996E-2</v>
      </c>
      <c r="M78" s="1509"/>
      <c r="N78" s="1508"/>
      <c r="O78" s="1511">
        <f t="shared" si="11"/>
        <v>8.8999999999999996E-2</v>
      </c>
      <c r="P78" t="s">
        <v>2014</v>
      </c>
    </row>
    <row r="79" spans="2:16" hidden="1">
      <c r="B79" s="1506"/>
      <c r="C79" s="1314"/>
      <c r="D79" s="1314"/>
      <c r="E79" s="1314"/>
      <c r="F79" s="1482">
        <f>$F$74</f>
        <v>0</v>
      </c>
      <c r="G79" s="1314"/>
      <c r="H79" s="1482">
        <f>IF(OR($F$20=$R$6,$F$20=$U$6),CO2データ!I294,IF($F$20=$S$6,CO2データ!L294,CO2データ!O294))</f>
        <v>0.01</v>
      </c>
      <c r="I79" s="1482">
        <f>IF(OR($F$20=$R$6,$F$20=$U$6),CO2データ!J294,IF($F$20=$S$6,CO2データ!M294,CO2データ!P294))</f>
        <v>0</v>
      </c>
      <c r="J79" s="1482">
        <f>IF(OR($F$20=$R$6,$F$20=$U$6),CO2データ!K294,IF($F$20=$S$6,CO2データ!N294,CO2データ!Q294))</f>
        <v>9.6900000000000007E-3</v>
      </c>
      <c r="K79" s="1509"/>
      <c r="L79" s="1508">
        <f t="shared" si="10"/>
        <v>0.01</v>
      </c>
      <c r="M79" s="1509"/>
      <c r="N79" s="1508"/>
      <c r="O79" s="1511">
        <f t="shared" si="11"/>
        <v>0.01</v>
      </c>
      <c r="P79" t="s">
        <v>2014</v>
      </c>
    </row>
    <row r="80" spans="2:16" hidden="1">
      <c r="B80" s="1506"/>
      <c r="C80" s="1314"/>
      <c r="D80" s="1314" t="s">
        <v>563</v>
      </c>
      <c r="E80" s="1314"/>
      <c r="F80" s="1482">
        <f>F17</f>
        <v>0</v>
      </c>
      <c r="G80" s="1314"/>
      <c r="H80" s="1482">
        <f>IF(OR($F$20=$R$6,$F$20=$U$6),CO2データ!I295,IF($F$20=$S$6,CO2データ!L295,CO2データ!O295))</f>
        <v>0.81599999999999995</v>
      </c>
      <c r="I80" s="1482">
        <f>IF(OR($F$20=$R$6,$F$20=$U$6),CO2データ!J295,IF($F$20=$S$6,CO2データ!M295,CO2データ!P295))</f>
        <v>0</v>
      </c>
      <c r="J80" s="1482">
        <f>IF(OR($F$20=$R$6,$F$20=$U$6),CO2データ!K295,IF($F$20=$S$6,CO2データ!N295,CO2データ!Q295))</f>
        <v>0</v>
      </c>
      <c r="K80" s="1509"/>
      <c r="L80" s="1508">
        <f t="shared" si="10"/>
        <v>0.81599999999999995</v>
      </c>
      <c r="M80" s="1509"/>
      <c r="N80" s="1508"/>
      <c r="O80" s="1511">
        <f t="shared" si="11"/>
        <v>0.81599999999999995</v>
      </c>
      <c r="P80" t="s">
        <v>2011</v>
      </c>
    </row>
    <row r="81" spans="2:16" hidden="1">
      <c r="B81" s="1506"/>
      <c r="C81" s="1314"/>
      <c r="D81" s="1314"/>
      <c r="E81" s="1314"/>
      <c r="F81" s="1482">
        <f>$F$80</f>
        <v>0</v>
      </c>
      <c r="G81" s="1314"/>
      <c r="H81" s="1482">
        <f>IF(OR($F$20=$R$6,$F$20=$U$6),CO2データ!I296,IF($F$20=$S$6,CO2データ!L296,CO2データ!O296))</f>
        <v>0</v>
      </c>
      <c r="I81" s="1482">
        <f>IF(OR($F$20=$R$6,$F$20=$U$6),CO2データ!J296,IF($F$20=$S$6,CO2データ!M296,CO2データ!P296))</f>
        <v>0</v>
      </c>
      <c r="J81" s="1482">
        <f>IF(OR($F$20=$R$6,$F$20=$U$6),CO2データ!K296,IF($F$20=$S$6,CO2データ!N296,CO2データ!Q296))</f>
        <v>0.81599999999999995</v>
      </c>
      <c r="K81" s="1509"/>
      <c r="L81" s="1508">
        <f t="shared" si="10"/>
        <v>0</v>
      </c>
      <c r="M81" s="1509"/>
      <c r="N81" s="1508"/>
      <c r="O81" s="1511">
        <f t="shared" si="11"/>
        <v>0</v>
      </c>
      <c r="P81" t="s">
        <v>2011</v>
      </c>
    </row>
    <row r="82" spans="2:16" hidden="1">
      <c r="B82" s="1506"/>
      <c r="C82" s="1314"/>
      <c r="D82" s="1314"/>
      <c r="E82" s="1314"/>
      <c r="F82" s="1482">
        <f>$F$80</f>
        <v>0</v>
      </c>
      <c r="G82" s="1314"/>
      <c r="H82" s="1482">
        <f>IF(OR($F$20=$R$6,$F$20=$U$6),CO2データ!I297,IF($F$20=$S$6,CO2データ!L297,CO2データ!O297))</f>
        <v>8.4000000000000005E-2</v>
      </c>
      <c r="I82" s="1482">
        <f>IF(OR($F$20=$R$6,$F$20=$U$6),CO2データ!J297,IF($F$20=$S$6,CO2データ!M297,CO2データ!P297))</f>
        <v>0</v>
      </c>
      <c r="J82" s="1482">
        <f>IF(OR($F$20=$R$6,$F$20=$U$6),CO2データ!K297,IF($F$20=$S$6,CO2データ!N297,CO2データ!Q297))</f>
        <v>8.4000000000000005E-2</v>
      </c>
      <c r="K82" s="1509"/>
      <c r="L82" s="1508">
        <f t="shared" si="10"/>
        <v>8.4000000000000005E-2</v>
      </c>
      <c r="M82" s="1509"/>
      <c r="N82" s="1508"/>
      <c r="O82" s="1511">
        <f t="shared" si="11"/>
        <v>8.4000000000000005E-2</v>
      </c>
      <c r="P82" t="s">
        <v>2014</v>
      </c>
    </row>
    <row r="83" spans="2:16" hidden="1">
      <c r="B83" s="1506"/>
      <c r="C83" s="1314"/>
      <c r="D83" s="1314"/>
      <c r="E83" s="1314"/>
      <c r="F83" s="1482">
        <f>$F$80</f>
        <v>0</v>
      </c>
      <c r="G83" s="1314"/>
      <c r="H83" s="1482">
        <f>IF(OR($F$20=$R$6,$F$20=$U$6),CO2データ!I298,IF($F$20=$S$6,CO2データ!L298,CO2データ!O298))</f>
        <v>0</v>
      </c>
      <c r="I83" s="1482">
        <f>IF(OR($F$20=$R$6,$F$20=$U$6),CO2データ!J298,IF($F$20=$S$6,CO2データ!M298,CO2データ!P298))</f>
        <v>0</v>
      </c>
      <c r="J83" s="1482">
        <f>IF(OR($F$20=$R$6,$F$20=$U$6),CO2データ!K298,IF($F$20=$S$6,CO2データ!N298,CO2データ!Q298))</f>
        <v>0</v>
      </c>
      <c r="K83" s="1509"/>
      <c r="L83" s="1508">
        <f t="shared" si="10"/>
        <v>0</v>
      </c>
      <c r="M83" s="1509"/>
      <c r="N83" s="1508"/>
      <c r="O83" s="1511">
        <f t="shared" si="11"/>
        <v>0</v>
      </c>
      <c r="P83" t="s">
        <v>2014</v>
      </c>
    </row>
    <row r="84" spans="2:16" hidden="1">
      <c r="B84" s="1506"/>
      <c r="C84" s="1314"/>
      <c r="D84" s="1314"/>
      <c r="E84" s="1314"/>
      <c r="F84" s="1482">
        <f>$F$80</f>
        <v>0</v>
      </c>
      <c r="G84" s="1314"/>
      <c r="H84" s="1482">
        <f>IF(OR($F$20=$R$6,$F$20=$U$6),CO2データ!I299,IF($F$20=$S$6,CO2データ!L299,CO2データ!O299))</f>
        <v>9.2999999999999999E-2</v>
      </c>
      <c r="I84" s="1482">
        <f>IF(OR($F$20=$R$6,$F$20=$U$6),CO2データ!J299,IF($F$20=$S$6,CO2データ!M299,CO2データ!P299))</f>
        <v>0</v>
      </c>
      <c r="J84" s="1482">
        <f>IF(OR($F$20=$R$6,$F$20=$U$6),CO2データ!K299,IF($F$20=$S$6,CO2データ!N299,CO2データ!Q299))</f>
        <v>9.2999999999999999E-2</v>
      </c>
      <c r="K84" s="1509"/>
      <c r="L84" s="1508">
        <f t="shared" si="10"/>
        <v>9.2999999999999999E-2</v>
      </c>
      <c r="M84" s="1509"/>
      <c r="N84" s="1508"/>
      <c r="O84" s="1511">
        <f t="shared" si="11"/>
        <v>9.2999999999999999E-2</v>
      </c>
      <c r="P84" t="s">
        <v>2014</v>
      </c>
    </row>
    <row r="85" spans="2:16" hidden="1">
      <c r="B85" s="1506"/>
      <c r="C85" s="1314"/>
      <c r="D85" s="1314"/>
      <c r="E85" s="1314"/>
      <c r="F85" s="1482">
        <f>$F$80</f>
        <v>0</v>
      </c>
      <c r="G85" s="1314"/>
      <c r="H85" s="1482">
        <f>IF(OR($F$20=$R$6,$F$20=$U$6),CO2データ!I300,IF($F$20=$S$6,CO2データ!L300,CO2データ!O300))</f>
        <v>1.2E-2</v>
      </c>
      <c r="I85" s="1482">
        <f>IF(OR($F$20=$R$6,$F$20=$U$6),CO2データ!J300,IF($F$20=$S$6,CO2データ!M300,CO2データ!P300))</f>
        <v>0</v>
      </c>
      <c r="J85" s="1482">
        <f>IF(OR($F$20=$R$6,$F$20=$U$6),CO2データ!K300,IF($F$20=$S$6,CO2データ!N300,CO2データ!Q300))</f>
        <v>1.248E-2</v>
      </c>
      <c r="K85" s="1509"/>
      <c r="L85" s="1508">
        <f t="shared" si="10"/>
        <v>1.2E-2</v>
      </c>
      <c r="M85" s="1509"/>
      <c r="N85" s="1508"/>
      <c r="O85" s="1511">
        <f t="shared" si="11"/>
        <v>1.2E-2</v>
      </c>
      <c r="P85" t="s">
        <v>2014</v>
      </c>
    </row>
    <row r="86" spans="2:16" hidden="1">
      <c r="B86" s="1506"/>
      <c r="C86" s="1314"/>
      <c r="D86" s="1314" t="s">
        <v>1746</v>
      </c>
      <c r="E86" s="1314"/>
      <c r="F86" s="1482">
        <f>F18</f>
        <v>0</v>
      </c>
      <c r="G86" s="1314"/>
      <c r="H86" s="1482">
        <f>IF(OR($F$20=$R$6,$F$20=$U$6),CO2データ!I301,IF($F$20=$S$6,CO2データ!L301,CO2データ!O301))</f>
        <v>0.75</v>
      </c>
      <c r="I86" s="1482">
        <f>IF(OR($F$20=$R$6,$F$20=$U$6),CO2データ!J301,IF($F$20=$S$6,CO2データ!M301,CO2データ!P301))</f>
        <v>0</v>
      </c>
      <c r="J86" s="1482">
        <f>IF(OR($F$20=$R$6,$F$20=$U$6),CO2データ!K301,IF($F$20=$S$6,CO2データ!N301,CO2データ!Q301))</f>
        <v>0</v>
      </c>
      <c r="K86" s="1509"/>
      <c r="L86" s="1508">
        <f t="shared" si="10"/>
        <v>0.75</v>
      </c>
      <c r="M86" s="1509"/>
      <c r="N86" s="1508"/>
      <c r="O86" s="1511">
        <f t="shared" si="11"/>
        <v>0.75</v>
      </c>
      <c r="P86" t="s">
        <v>2011</v>
      </c>
    </row>
    <row r="87" spans="2:16" hidden="1">
      <c r="B87" s="1506"/>
      <c r="C87" s="1314"/>
      <c r="D87" s="1314"/>
      <c r="E87" s="1314"/>
      <c r="F87" s="1482">
        <f>$F$86</f>
        <v>0</v>
      </c>
      <c r="G87" s="1314"/>
      <c r="H87" s="1482">
        <f>IF(OR($F$20=$R$6,$F$20=$U$6),CO2データ!I302,IF($F$20=$S$6,CO2データ!L302,CO2データ!O302))</f>
        <v>0</v>
      </c>
      <c r="I87" s="1482">
        <f>IF(OR($F$20=$R$6,$F$20=$U$6),CO2データ!J302,IF($F$20=$S$6,CO2データ!M302,CO2データ!P302))</f>
        <v>0</v>
      </c>
      <c r="J87" s="1482">
        <f>IF(OR($F$20=$R$6,$F$20=$U$6),CO2データ!K302,IF($F$20=$S$6,CO2データ!N302,CO2データ!Q302))</f>
        <v>0.75</v>
      </c>
      <c r="K87" s="1509"/>
      <c r="L87" s="1508">
        <f t="shared" si="10"/>
        <v>0</v>
      </c>
      <c r="M87" s="1509"/>
      <c r="N87" s="1508"/>
      <c r="O87" s="1511">
        <f t="shared" si="11"/>
        <v>0</v>
      </c>
      <c r="P87" t="s">
        <v>2011</v>
      </c>
    </row>
    <row r="88" spans="2:16" hidden="1">
      <c r="B88" s="1506"/>
      <c r="C88" s="1314"/>
      <c r="D88" s="1314"/>
      <c r="E88" s="1314"/>
      <c r="F88" s="1482">
        <f>$F$86</f>
        <v>0</v>
      </c>
      <c r="G88" s="1314"/>
      <c r="H88" s="1482">
        <f>IF(OR($F$20=$R$6,$F$20=$U$6),CO2データ!I303,IF($F$20=$S$6,CO2データ!L303,CO2データ!O303))</f>
        <v>5.1999999999999998E-2</v>
      </c>
      <c r="I88" s="1482">
        <f>IF(OR($F$20=$R$6,$F$20=$U$6),CO2データ!J303,IF($F$20=$S$6,CO2データ!M303,CO2データ!P303))</f>
        <v>0</v>
      </c>
      <c r="J88" s="1482">
        <f>IF(OR($F$20=$R$6,$F$20=$U$6),CO2データ!K303,IF($F$20=$S$6,CO2データ!N303,CO2データ!Q303))</f>
        <v>5.1999999999999998E-2</v>
      </c>
      <c r="K88" s="1509"/>
      <c r="L88" s="1508">
        <f t="shared" si="10"/>
        <v>5.1999999999999998E-2</v>
      </c>
      <c r="M88" s="1509"/>
      <c r="N88" s="1508"/>
      <c r="O88" s="1511">
        <f t="shared" si="11"/>
        <v>5.1999999999999998E-2</v>
      </c>
      <c r="P88" t="s">
        <v>2014</v>
      </c>
    </row>
    <row r="89" spans="2:16" hidden="1">
      <c r="B89" s="1506"/>
      <c r="C89" s="1314"/>
      <c r="D89" s="1314"/>
      <c r="E89" s="1314"/>
      <c r="F89" s="1482">
        <f>$F$86</f>
        <v>0</v>
      </c>
      <c r="G89" s="1314"/>
      <c r="H89" s="1482">
        <f>IF(OR($F$20=$R$6,$F$20=$U$6),CO2データ!I304,IF($F$20=$S$6,CO2データ!L304,CO2データ!O304))</f>
        <v>0</v>
      </c>
      <c r="I89" s="1482">
        <f>IF(OR($F$20=$R$6,$F$20=$U$6),CO2データ!J304,IF($F$20=$S$6,CO2データ!M304,CO2データ!P304))</f>
        <v>0</v>
      </c>
      <c r="J89" s="1482">
        <f>IF(OR($F$20=$R$6,$F$20=$U$6),CO2データ!K304,IF($F$20=$S$6,CO2データ!N304,CO2データ!Q304))</f>
        <v>0</v>
      </c>
      <c r="K89" s="1509"/>
      <c r="L89" s="1508">
        <f t="shared" si="10"/>
        <v>0</v>
      </c>
      <c r="M89" s="1509"/>
      <c r="N89" s="1508"/>
      <c r="O89" s="1511">
        <f t="shared" si="11"/>
        <v>0</v>
      </c>
      <c r="P89" t="s">
        <v>2014</v>
      </c>
    </row>
    <row r="90" spans="2:16" hidden="1">
      <c r="B90" s="1506"/>
      <c r="C90" s="1314"/>
      <c r="D90" s="1314"/>
      <c r="E90" s="1314"/>
      <c r="F90" s="1482">
        <f>$F$86</f>
        <v>0</v>
      </c>
      <c r="G90" s="1314"/>
      <c r="H90" s="1482">
        <f>IF(OR($F$20=$R$6,$F$20=$U$6),CO2データ!I305,IF($F$20=$S$6,CO2データ!L305,CO2データ!O305))</f>
        <v>0.13600000000000001</v>
      </c>
      <c r="I90" s="1482">
        <f>IF(OR($F$20=$R$6,$F$20=$U$6),CO2データ!J305,IF($F$20=$S$6,CO2データ!M305,CO2データ!P305))</f>
        <v>0</v>
      </c>
      <c r="J90" s="1482">
        <f>IF(OR($F$20=$R$6,$F$20=$U$6),CO2データ!K305,IF($F$20=$S$6,CO2データ!N305,CO2データ!Q305))</f>
        <v>0.13600000000000001</v>
      </c>
      <c r="K90" s="1509"/>
      <c r="L90" s="1508">
        <f t="shared" si="10"/>
        <v>0.13600000000000001</v>
      </c>
      <c r="M90" s="1509"/>
      <c r="N90" s="1508"/>
      <c r="O90" s="1511">
        <f t="shared" si="11"/>
        <v>0.13600000000000001</v>
      </c>
      <c r="P90" t="s">
        <v>2014</v>
      </c>
    </row>
    <row r="91" spans="2:16" hidden="1">
      <c r="B91" s="1506"/>
      <c r="C91" s="1314"/>
      <c r="D91" s="1314"/>
      <c r="E91" s="1314"/>
      <c r="F91" s="1482">
        <f>$F$86</f>
        <v>0</v>
      </c>
      <c r="G91" s="1314"/>
      <c r="H91" s="1482">
        <f>IF(OR($F$20=$R$6,$F$20=$U$6),CO2データ!I306,IF($F$20=$S$6,CO2データ!L306,CO2データ!O306))</f>
        <v>0.125</v>
      </c>
      <c r="I91" s="1482">
        <f>IF(OR($F$20=$R$6,$F$20=$U$6),CO2データ!J306,IF($F$20=$S$6,CO2データ!M306,CO2データ!P306))</f>
        <v>0</v>
      </c>
      <c r="J91" s="1482">
        <f>IF(OR($F$20=$R$6,$F$20=$U$6),CO2データ!K306,IF($F$20=$S$6,CO2データ!N306,CO2データ!Q306))</f>
        <v>0.12509999999999999</v>
      </c>
      <c r="K91" s="1509"/>
      <c r="L91" s="1508">
        <f t="shared" si="10"/>
        <v>0.125</v>
      </c>
      <c r="M91" s="1509"/>
      <c r="N91" s="1508"/>
      <c r="O91" s="1511">
        <f t="shared" si="11"/>
        <v>0.125</v>
      </c>
      <c r="P91" t="s">
        <v>2014</v>
      </c>
    </row>
    <row r="92" spans="2:16" hidden="1">
      <c r="B92" s="1495"/>
      <c r="C92" s="7"/>
      <c r="D92" s="7"/>
      <c r="E92" s="7"/>
      <c r="F92" s="7"/>
      <c r="G92" s="7"/>
      <c r="H92" s="7"/>
      <c r="I92" s="7"/>
      <c r="J92" s="7"/>
      <c r="K92" s="7"/>
      <c r="L92" s="7"/>
      <c r="M92" s="7"/>
      <c r="N92" s="7"/>
      <c r="O92" s="1412"/>
    </row>
    <row r="93" spans="2:16" hidden="1">
      <c r="B93" s="1506"/>
      <c r="C93" s="1314" t="s">
        <v>1626</v>
      </c>
      <c r="D93" s="1314" t="s">
        <v>386</v>
      </c>
      <c r="E93" s="1314"/>
      <c r="F93" s="7"/>
      <c r="G93" s="7"/>
      <c r="H93" s="7"/>
      <c r="I93" s="7"/>
      <c r="J93" s="7"/>
      <c r="K93" s="1509"/>
      <c r="L93" s="1512">
        <f t="shared" ref="L93:L98" si="12">$F38*L38+$F44*L44+$F50*L50+$F56*L56+$F62*L62+$F68*L68+$F74*L74+$F80*L80+$F86*L86</f>
        <v>0.69599999999999995</v>
      </c>
      <c r="M93" s="1509"/>
      <c r="N93" s="1513"/>
      <c r="O93" s="1512">
        <f t="shared" ref="O93:O98" si="13">$F38*O38+$F44*O44+$F50*O50+$F56*O56+$F62*O62+$F68*O68+$F74*O74+$F80*O80+$F86*O86</f>
        <v>0.69599999999999995</v>
      </c>
      <c r="P93" t="s">
        <v>2011</v>
      </c>
    </row>
    <row r="94" spans="2:16" hidden="1">
      <c r="B94" s="1506"/>
      <c r="C94" s="1314"/>
      <c r="D94" s="1314"/>
      <c r="E94" s="1314"/>
      <c r="F94" s="7"/>
      <c r="G94" s="7"/>
      <c r="H94" s="7"/>
      <c r="I94" s="7"/>
      <c r="J94" s="7"/>
      <c r="K94" s="1509"/>
      <c r="L94" s="1514">
        <f t="shared" si="12"/>
        <v>0</v>
      </c>
      <c r="M94" s="1509"/>
      <c r="N94" s="1513"/>
      <c r="O94" s="1514">
        <f t="shared" si="13"/>
        <v>0</v>
      </c>
      <c r="P94" t="s">
        <v>2011</v>
      </c>
    </row>
    <row r="95" spans="2:16" hidden="1">
      <c r="B95" s="1506"/>
      <c r="C95" s="1314"/>
      <c r="D95" s="1314"/>
      <c r="E95" s="1314"/>
      <c r="F95" s="7"/>
      <c r="G95" s="7"/>
      <c r="H95" s="7"/>
      <c r="I95" s="7"/>
      <c r="J95" s="7"/>
      <c r="K95" s="1509"/>
      <c r="L95" s="1514">
        <f t="shared" si="12"/>
        <v>0.1</v>
      </c>
      <c r="M95" s="1509"/>
      <c r="N95" s="1513"/>
      <c r="O95" s="1514">
        <f t="shared" si="13"/>
        <v>0.1</v>
      </c>
      <c r="P95" t="s">
        <v>2014</v>
      </c>
    </row>
    <row r="96" spans="2:16" hidden="1">
      <c r="B96" s="1506"/>
      <c r="C96" s="1314"/>
      <c r="D96" s="1314"/>
      <c r="E96" s="1314"/>
      <c r="F96" s="7"/>
      <c r="G96" s="7"/>
      <c r="H96" s="7"/>
      <c r="I96" s="7"/>
      <c r="J96" s="7"/>
      <c r="K96" s="1509"/>
      <c r="L96" s="1514">
        <f t="shared" si="12"/>
        <v>0</v>
      </c>
      <c r="M96" s="1509"/>
      <c r="N96" s="1513"/>
      <c r="O96" s="1514">
        <f t="shared" si="13"/>
        <v>0</v>
      </c>
      <c r="P96" t="s">
        <v>2014</v>
      </c>
    </row>
    <row r="97" spans="2:16" hidden="1">
      <c r="B97" s="1506"/>
      <c r="C97" s="1314"/>
      <c r="D97" s="1314"/>
      <c r="E97" s="1314"/>
      <c r="F97" s="7"/>
      <c r="G97" s="7"/>
      <c r="H97" s="7"/>
      <c r="I97" s="7"/>
      <c r="J97" s="7"/>
      <c r="K97" s="1509"/>
      <c r="L97" s="1514">
        <f t="shared" si="12"/>
        <v>7.8E-2</v>
      </c>
      <c r="M97" s="1509"/>
      <c r="N97" s="1513"/>
      <c r="O97" s="1514">
        <f t="shared" si="13"/>
        <v>7.8E-2</v>
      </c>
      <c r="P97" t="s">
        <v>2014</v>
      </c>
    </row>
    <row r="98" spans="2:16" ht="14.25" hidden="1" thickBot="1">
      <c r="B98" s="1506"/>
      <c r="C98" s="1314"/>
      <c r="D98" s="1314"/>
      <c r="E98" s="1314"/>
      <c r="F98" s="7"/>
      <c r="G98" s="7"/>
      <c r="H98" s="7"/>
      <c r="I98" s="7"/>
      <c r="J98" s="7"/>
      <c r="K98" s="1509"/>
      <c r="L98" s="1515">
        <f t="shared" si="12"/>
        <v>8.0000000000000002E-3</v>
      </c>
      <c r="M98" s="1509"/>
      <c r="N98" s="1513"/>
      <c r="O98" s="1515">
        <f t="shared" si="13"/>
        <v>8.0000000000000002E-3</v>
      </c>
      <c r="P98" t="s">
        <v>2014</v>
      </c>
    </row>
    <row r="99" spans="2:16" hidden="1">
      <c r="B99" s="1495"/>
      <c r="C99" s="7"/>
      <c r="D99" s="7"/>
      <c r="E99" s="7"/>
      <c r="F99" s="7"/>
      <c r="G99" s="7"/>
      <c r="H99" s="7"/>
      <c r="I99" s="7"/>
      <c r="J99" s="7"/>
      <c r="K99" s="7"/>
      <c r="L99" s="7"/>
      <c r="M99" s="7"/>
      <c r="N99" s="7"/>
      <c r="O99" s="1412"/>
    </row>
    <row r="100" spans="2:16" ht="16.5">
      <c r="B100" s="495" t="s">
        <v>1627</v>
      </c>
      <c r="C100" s="504"/>
      <c r="D100" s="506"/>
      <c r="E100" s="504"/>
      <c r="F100" s="7"/>
      <c r="G100" s="7"/>
      <c r="H100" s="496"/>
      <c r="I100" s="497"/>
      <c r="J100" s="497"/>
      <c r="K100" s="497"/>
      <c r="L100" s="497"/>
      <c r="M100" s="497"/>
      <c r="N100" s="497"/>
      <c r="O100" s="508"/>
    </row>
    <row r="101" spans="2:16" ht="14.25">
      <c r="B101" s="495"/>
      <c r="C101" s="499" t="s">
        <v>1628</v>
      </c>
      <c r="D101" s="506"/>
      <c r="E101" s="504"/>
      <c r="F101" s="7"/>
      <c r="G101" s="7"/>
      <c r="H101" s="496"/>
      <c r="I101" s="497"/>
      <c r="J101" s="496" t="s">
        <v>1622</v>
      </c>
      <c r="K101" s="497"/>
      <c r="L101" s="496" t="s">
        <v>1622</v>
      </c>
      <c r="M101" s="497"/>
      <c r="N101" s="497"/>
      <c r="O101" s="498" t="s">
        <v>1622</v>
      </c>
    </row>
    <row r="102" spans="2:16">
      <c r="B102" s="1312"/>
      <c r="C102" s="506"/>
      <c r="D102" s="506" t="s">
        <v>275</v>
      </c>
      <c r="E102" s="504"/>
      <c r="F102" s="1481" t="s">
        <v>1356</v>
      </c>
      <c r="G102" s="504"/>
      <c r="H102" s="501" t="s">
        <v>1357</v>
      </c>
      <c r="I102" s="501" t="s">
        <v>1358</v>
      </c>
      <c r="J102" s="501" t="s">
        <v>1359</v>
      </c>
      <c r="K102" s="502" t="s">
        <v>273</v>
      </c>
      <c r="L102" s="503" t="s">
        <v>274</v>
      </c>
      <c r="M102" s="504"/>
      <c r="N102" s="502" t="s">
        <v>273</v>
      </c>
      <c r="O102" s="505" t="s">
        <v>274</v>
      </c>
    </row>
    <row r="103" spans="2:16">
      <c r="B103" s="1312"/>
      <c r="C103" s="506"/>
      <c r="D103" s="506"/>
      <c r="E103" s="506" t="s">
        <v>377</v>
      </c>
      <c r="F103" s="1482">
        <f t="shared" ref="F103:F111" si="14">F10</f>
        <v>1</v>
      </c>
      <c r="G103" s="504"/>
      <c r="H103" s="1482">
        <f>IF(OR($F$20=$R$6,$F$20=$U$6),CO2データ!I67,IF($F$20=$S$6,CO2データ!L67,CO2データ!O67))</f>
        <v>16.21</v>
      </c>
      <c r="I103" s="1482">
        <f>IF(OR($F$20=$R$6,$F$20=$U$6),CO2データ!J67,IF($F$20=$S$6,CO2データ!M67,CO2データ!P67))</f>
        <v>16.21</v>
      </c>
      <c r="J103" s="1482">
        <f>IF(OR($F$20=$R$6,$F$20=$U$6),CO2データ!K67,IF($F$20=$S$6,CO2データ!N67,CO2データ!Q67))</f>
        <v>16.21</v>
      </c>
      <c r="K103" s="1326">
        <f>スコア!Q83</f>
        <v>3</v>
      </c>
      <c r="L103" s="1484">
        <f t="shared" ref="L103:L111" si="15">IF(K103&gt;=5,$J103,IF(K103&gt;=4,$I103,$H103))</f>
        <v>16.21</v>
      </c>
      <c r="M103" s="504"/>
      <c r="N103" s="1326">
        <v>3</v>
      </c>
      <c r="O103" s="1485">
        <f>IF(OR($F$20=$R$6,$F$20=$U$6),CO2データ!I65,IF($F$20=$S$6,CO2データ!L65,CO2データ!O65))</f>
        <v>16.21</v>
      </c>
    </row>
    <row r="104" spans="2:16">
      <c r="B104" s="1312"/>
      <c r="C104" s="504"/>
      <c r="D104" s="506"/>
      <c r="E104" s="506" t="s">
        <v>378</v>
      </c>
      <c r="F104" s="1482">
        <f t="shared" si="14"/>
        <v>0</v>
      </c>
      <c r="G104" s="504"/>
      <c r="H104" s="1482">
        <f>IF(OR($F$20=$R$6,$F$20=$U$6),CO2データ!I70,IF($F$20=$S$6,CO2データ!L70,CO2データ!O70))</f>
        <v>12.306000000000001</v>
      </c>
      <c r="I104" s="1482">
        <f>IF(OR($F$20=$R$6,$F$20=$U$6),CO2データ!J70,IF($F$20=$S$6,CO2データ!M70,CO2データ!P70))</f>
        <v>12.306000000000001</v>
      </c>
      <c r="J104" s="1482">
        <f>IF(OR($F$20=$R$6,$F$20=$U$6),CO2データ!K70,IF($F$20=$S$6,CO2データ!N70,CO2データ!Q70))</f>
        <v>12.306000000000001</v>
      </c>
      <c r="K104" s="1326">
        <f t="shared" ref="K104:K111" si="16">K$103</f>
        <v>3</v>
      </c>
      <c r="L104" s="1484">
        <f t="shared" si="15"/>
        <v>12.306000000000001</v>
      </c>
      <c r="M104" s="504"/>
      <c r="N104" s="1326">
        <v>3</v>
      </c>
      <c r="O104" s="1485">
        <f>IF(OR($F$20=$R$6,$F$20=$U$6),CO2データ!I68,IF($F$20=$S$6,CO2データ!L68,CO2データ!O68))</f>
        <v>12.306000000000001</v>
      </c>
    </row>
    <row r="105" spans="2:16">
      <c r="B105" s="1312"/>
      <c r="C105" s="504"/>
      <c r="D105" s="7"/>
      <c r="E105" s="506" t="s">
        <v>379</v>
      </c>
      <c r="F105" s="1482">
        <f t="shared" si="14"/>
        <v>0</v>
      </c>
      <c r="G105" s="504"/>
      <c r="H105" s="1482">
        <f>IF(OR($F$20=$R$6,$F$20=$U$6),CO2データ!I73,IF($F$20=$S$6,CO2データ!L73,CO2データ!O73))</f>
        <v>6.91</v>
      </c>
      <c r="I105" s="1482">
        <f>IF(OR($F$20=$R$6,$F$20=$U$6),CO2データ!J73,IF($F$20=$S$6,CO2データ!M73,CO2データ!P73))</f>
        <v>6.91</v>
      </c>
      <c r="J105" s="1482">
        <f>IF(OR($F$20=$R$6,$F$20=$U$6),CO2データ!K73,IF($F$20=$S$6,CO2データ!N73,CO2データ!Q73))</f>
        <v>6.91</v>
      </c>
      <c r="K105" s="1326">
        <f t="shared" si="16"/>
        <v>3</v>
      </c>
      <c r="L105" s="1484">
        <f t="shared" si="15"/>
        <v>6.91</v>
      </c>
      <c r="M105" s="504"/>
      <c r="N105" s="1326">
        <v>3</v>
      </c>
      <c r="O105" s="1485">
        <f>IF(OR($F$20=$R$6,$F$20=$U$6),CO2データ!I71,IF($F$20=$S$6,CO2データ!L71,CO2データ!O71))</f>
        <v>6.91</v>
      </c>
    </row>
    <row r="106" spans="2:16">
      <c r="B106" s="1312"/>
      <c r="C106" s="504"/>
      <c r="D106" s="506"/>
      <c r="E106" s="506" t="s">
        <v>380</v>
      </c>
      <c r="F106" s="1482">
        <f t="shared" si="14"/>
        <v>0</v>
      </c>
      <c r="G106" s="504"/>
      <c r="H106" s="1482">
        <f>IF(OR($F$20=$R$6,$F$20=$U$6),CO2データ!I76,IF($F$20=$S$6,CO2データ!L76,CO2データ!O76))</f>
        <v>6.91</v>
      </c>
      <c r="I106" s="1482">
        <f>IF(OR($F$20=$R$6,$F$20=$U$6),CO2データ!J76,IF($F$20=$S$6,CO2データ!M76,CO2データ!P76))</f>
        <v>6.91</v>
      </c>
      <c r="J106" s="1482">
        <f>IF(OR($F$20=$R$6,$F$20=$U$6),CO2データ!K76,IF($F$20=$S$6,CO2データ!N76,CO2データ!Q76))</f>
        <v>6.91</v>
      </c>
      <c r="K106" s="1326">
        <f t="shared" si="16"/>
        <v>3</v>
      </c>
      <c r="L106" s="1484">
        <f t="shared" si="15"/>
        <v>6.91</v>
      </c>
      <c r="M106" s="504"/>
      <c r="N106" s="1326">
        <v>3</v>
      </c>
      <c r="O106" s="1485">
        <f>IF(OR($F$20=$R$6,$F$20=$U$6),CO2データ!I74,IF($F$20=$S$6,CO2データ!L74,CO2データ!O74))</f>
        <v>6.91</v>
      </c>
    </row>
    <row r="107" spans="2:16">
      <c r="B107" s="1312"/>
      <c r="C107" s="7"/>
      <c r="D107" s="7"/>
      <c r="E107" s="1317" t="s">
        <v>1643</v>
      </c>
      <c r="F107" s="1482">
        <f t="shared" si="14"/>
        <v>0</v>
      </c>
      <c r="G107" s="504"/>
      <c r="H107" s="1482">
        <f>IF(OR($F$20=$R$6,$F$20=$U$6),CO2データ!I79,IF($F$20=$S$6,CO2データ!L79,CO2データ!O79))</f>
        <v>13.251000000000001</v>
      </c>
      <c r="I107" s="1482">
        <f>IF(OR($F$20=$R$6,$F$20=$U$6),CO2データ!J79,IF($F$20=$S$6,CO2データ!M79,CO2データ!P79))</f>
        <v>13.251000000000001</v>
      </c>
      <c r="J107" s="1482">
        <f>IF(OR($F$20=$R$6,$F$20=$U$6),CO2データ!K79,IF($F$20=$S$6,CO2データ!N79,CO2データ!Q79))</f>
        <v>13.251000000000001</v>
      </c>
      <c r="K107" s="1326">
        <f t="shared" si="16"/>
        <v>3</v>
      </c>
      <c r="L107" s="1484">
        <f t="shared" si="15"/>
        <v>13.251000000000001</v>
      </c>
      <c r="M107" s="504"/>
      <c r="N107" s="1326">
        <v>3</v>
      </c>
      <c r="O107" s="1485">
        <f>IF(OR($F$20=$R$6,$F$20=$U$6),CO2データ!I77,IF($F$20=$S$6,CO2データ!L77,CO2データ!O77))</f>
        <v>13.251000000000001</v>
      </c>
    </row>
    <row r="108" spans="2:16">
      <c r="B108" s="1312"/>
      <c r="C108" s="7"/>
      <c r="D108" s="7"/>
      <c r="E108" s="1317" t="s">
        <v>385</v>
      </c>
      <c r="F108" s="1482">
        <f t="shared" si="14"/>
        <v>0</v>
      </c>
      <c r="G108" s="504"/>
      <c r="H108" s="1482">
        <f>IF(OR($F$20=$R$6,$F$20=$U$6),CO2データ!I82,IF($F$20=$S$6,CO2データ!L82,CO2データ!O82))</f>
        <v>9.0609999999999999</v>
      </c>
      <c r="I108" s="1482">
        <f>IF(OR($F$20=$R$6,$F$20=$U$6),CO2データ!J82,IF($F$20=$S$6,CO2データ!M82,CO2データ!P82))</f>
        <v>9.0609999999999999</v>
      </c>
      <c r="J108" s="1482">
        <f>IF(OR($F$20=$R$6,$F$20=$U$6),CO2データ!K82,IF($F$20=$S$6,CO2データ!N82,CO2データ!Q82))</f>
        <v>9.0609999999999999</v>
      </c>
      <c r="K108" s="1326">
        <f t="shared" si="16"/>
        <v>3</v>
      </c>
      <c r="L108" s="1484">
        <f t="shared" si="15"/>
        <v>9.0609999999999999</v>
      </c>
      <c r="M108" s="504"/>
      <c r="N108" s="1326">
        <v>3</v>
      </c>
      <c r="O108" s="1485">
        <f>IF(OR($F$20=$R$6,$F$20=$U$6),CO2データ!I80,IF($F$20=$S$6,CO2データ!L80,CO2データ!O80))</f>
        <v>9.0609999999999999</v>
      </c>
    </row>
    <row r="109" spans="2:16">
      <c r="B109" s="1312"/>
      <c r="C109" s="7"/>
      <c r="D109" s="7"/>
      <c r="E109" s="1317" t="s">
        <v>382</v>
      </c>
      <c r="F109" s="1482">
        <f t="shared" si="14"/>
        <v>0</v>
      </c>
      <c r="G109" s="504"/>
      <c r="H109" s="1482">
        <f>IF(OR($F$20=$R$6,$F$20=$U$6),CO2データ!I85,IF($F$20=$S$6,CO2データ!L85,CO2データ!O85))</f>
        <v>15.893999999999998</v>
      </c>
      <c r="I109" s="1482">
        <f>IF(OR($F$20=$R$6,$F$20=$U$6),CO2データ!J85,IF($F$20=$S$6,CO2データ!M85,CO2データ!P85))</f>
        <v>15.893999999999998</v>
      </c>
      <c r="J109" s="1482">
        <f>IF(OR($F$20=$R$6,$F$20=$U$6),CO2データ!K85,IF($F$20=$S$6,CO2データ!N85,CO2データ!Q85))</f>
        <v>15.893999999999998</v>
      </c>
      <c r="K109" s="1326">
        <f t="shared" si="16"/>
        <v>3</v>
      </c>
      <c r="L109" s="1484">
        <f t="shared" si="15"/>
        <v>15.893999999999998</v>
      </c>
      <c r="M109" s="504"/>
      <c r="N109" s="1326">
        <v>3</v>
      </c>
      <c r="O109" s="1485">
        <f>IF(OR($F$20=$R$6,$F$20=$U$6),CO2データ!I83,IF($F$20=$S$6,CO2データ!L83,CO2データ!O83))</f>
        <v>15.893999999999998</v>
      </c>
    </row>
    <row r="110" spans="2:16">
      <c r="B110" s="1312"/>
      <c r="C110" s="7"/>
      <c r="D110" s="7"/>
      <c r="E110" s="1317" t="s">
        <v>276</v>
      </c>
      <c r="F110" s="1482">
        <f t="shared" si="14"/>
        <v>0</v>
      </c>
      <c r="G110" s="504"/>
      <c r="H110" s="1482">
        <f>IF(OR($F$20=$R$6,$F$20=$U$6),CO2データ!I88,IF($F$20=$S$6,CO2データ!L88,CO2データ!O88))</f>
        <v>13.670999999999999</v>
      </c>
      <c r="I110" s="1482">
        <f>IF(OR($F$20=$R$6,$F$20=$U$6),CO2データ!J88,IF($F$20=$S$6,CO2データ!M88,CO2データ!P88))</f>
        <v>13.670999999999999</v>
      </c>
      <c r="J110" s="1482">
        <f>IF(OR($F$20=$R$6,$F$20=$U$6),CO2データ!K88,IF($F$20=$S$6,CO2データ!N88,CO2データ!Q88))</f>
        <v>13.670999999999999</v>
      </c>
      <c r="K110" s="1326">
        <f t="shared" si="16"/>
        <v>3</v>
      </c>
      <c r="L110" s="1484">
        <f t="shared" si="15"/>
        <v>13.670999999999999</v>
      </c>
      <c r="M110" s="504"/>
      <c r="N110" s="1326">
        <v>3</v>
      </c>
      <c r="O110" s="1485">
        <f>IF(OR($F$20=$R$6,$F$20=$U$6),CO2データ!I86,IF($F$20=$S$6,CO2データ!L86,CO2データ!O86))</f>
        <v>13.670999999999999</v>
      </c>
    </row>
    <row r="111" spans="2:16">
      <c r="B111" s="1312"/>
      <c r="C111" s="7"/>
      <c r="D111" s="7"/>
      <c r="E111" s="1317" t="s">
        <v>384</v>
      </c>
      <c r="F111" s="1482">
        <f t="shared" si="14"/>
        <v>0</v>
      </c>
      <c r="G111" s="504"/>
      <c r="H111" s="1482">
        <f>IF(OR($F$20=$R$6,$F$20=$U$6),CO2データ!I91,IF($F$20=$S$6,CO2データ!L91,CO2データ!O91))</f>
        <v>8.3640000000000008</v>
      </c>
      <c r="I111" s="1482">
        <f>IF(OR($F$20=$R$6,$F$20=$U$6),CO2データ!J91,IF($F$20=$S$6,CO2データ!M91,CO2データ!P91))</f>
        <v>9.68</v>
      </c>
      <c r="J111" s="1482">
        <f>IF(OR($F$20=$R$6,$F$20=$U$6),CO2データ!K91,IF($F$20=$S$6,CO2データ!N91,CO2データ!Q91))</f>
        <v>10.783000000000001</v>
      </c>
      <c r="K111" s="1326">
        <f t="shared" si="16"/>
        <v>3</v>
      </c>
      <c r="L111" s="1484">
        <f t="shared" si="15"/>
        <v>8.3640000000000008</v>
      </c>
      <c r="M111" s="504"/>
      <c r="N111" s="1326">
        <v>3</v>
      </c>
      <c r="O111" s="1485">
        <f>IF(OR($F$20=$R$6,$F$20=$U$6),CO2データ!I89,IF($F$20=$S$6,CO2データ!L89,CO2データ!O89))</f>
        <v>8.3640000000000008</v>
      </c>
    </row>
    <row r="112" spans="2:16" ht="14.25" thickBot="1">
      <c r="B112" s="1312"/>
      <c r="C112" s="7"/>
      <c r="D112" s="7"/>
      <c r="E112" s="7"/>
      <c r="F112" s="7"/>
      <c r="G112" s="7"/>
      <c r="H112" s="7"/>
      <c r="I112" s="7"/>
      <c r="J112" s="7"/>
      <c r="K112" s="7"/>
      <c r="L112" s="7"/>
      <c r="M112" s="7"/>
      <c r="N112" s="7"/>
      <c r="O112" s="1412"/>
    </row>
    <row r="113" spans="2:18" ht="14.25" thickBot="1">
      <c r="B113" s="1495"/>
      <c r="C113" s="499" t="s">
        <v>1747</v>
      </c>
      <c r="D113" s="506"/>
      <c r="E113" s="1317"/>
      <c r="F113" s="7"/>
      <c r="G113" s="7"/>
      <c r="H113" s="7"/>
      <c r="I113" s="7"/>
      <c r="J113" s="7"/>
      <c r="K113" s="7"/>
      <c r="L113" s="1498">
        <f>SUMPRODUCT(F103:F111,L103:L111)</f>
        <v>16.21</v>
      </c>
      <c r="M113" s="7"/>
      <c r="N113" s="7"/>
      <c r="O113" s="1498">
        <f>SUMPRODUCT(F103:F111,O103:O111)</f>
        <v>16.21</v>
      </c>
    </row>
    <row r="114" spans="2:18">
      <c r="B114" s="1312"/>
      <c r="C114" s="7"/>
      <c r="D114" s="7"/>
      <c r="E114" s="7"/>
      <c r="F114" s="7"/>
      <c r="G114" s="7"/>
      <c r="H114" s="7"/>
      <c r="I114" s="7"/>
      <c r="J114" s="7"/>
      <c r="K114" s="7"/>
      <c r="L114" s="7"/>
      <c r="M114" s="7"/>
      <c r="N114" s="7"/>
      <c r="O114" s="1412"/>
    </row>
    <row r="115" spans="2:18" ht="17.25" thickBot="1">
      <c r="B115" s="495" t="s">
        <v>1629</v>
      </c>
      <c r="C115" s="7"/>
      <c r="D115" s="7"/>
      <c r="E115" s="7"/>
      <c r="F115" s="7"/>
      <c r="G115" s="7"/>
      <c r="H115" s="7"/>
      <c r="I115" s="7"/>
      <c r="J115" s="7"/>
      <c r="K115" s="7"/>
      <c r="L115" s="496" t="s">
        <v>1622</v>
      </c>
      <c r="M115" s="504"/>
      <c r="N115" s="504"/>
      <c r="O115" s="498" t="s">
        <v>1622</v>
      </c>
      <c r="R115" t="s">
        <v>1630</v>
      </c>
    </row>
    <row r="116" spans="2:18" ht="14.25" thickBot="1">
      <c r="B116" s="495"/>
      <c r="C116" s="499" t="s">
        <v>1748</v>
      </c>
      <c r="D116" s="7"/>
      <c r="E116" s="7"/>
      <c r="F116" s="7" t="s">
        <v>346</v>
      </c>
      <c r="G116" s="7"/>
      <c r="H116" s="7" t="s">
        <v>1466</v>
      </c>
      <c r="I116" s="7"/>
      <c r="J116" s="7" t="s">
        <v>1967</v>
      </c>
      <c r="K116" s="7"/>
      <c r="L116" s="509" t="e">
        <f>SUM(L118:L121)</f>
        <v>#VALUE!</v>
      </c>
      <c r="M116" s="504"/>
      <c r="N116" s="510" t="s">
        <v>1749</v>
      </c>
      <c r="O116" s="509" t="e">
        <f>SUM(O118:O121)</f>
        <v>#VALUE!</v>
      </c>
    </row>
    <row r="117" spans="2:18">
      <c r="B117" s="495"/>
      <c r="C117" s="499"/>
      <c r="D117" s="7"/>
      <c r="E117" s="7"/>
      <c r="F117" s="1516" t="s">
        <v>2506</v>
      </c>
      <c r="G117" s="7"/>
      <c r="H117" s="492" t="s">
        <v>1468</v>
      </c>
      <c r="I117" s="492" t="s">
        <v>1467</v>
      </c>
      <c r="J117" s="506" t="s">
        <v>1464</v>
      </c>
      <c r="K117" s="7"/>
      <c r="L117" s="511"/>
      <c r="M117" s="504"/>
      <c r="N117" s="510"/>
      <c r="O117" s="1325"/>
    </row>
    <row r="118" spans="2:18">
      <c r="B118" s="495"/>
      <c r="C118" s="499"/>
      <c r="D118" s="7"/>
      <c r="E118" s="7" t="s">
        <v>537</v>
      </c>
      <c r="F118" s="1517">
        <f>計画書!H113</f>
        <v>5000</v>
      </c>
      <c r="G118" s="7"/>
      <c r="H118" s="1517">
        <f>計画書!P93</f>
        <v>7400</v>
      </c>
      <c r="I118" s="1517">
        <f>計画書!N93</f>
        <v>5920</v>
      </c>
      <c r="J118" s="513" t="e">
        <f>計画書!L113</f>
        <v>#VALUE!</v>
      </c>
      <c r="K118" s="7"/>
      <c r="L118" s="1351" t="e">
        <f>IF(F118=0,0,I118*J118/F122*1000)</f>
        <v>#VALUE!</v>
      </c>
      <c r="M118" s="504"/>
      <c r="N118" s="510"/>
      <c r="O118" s="1518" t="e">
        <f>IF(F118=0,0,H118*J118/F122*1000)</f>
        <v>#VALUE!</v>
      </c>
    </row>
    <row r="119" spans="2:18" hidden="1">
      <c r="B119" s="495"/>
      <c r="C119" s="499"/>
      <c r="D119" s="7"/>
      <c r="E119" s="7"/>
      <c r="F119" s="1517"/>
      <c r="G119" s="7"/>
      <c r="H119" s="1517"/>
      <c r="I119" s="1517"/>
      <c r="J119" s="513"/>
      <c r="K119" s="7"/>
      <c r="L119" s="1351"/>
      <c r="M119" s="504"/>
      <c r="N119" s="510"/>
      <c r="O119" s="1518"/>
    </row>
    <row r="120" spans="2:18">
      <c r="B120" s="495"/>
      <c r="C120" s="499"/>
      <c r="D120" s="7"/>
      <c r="E120" s="7" t="s">
        <v>587</v>
      </c>
      <c r="F120" s="1517">
        <f>メイン!E64</f>
        <v>0</v>
      </c>
      <c r="G120" s="7"/>
      <c r="H120" s="1517" t="e">
        <f>計画書!P125</f>
        <v>#N/A</v>
      </c>
      <c r="I120" s="1517" t="e">
        <f>計画書!N125</f>
        <v>#N/A</v>
      </c>
      <c r="J120" s="513" t="e">
        <f>CO2データ!R207</f>
        <v>#VALUE!</v>
      </c>
      <c r="K120" s="7"/>
      <c r="L120" s="1351">
        <f>IF(F120=0,0,I120*J120/F122*1000)</f>
        <v>0</v>
      </c>
      <c r="M120" s="504"/>
      <c r="N120" s="510"/>
      <c r="O120" s="1518">
        <f>IF(F120=0,0,H120*J120/F122*1000)</f>
        <v>0</v>
      </c>
    </row>
    <row r="121" spans="2:18">
      <c r="B121" s="495"/>
      <c r="C121" s="499"/>
      <c r="D121" s="7"/>
      <c r="E121" s="7" t="s">
        <v>1465</v>
      </c>
      <c r="F121" s="1517">
        <f>メイン!E65</f>
        <v>0</v>
      </c>
      <c r="G121" s="7"/>
      <c r="H121" s="1517">
        <f>計画書!P128</f>
        <v>0</v>
      </c>
      <c r="I121" s="1517">
        <f>IF(計画書!N128="-",0,計画書!N128)</f>
        <v>0</v>
      </c>
      <c r="J121" s="513" t="e">
        <f>CO2データ!R208</f>
        <v>#VALUE!</v>
      </c>
      <c r="K121" s="7"/>
      <c r="L121" s="1351">
        <f>IF(F121=0,0,I121*J121/F122*1000)</f>
        <v>0</v>
      </c>
      <c r="M121" s="504"/>
      <c r="N121" s="510"/>
      <c r="O121" s="1518">
        <f>IF(F121=0,0,H121*J121/F122*1000)</f>
        <v>0</v>
      </c>
    </row>
    <row r="122" spans="2:18" ht="14.25" thickBot="1">
      <c r="B122" s="495"/>
      <c r="C122" s="7"/>
      <c r="D122" s="7"/>
      <c r="E122" s="1316" t="s">
        <v>3016</v>
      </c>
      <c r="F122" s="1517">
        <f>SUM(F118:F121)</f>
        <v>5000</v>
      </c>
      <c r="G122" s="7"/>
      <c r="H122" s="7"/>
      <c r="I122" s="7"/>
      <c r="J122" s="7"/>
      <c r="K122" s="7"/>
      <c r="L122" s="496"/>
      <c r="M122" s="504"/>
      <c r="N122" s="504"/>
      <c r="O122" s="498"/>
    </row>
    <row r="123" spans="2:18" ht="14.25" thickBot="1">
      <c r="B123" s="1312"/>
      <c r="C123" s="499" t="s">
        <v>1750</v>
      </c>
      <c r="D123" s="7"/>
      <c r="E123" s="7"/>
      <c r="F123" s="7" t="s">
        <v>346</v>
      </c>
      <c r="G123" s="7"/>
      <c r="H123" s="7" t="s">
        <v>1466</v>
      </c>
      <c r="I123" s="7"/>
      <c r="J123" s="7" t="s">
        <v>1967</v>
      </c>
      <c r="K123" s="7"/>
      <c r="L123" s="509" t="e">
        <f>SUM(L125:L127)</f>
        <v>#VALUE!</v>
      </c>
      <c r="M123" s="7"/>
      <c r="N123" s="7"/>
      <c r="O123" s="1412"/>
    </row>
    <row r="124" spans="2:18">
      <c r="B124" s="1312"/>
      <c r="C124" s="499"/>
      <c r="D124" s="7"/>
      <c r="E124" s="7"/>
      <c r="F124" s="1316" t="s">
        <v>1969</v>
      </c>
      <c r="G124" s="7"/>
      <c r="H124" s="1519" t="s">
        <v>93</v>
      </c>
      <c r="I124" s="492" t="s">
        <v>1469</v>
      </c>
      <c r="J124" s="506" t="s">
        <v>1464</v>
      </c>
      <c r="K124" s="7"/>
      <c r="L124" s="7"/>
      <c r="M124" s="7"/>
      <c r="N124" s="7"/>
      <c r="O124" s="1412"/>
    </row>
    <row r="125" spans="2:18">
      <c r="B125" s="1312"/>
      <c r="C125" s="499"/>
      <c r="D125" s="7"/>
      <c r="E125" s="7" t="s">
        <v>537</v>
      </c>
      <c r="F125" s="1517">
        <f>F118</f>
        <v>5000</v>
      </c>
      <c r="G125" s="7"/>
      <c r="H125" s="1517">
        <f>計画書!J84</f>
        <v>0</v>
      </c>
      <c r="I125" s="1517">
        <f>I118-H125</f>
        <v>5920</v>
      </c>
      <c r="J125" s="513" t="e">
        <f>J118</f>
        <v>#VALUE!</v>
      </c>
      <c r="K125" s="7"/>
      <c r="L125" s="1351" t="e">
        <f>IF(F125=0,0,I125*J125/F128*1000)</f>
        <v>#VALUE!</v>
      </c>
      <c r="M125" s="7"/>
      <c r="N125" s="7"/>
      <c r="O125" s="1412"/>
    </row>
    <row r="126" spans="2:18">
      <c r="B126" s="1312"/>
      <c r="C126" s="499"/>
      <c r="D126" s="7"/>
      <c r="E126" s="1543" t="s">
        <v>2815</v>
      </c>
      <c r="F126" s="1517">
        <f>F120</f>
        <v>0</v>
      </c>
      <c r="G126" s="7"/>
      <c r="H126" s="1517">
        <f>IF(計画書!F62=計画書!S59,計画書!K84,0)</f>
        <v>0</v>
      </c>
      <c r="I126" s="1517" t="e">
        <f>I120-H126</f>
        <v>#N/A</v>
      </c>
      <c r="J126" s="513" t="e">
        <f>J120</f>
        <v>#VALUE!</v>
      </c>
      <c r="K126" s="7"/>
      <c r="L126" s="1351">
        <f>IF(F126=0,0,I126*J126/F128*1000)</f>
        <v>0</v>
      </c>
      <c r="M126" s="7"/>
      <c r="N126" s="7"/>
      <c r="O126" s="1412"/>
    </row>
    <row r="127" spans="2:18">
      <c r="B127" s="1312"/>
      <c r="C127" s="499"/>
      <c r="D127" s="7"/>
      <c r="E127" s="7" t="s">
        <v>1465</v>
      </c>
      <c r="F127" s="1517">
        <f>F121</f>
        <v>0</v>
      </c>
      <c r="G127" s="7"/>
      <c r="H127" s="1517">
        <f>計画書!L84</f>
        <v>0</v>
      </c>
      <c r="I127" s="1517">
        <f>I121-H127</f>
        <v>0</v>
      </c>
      <c r="J127" s="513" t="e">
        <f>J121</f>
        <v>#VALUE!</v>
      </c>
      <c r="K127" s="7"/>
      <c r="L127" s="1351">
        <f>IF(F127=0,0,I127*J127/F128*1000)</f>
        <v>0</v>
      </c>
      <c r="M127" s="7"/>
      <c r="N127" s="7"/>
      <c r="O127" s="1412"/>
    </row>
    <row r="128" spans="2:18">
      <c r="B128" s="1312"/>
      <c r="C128" s="499"/>
      <c r="D128" s="7"/>
      <c r="E128" s="1894" t="s">
        <v>2816</v>
      </c>
      <c r="F128" s="1517">
        <f>SUM(F124:F127)</f>
        <v>5000</v>
      </c>
      <c r="G128" s="7"/>
      <c r="H128" s="7"/>
      <c r="I128" s="7"/>
      <c r="J128" s="7"/>
      <c r="K128" s="7"/>
      <c r="L128" s="7"/>
      <c r="M128" s="7"/>
      <c r="N128" s="7"/>
      <c r="O128" s="1412"/>
    </row>
    <row r="129" spans="2:15" hidden="1">
      <c r="B129" s="1312"/>
      <c r="C129" s="499"/>
      <c r="D129" s="7"/>
      <c r="E129" s="7"/>
      <c r="F129" s="7" t="s">
        <v>1810</v>
      </c>
      <c r="G129" s="7"/>
      <c r="H129" s="1517"/>
      <c r="I129" s="513"/>
      <c r="J129" s="1407"/>
      <c r="K129" s="7"/>
      <c r="L129" s="7"/>
      <c r="M129" s="7"/>
      <c r="N129" s="7"/>
      <c r="O129" s="1412"/>
    </row>
    <row r="130" spans="2:15" hidden="1">
      <c r="B130" s="1312"/>
      <c r="C130" s="499"/>
      <c r="D130" s="7"/>
      <c r="E130" s="7"/>
      <c r="F130" s="7"/>
      <c r="G130" s="7"/>
      <c r="H130" s="504"/>
      <c r="I130" s="7"/>
      <c r="J130" s="7"/>
      <c r="K130" s="7"/>
      <c r="L130" s="1409"/>
      <c r="M130" s="7"/>
      <c r="N130" s="7"/>
      <c r="O130" s="1412"/>
    </row>
    <row r="131" spans="2:15" ht="16.5">
      <c r="B131" s="495" t="s">
        <v>1631</v>
      </c>
      <c r="C131" s="504"/>
      <c r="D131" s="506"/>
      <c r="E131" s="504"/>
      <c r="F131" s="497"/>
      <c r="G131" s="504"/>
      <c r="H131" s="504"/>
      <c r="I131" s="504"/>
      <c r="J131" s="504"/>
      <c r="K131" s="1520"/>
      <c r="L131" s="496" t="s">
        <v>1622</v>
      </c>
      <c r="M131" s="504"/>
      <c r="N131" s="504"/>
      <c r="O131" s="498" t="s">
        <v>1622</v>
      </c>
    </row>
    <row r="132" spans="2:15">
      <c r="B132" s="1315"/>
      <c r="C132" s="504"/>
      <c r="D132" s="506"/>
      <c r="E132" s="504"/>
      <c r="F132" s="497"/>
      <c r="G132" s="504"/>
      <c r="H132" s="504"/>
      <c r="I132" s="504"/>
      <c r="J132" s="504"/>
      <c r="K132" s="1520"/>
      <c r="L132" s="503" t="s">
        <v>274</v>
      </c>
      <c r="M132" s="504"/>
      <c r="N132" s="514"/>
      <c r="O132" s="505" t="s">
        <v>274</v>
      </c>
    </row>
    <row r="133" spans="2:15">
      <c r="B133" s="1315"/>
      <c r="C133" s="515" t="s">
        <v>591</v>
      </c>
      <c r="D133" s="516"/>
      <c r="E133" s="516"/>
      <c r="F133" s="517"/>
      <c r="G133" s="504"/>
      <c r="H133" s="504"/>
      <c r="I133" s="504"/>
      <c r="J133" s="504"/>
      <c r="K133" s="1520"/>
      <c r="L133" s="518">
        <f>L24</f>
        <v>13.998000000000001</v>
      </c>
      <c r="M133" s="504"/>
      <c r="N133" s="504"/>
      <c r="O133" s="519">
        <f>O24</f>
        <v>13.998000000000001</v>
      </c>
    </row>
    <row r="134" spans="2:15">
      <c r="B134" s="1315"/>
      <c r="C134" s="515" t="s">
        <v>1811</v>
      </c>
      <c r="D134" s="516"/>
      <c r="E134" s="516"/>
      <c r="F134" s="517"/>
      <c r="G134" s="504"/>
      <c r="H134" s="504"/>
      <c r="I134" s="504"/>
      <c r="J134" s="504"/>
      <c r="K134" s="1520"/>
      <c r="L134" s="518">
        <f>L113</f>
        <v>16.21</v>
      </c>
      <c r="M134" s="504"/>
      <c r="N134" s="504"/>
      <c r="O134" s="519">
        <f>O113</f>
        <v>16.21</v>
      </c>
    </row>
    <row r="135" spans="2:15">
      <c r="B135" s="1315"/>
      <c r="C135" s="515" t="s">
        <v>593</v>
      </c>
      <c r="D135" s="516"/>
      <c r="E135" s="516"/>
      <c r="F135" s="517"/>
      <c r="G135" s="504"/>
      <c r="H135" s="504"/>
      <c r="I135" s="504"/>
      <c r="J135" s="504"/>
      <c r="K135" s="1520"/>
      <c r="L135" s="520" t="e">
        <f>L123</f>
        <v>#VALUE!</v>
      </c>
      <c r="M135" s="504"/>
      <c r="N135" s="504"/>
      <c r="O135" s="521" t="e">
        <f>O116</f>
        <v>#VALUE!</v>
      </c>
    </row>
    <row r="136" spans="2:15" ht="14.25" thickBot="1">
      <c r="B136" s="1416"/>
      <c r="C136" s="522" t="s">
        <v>386</v>
      </c>
      <c r="D136" s="523"/>
      <c r="E136" s="524"/>
      <c r="F136" s="525"/>
      <c r="G136" s="1417"/>
      <c r="H136" s="1417"/>
      <c r="I136" s="1417"/>
      <c r="J136" s="1417"/>
      <c r="K136" s="1417"/>
      <c r="L136" s="526" t="e">
        <f>IF(COUNTIF(L133:L135,$R$115)&gt;0,$R$115,SUM(L133:L135))</f>
        <v>#VALUE!</v>
      </c>
      <c r="M136" s="527"/>
      <c r="N136" s="527"/>
      <c r="O136" s="528" t="e">
        <f>IF(COUNTIF(O133:O135,$R$115)&gt;0,$R$115,SUM(O133:O135))</f>
        <v>#VALUE!</v>
      </c>
    </row>
    <row r="137" spans="2:15"/>
    <row r="180"/>
    <row r="181"/>
    <row r="182"/>
    <row r="183"/>
  </sheetData>
  <sheetProtection algorithmName="SHA-512" hashValue="yBRE0iS9S7sZMtQK+Re8g+KjhrFuufbE+i8fz5I8XsqZLKX5l3QFseGNbMNWtrHjKcpeLz7iWBZoSfvZPfKXTA==" saltValue="F3ADEDW2lj0Hs4SXjMyQew==" spinCount="100000" sheet="1" objects="1" scenarios="1"/>
  <mergeCells count="3">
    <mergeCell ref="L2:M2"/>
    <mergeCell ref="N2:O2"/>
    <mergeCell ref="L3:M3"/>
  </mergeCells>
  <phoneticPr fontId="22"/>
  <conditionalFormatting sqref="E133 E135">
    <cfRule type="cellIs" dxfId="11" priority="1" stopIfTrue="1" operator="equal">
      <formula>5</formula>
    </cfRule>
    <cfRule type="cellIs" dxfId="10" priority="2" stopIfTrue="1" operator="equal">
      <formula>4</formula>
    </cfRule>
    <cfRule type="cellIs" dxfId="9" priority="3" stopIfTrue="1" operator="equal">
      <formula>2</formula>
    </cfRule>
  </conditionalFormatting>
  <printOptions horizontalCentered="1"/>
  <pageMargins left="0.59055118110236227" right="0.59055118110236227" top="0.78740157480314965" bottom="0.59055118110236227" header="0.51181102362204722" footer="0.51181102362204722"/>
  <pageSetup paperSize="9" scale="71" orientation="portrait" verticalDpi="300" r:id="rId1"/>
  <headerFooter alignWithMargins="0">
    <oddHeader>&amp;L&amp;F&amp;R&amp;A</oddHead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pageSetUpPr fitToPage="1"/>
  </sheetPr>
  <dimension ref="B1:F72"/>
  <sheetViews>
    <sheetView showGridLines="0" workbookViewId="0"/>
  </sheetViews>
  <sheetFormatPr defaultColWidth="0" defaultRowHeight="13.5" zeroHeight="1"/>
  <cols>
    <col min="1" max="1" width="2" customWidth="1"/>
    <col min="2" max="2" width="10.625" customWidth="1"/>
    <col min="3" max="3" width="18.625" customWidth="1"/>
    <col min="4" max="5" width="29.25" customWidth="1"/>
    <col min="6" max="6" width="16.125" customWidth="1"/>
    <col min="7" max="7" width="2" customWidth="1"/>
    <col min="8" max="16" width="0" hidden="1" customWidth="1"/>
  </cols>
  <sheetData>
    <row r="1" spans="2:6" ht="6" customHeight="1"/>
    <row r="2" spans="2:6" ht="18.75">
      <c r="B2" s="990" t="s">
        <v>429</v>
      </c>
      <c r="C2" s="991"/>
      <c r="D2" s="991"/>
      <c r="E2" s="827" t="s">
        <v>2279</v>
      </c>
      <c r="F2" s="828" t="str">
        <f>メイン!C11</f>
        <v>○○ビル</v>
      </c>
    </row>
    <row r="3" spans="2:6" ht="16.5" customHeight="1">
      <c r="F3" s="887" t="str">
        <f>メイン!C5</f>
        <v>CASBEE-BD_NC_2016(v4.02)</v>
      </c>
    </row>
    <row r="4" spans="2:6">
      <c r="B4" s="3549" t="s">
        <v>1801</v>
      </c>
      <c r="C4" s="3550"/>
      <c r="D4" s="992" t="s">
        <v>2205</v>
      </c>
      <c r="E4" s="993" t="s">
        <v>2002</v>
      </c>
      <c r="F4" s="993" t="s">
        <v>1103</v>
      </c>
    </row>
    <row r="5" spans="2:6" ht="35.25" customHeight="1">
      <c r="B5" s="3551" t="s">
        <v>2206</v>
      </c>
      <c r="C5" s="993" t="s">
        <v>1504</v>
      </c>
      <c r="D5" s="992" t="str">
        <f>メイン!C21</f>
        <v>事務所,</v>
      </c>
      <c r="E5" s="992" t="str">
        <f>D5</f>
        <v>事務所,</v>
      </c>
      <c r="F5" s="993"/>
    </row>
    <row r="6" spans="2:6">
      <c r="B6" s="3552"/>
      <c r="C6" s="993" t="s">
        <v>2207</v>
      </c>
      <c r="D6" s="995">
        <f>メイン!C19</f>
        <v>5000</v>
      </c>
      <c r="E6" s="995">
        <f>D6</f>
        <v>5000</v>
      </c>
      <c r="F6" s="513"/>
    </row>
    <row r="7" spans="2:6">
      <c r="B7" s="3553"/>
      <c r="C7" s="993" t="s">
        <v>2208</v>
      </c>
      <c r="D7" s="993">
        <f>メイン!C23</f>
        <v>0</v>
      </c>
      <c r="E7" s="993">
        <f>D7</f>
        <v>0</v>
      </c>
      <c r="F7" s="513"/>
    </row>
    <row r="8" spans="2:6" ht="31.5" customHeight="1">
      <c r="B8" s="992" t="s">
        <v>2209</v>
      </c>
      <c r="C8" s="997" t="s">
        <v>2210</v>
      </c>
      <c r="D8" s="998" t="str">
        <f>CO2計算!O35</f>
        <v>事務所部分60年,</v>
      </c>
      <c r="E8" s="998" t="str">
        <f>CO2計算!L35</f>
        <v>事務所部分60年,</v>
      </c>
      <c r="F8" s="999"/>
    </row>
    <row r="9" spans="2:6" ht="19.5" customHeight="1">
      <c r="B9" s="1000"/>
      <c r="C9" s="997" t="s">
        <v>274</v>
      </c>
      <c r="D9" s="1001">
        <f>CO2計算!O133</f>
        <v>13.998000000000001</v>
      </c>
      <c r="E9" s="1001">
        <f>CO2計算!L133</f>
        <v>13.998000000000001</v>
      </c>
      <c r="F9" s="999" t="s">
        <v>2211</v>
      </c>
    </row>
    <row r="10" spans="2:6" ht="29.25" customHeight="1">
      <c r="B10" s="3546" t="s">
        <v>1325</v>
      </c>
      <c r="C10" s="992" t="s">
        <v>1326</v>
      </c>
      <c r="D10" s="1002" t="s">
        <v>1136</v>
      </c>
      <c r="E10" s="1003" t="s">
        <v>1327</v>
      </c>
      <c r="F10" s="513"/>
    </row>
    <row r="11" spans="2:6" ht="29.25" customHeight="1">
      <c r="B11" s="3546"/>
      <c r="C11" s="992" t="s">
        <v>1328</v>
      </c>
      <c r="D11" s="1002" t="s">
        <v>1137</v>
      </c>
      <c r="E11" s="1004" t="s">
        <v>2191</v>
      </c>
      <c r="F11" s="513"/>
    </row>
    <row r="12" spans="2:6">
      <c r="B12" s="3546"/>
      <c r="C12" s="994" t="s">
        <v>430</v>
      </c>
      <c r="D12" s="1005" t="s">
        <v>2192</v>
      </c>
      <c r="E12" s="1006" t="s">
        <v>2191</v>
      </c>
      <c r="F12" s="1007"/>
    </row>
    <row r="13" spans="2:6">
      <c r="B13" s="3547"/>
      <c r="C13" s="1009" t="s">
        <v>2007</v>
      </c>
      <c r="D13" s="1010"/>
      <c r="E13" s="1011"/>
      <c r="F13" s="1012"/>
    </row>
    <row r="14" spans="2:6" ht="19.5" customHeight="1">
      <c r="B14" s="3546"/>
      <c r="C14" s="1013" t="s">
        <v>2010</v>
      </c>
      <c r="D14" s="1014">
        <f>CO2計算!O93</f>
        <v>0.69599999999999995</v>
      </c>
      <c r="E14" s="1015">
        <f>CO2計算!L93</f>
        <v>0.69599999999999995</v>
      </c>
      <c r="F14" s="1016" t="s">
        <v>431</v>
      </c>
    </row>
    <row r="15" spans="2:6" ht="14.25">
      <c r="B15" s="3546"/>
      <c r="C15" s="1017" t="s">
        <v>2012</v>
      </c>
      <c r="D15" s="1018">
        <f>CO2計算!O94</f>
        <v>0</v>
      </c>
      <c r="E15" s="1019">
        <f>CO2計算!L94</f>
        <v>0</v>
      </c>
      <c r="F15" s="1020" t="s">
        <v>431</v>
      </c>
    </row>
    <row r="16" spans="2:6">
      <c r="B16" s="3546"/>
      <c r="C16" s="1017" t="s">
        <v>2013</v>
      </c>
      <c r="D16" s="1018">
        <f>CO2計算!O95</f>
        <v>0.1</v>
      </c>
      <c r="E16" s="1019">
        <f>CO2計算!L95</f>
        <v>0.1</v>
      </c>
      <c r="F16" s="1021" t="s">
        <v>2014</v>
      </c>
    </row>
    <row r="17" spans="2:6">
      <c r="B17" s="3546"/>
      <c r="C17" s="1017" t="s">
        <v>2015</v>
      </c>
      <c r="D17" s="1018">
        <f>CO2計算!O96</f>
        <v>0</v>
      </c>
      <c r="E17" s="1019">
        <f>CO2計算!L96</f>
        <v>0</v>
      </c>
      <c r="F17" s="1021" t="s">
        <v>2014</v>
      </c>
    </row>
    <row r="18" spans="2:6">
      <c r="B18" s="3546"/>
      <c r="C18" s="1017" t="s">
        <v>2016</v>
      </c>
      <c r="D18" s="1018">
        <f>CO2計算!O97</f>
        <v>7.8E-2</v>
      </c>
      <c r="E18" s="1019">
        <f>CO2計算!L97</f>
        <v>7.8E-2</v>
      </c>
      <c r="F18" s="1021" t="s">
        <v>2014</v>
      </c>
    </row>
    <row r="19" spans="2:6">
      <c r="B19" s="3546"/>
      <c r="C19" s="1017" t="s">
        <v>1744</v>
      </c>
      <c r="D19" s="1018">
        <f>CO2計算!O98</f>
        <v>8.0000000000000002E-3</v>
      </c>
      <c r="E19" s="1019">
        <f>CO2計算!L98</f>
        <v>8.0000000000000002E-3</v>
      </c>
      <c r="F19" s="1021" t="s">
        <v>2014</v>
      </c>
    </row>
    <row r="20" spans="2:6">
      <c r="B20" s="3546"/>
      <c r="C20" s="1022" t="s">
        <v>432</v>
      </c>
      <c r="D20" s="1022" t="s">
        <v>433</v>
      </c>
      <c r="E20" s="1023" t="s">
        <v>1323</v>
      </c>
      <c r="F20" s="1024" t="s">
        <v>434</v>
      </c>
    </row>
    <row r="21" spans="2:6">
      <c r="B21" s="3547"/>
      <c r="C21" s="1009" t="s">
        <v>1324</v>
      </c>
      <c r="D21" s="1010"/>
      <c r="E21" s="1011"/>
      <c r="F21" s="1012"/>
    </row>
    <row r="22" spans="2:6" ht="15">
      <c r="B22" s="3546"/>
      <c r="C22" s="1013" t="s">
        <v>2010</v>
      </c>
      <c r="D22" s="1014">
        <v>266.70999999999998</v>
      </c>
      <c r="E22" s="1015" t="s">
        <v>1323</v>
      </c>
      <c r="F22" s="1020" t="s">
        <v>435</v>
      </c>
    </row>
    <row r="23" spans="2:6" ht="15">
      <c r="B23" s="3546"/>
      <c r="C23" s="1017" t="s">
        <v>2012</v>
      </c>
      <c r="D23" s="1018">
        <v>216.57</v>
      </c>
      <c r="E23" s="1019" t="s">
        <v>1323</v>
      </c>
      <c r="F23" s="1021" t="s">
        <v>435</v>
      </c>
    </row>
    <row r="24" spans="2:6">
      <c r="B24" s="3546"/>
      <c r="C24" s="1017" t="s">
        <v>2013</v>
      </c>
      <c r="D24" s="1018">
        <v>1.28</v>
      </c>
      <c r="E24" s="1019" t="s">
        <v>1323</v>
      </c>
      <c r="F24" s="1021" t="s">
        <v>2581</v>
      </c>
    </row>
    <row r="25" spans="2:6">
      <c r="B25" s="3546"/>
      <c r="C25" s="1017" t="s">
        <v>2015</v>
      </c>
      <c r="D25" s="1018" t="s">
        <v>2917</v>
      </c>
      <c r="E25" s="1019" t="s">
        <v>1323</v>
      </c>
      <c r="F25" s="1021" t="s">
        <v>2582</v>
      </c>
    </row>
    <row r="26" spans="2:6">
      <c r="B26" s="3546"/>
      <c r="C26" s="1017" t="s">
        <v>2016</v>
      </c>
      <c r="D26" s="1018">
        <v>0.51</v>
      </c>
      <c r="E26" s="1019" t="s">
        <v>1323</v>
      </c>
      <c r="F26" s="1021" t="s">
        <v>2581</v>
      </c>
    </row>
    <row r="27" spans="2:6">
      <c r="B27" s="3546"/>
      <c r="C27" s="1017" t="s">
        <v>237</v>
      </c>
      <c r="D27" s="1018">
        <v>4.75</v>
      </c>
      <c r="E27" s="1019" t="s">
        <v>1323</v>
      </c>
      <c r="F27" s="1021" t="s">
        <v>2583</v>
      </c>
    </row>
    <row r="28" spans="2:6">
      <c r="B28" s="3546"/>
      <c r="C28" s="1022" t="s">
        <v>432</v>
      </c>
      <c r="D28" s="1022" t="s">
        <v>433</v>
      </c>
      <c r="E28" s="1023" t="s">
        <v>2584</v>
      </c>
      <c r="F28" s="1021" t="s">
        <v>2581</v>
      </c>
    </row>
    <row r="29" spans="2:6" ht="14.25" thickBot="1">
      <c r="B29" s="3547"/>
      <c r="C29" s="1009" t="s">
        <v>238</v>
      </c>
      <c r="D29" s="1010"/>
      <c r="E29" s="1025"/>
      <c r="F29" s="1026"/>
    </row>
    <row r="30" spans="2:6" ht="29.25" customHeight="1">
      <c r="B30" s="3546"/>
      <c r="C30" s="1013" t="s">
        <v>239</v>
      </c>
      <c r="D30" s="1027">
        <v>0</v>
      </c>
      <c r="E30" s="1028">
        <v>0</v>
      </c>
      <c r="F30" s="1029"/>
    </row>
    <row r="31" spans="2:6" ht="29.25" customHeight="1" thickBot="1">
      <c r="B31" s="3546"/>
      <c r="C31" s="1013" t="s">
        <v>240</v>
      </c>
      <c r="D31" s="1027">
        <v>0</v>
      </c>
      <c r="E31" s="1030">
        <v>0</v>
      </c>
      <c r="F31" s="1031"/>
    </row>
    <row r="32" spans="2:6" ht="24" customHeight="1">
      <c r="B32" s="3546"/>
      <c r="C32" s="1017" t="s">
        <v>241</v>
      </c>
      <c r="D32" s="1027">
        <v>0</v>
      </c>
      <c r="E32" s="1027">
        <v>0</v>
      </c>
      <c r="F32" s="1020"/>
    </row>
    <row r="33" spans="2:6" ht="24" customHeight="1">
      <c r="B33" s="3546"/>
      <c r="C33" s="1032" t="s">
        <v>242</v>
      </c>
      <c r="D33" s="1033">
        <v>0</v>
      </c>
      <c r="E33" s="1033">
        <v>0</v>
      </c>
      <c r="F33" s="1034"/>
    </row>
    <row r="34" spans="2:6" ht="19.5" customHeight="1">
      <c r="B34" s="994"/>
      <c r="C34" s="1035" t="s">
        <v>274</v>
      </c>
      <c r="D34" s="1036">
        <f>CO2計算!O134</f>
        <v>16.21</v>
      </c>
      <c r="E34" s="1037">
        <f>CO2計算!L134</f>
        <v>16.21</v>
      </c>
      <c r="F34" s="999" t="s">
        <v>2211</v>
      </c>
    </row>
    <row r="35" spans="2:6">
      <c r="B35" s="1008" t="s">
        <v>437</v>
      </c>
      <c r="C35" s="1038" t="s">
        <v>243</v>
      </c>
      <c r="D35" s="1039"/>
      <c r="E35" s="1039"/>
      <c r="F35" s="1012"/>
    </row>
    <row r="36" spans="2:6">
      <c r="B36" s="1000" t="s">
        <v>438</v>
      </c>
      <c r="C36" s="1064" t="s">
        <v>2198</v>
      </c>
      <c r="D36" s="1041">
        <f>CO2データ!I308</f>
        <v>25</v>
      </c>
      <c r="E36" s="1041">
        <f>CO2データ!I308</f>
        <v>25</v>
      </c>
      <c r="F36" s="1034"/>
    </row>
    <row r="37" spans="2:6" ht="13.5" hidden="1" customHeight="1">
      <c r="B37" s="1000"/>
      <c r="C37" s="1017" t="s">
        <v>2200</v>
      </c>
      <c r="D37" s="1042"/>
      <c r="E37" s="1042"/>
      <c r="F37" s="1021"/>
    </row>
    <row r="38" spans="2:6">
      <c r="B38" s="1000"/>
      <c r="C38" s="1017" t="s">
        <v>2201</v>
      </c>
      <c r="D38" s="1042">
        <f>CO2データ!I310</f>
        <v>18</v>
      </c>
      <c r="E38" s="1042">
        <f>CO2データ!I310</f>
        <v>18</v>
      </c>
      <c r="F38" s="1021"/>
    </row>
    <row r="39" spans="2:6">
      <c r="B39" s="1000"/>
      <c r="C39" s="1032" t="s">
        <v>2202</v>
      </c>
      <c r="D39" s="1041">
        <f>CO2データ!I311</f>
        <v>15</v>
      </c>
      <c r="E39" s="1041">
        <f>CO2データ!I311</f>
        <v>15</v>
      </c>
      <c r="F39" s="1034"/>
    </row>
    <row r="40" spans="2:6">
      <c r="B40" s="1008"/>
      <c r="C40" s="1038" t="s">
        <v>244</v>
      </c>
      <c r="D40" s="1039"/>
      <c r="E40" s="1039"/>
      <c r="F40" s="1012"/>
    </row>
    <row r="41" spans="2:6">
      <c r="B41" s="1000"/>
      <c r="C41" s="1064" t="s">
        <v>2198</v>
      </c>
      <c r="D41" s="1043">
        <f>CO2データ!I314</f>
        <v>0.01</v>
      </c>
      <c r="E41" s="1043">
        <f>CO2データ!I314</f>
        <v>0.01</v>
      </c>
      <c r="F41" s="1044"/>
    </row>
    <row r="42" spans="2:6">
      <c r="B42" s="1000"/>
      <c r="C42" s="1017" t="s">
        <v>2201</v>
      </c>
      <c r="D42" s="1045">
        <f>CO2データ!I315</f>
        <v>0.01</v>
      </c>
      <c r="E42" s="1045">
        <f>CO2データ!I315</f>
        <v>0.01</v>
      </c>
      <c r="F42" s="1046"/>
    </row>
    <row r="43" spans="2:6">
      <c r="B43" s="1000"/>
      <c r="C43" s="1032" t="s">
        <v>2202</v>
      </c>
      <c r="D43" s="1047">
        <f>CO2データ!I316</f>
        <v>0.02</v>
      </c>
      <c r="E43" s="1047">
        <f>CO2データ!I316</f>
        <v>0.02</v>
      </c>
      <c r="F43" s="1048"/>
    </row>
    <row r="44" spans="2:6" ht="29.25" customHeight="1">
      <c r="B44" s="1049"/>
      <c r="C44" s="997" t="s">
        <v>532</v>
      </c>
      <c r="D44" s="1002" t="s">
        <v>533</v>
      </c>
      <c r="E44" s="992" t="s">
        <v>534</v>
      </c>
      <c r="F44" s="513"/>
    </row>
    <row r="45" spans="2:6">
      <c r="B45" s="994"/>
      <c r="C45" s="1038" t="s">
        <v>274</v>
      </c>
      <c r="D45" s="1010"/>
      <c r="E45" s="1050"/>
      <c r="F45" s="1051"/>
    </row>
    <row r="46" spans="2:6" ht="24" customHeight="1">
      <c r="B46" s="1000"/>
      <c r="C46" s="992" t="s">
        <v>439</v>
      </c>
      <c r="D46" s="1001" t="e">
        <f>CO2計算!O135</f>
        <v>#VALUE!</v>
      </c>
      <c r="E46" s="1001" t="e">
        <f>CO2計算!L116</f>
        <v>#VALUE!</v>
      </c>
      <c r="F46" s="999" t="s">
        <v>2211</v>
      </c>
    </row>
    <row r="47" spans="2:6" ht="24" customHeight="1">
      <c r="B47" s="1000"/>
      <c r="C47" s="1013" t="s">
        <v>440</v>
      </c>
      <c r="D47" s="1052" t="s">
        <v>441</v>
      </c>
      <c r="E47" s="1053" t="e">
        <f>CO2計算!L123</f>
        <v>#VALUE!</v>
      </c>
      <c r="F47" s="1020" t="s">
        <v>442</v>
      </c>
    </row>
    <row r="48" spans="2:6" ht="24" hidden="1" customHeight="1">
      <c r="B48" s="3546" t="s">
        <v>535</v>
      </c>
      <c r="C48" s="1022"/>
      <c r="D48" s="1054"/>
      <c r="E48" s="1055"/>
      <c r="F48" s="1056" t="s">
        <v>2211</v>
      </c>
    </row>
    <row r="49" spans="2:6" ht="24" hidden="1" customHeight="1">
      <c r="B49" s="3546"/>
      <c r="C49" s="1000"/>
      <c r="D49" s="1057"/>
      <c r="E49" s="1055"/>
      <c r="F49" s="1056" t="s">
        <v>443</v>
      </c>
    </row>
    <row r="50" spans="2:6" ht="24" hidden="1" customHeight="1">
      <c r="B50" s="3546"/>
      <c r="C50" s="1000"/>
      <c r="D50" s="1058"/>
      <c r="E50" s="1059" t="e">
        <f>'条件(個別)'!E80</f>
        <v>#VALUE!</v>
      </c>
      <c r="F50" s="1060" t="s">
        <v>444</v>
      </c>
    </row>
    <row r="51" spans="2:6" ht="24" hidden="1" customHeight="1">
      <c r="B51" s="3546"/>
      <c r="C51" s="1049"/>
      <c r="D51" s="1061" t="s">
        <v>927</v>
      </c>
      <c r="E51" s="1062" t="s">
        <v>445</v>
      </c>
      <c r="F51" s="1063"/>
    </row>
    <row r="52" spans="2:6" ht="29.25" customHeight="1">
      <c r="B52" s="3547"/>
      <c r="C52" s="1064" t="s">
        <v>446</v>
      </c>
      <c r="D52" s="1430" t="s">
        <v>445</v>
      </c>
      <c r="E52" s="1431" t="e">
        <f>E47</f>
        <v>#VALUE!</v>
      </c>
      <c r="F52" s="1016" t="s">
        <v>447</v>
      </c>
    </row>
    <row r="53" spans="2:6" ht="30" customHeight="1">
      <c r="B53" s="3546"/>
      <c r="C53" s="1022" t="s">
        <v>536</v>
      </c>
      <c r="D53" s="1066" t="s">
        <v>448</v>
      </c>
      <c r="E53" s="1067" t="s">
        <v>441</v>
      </c>
      <c r="F53" s="1021"/>
    </row>
    <row r="54" spans="2:6" ht="27.75" customHeight="1">
      <c r="B54" s="3546"/>
      <c r="C54" s="1000"/>
      <c r="D54" s="1066" t="s">
        <v>449</v>
      </c>
      <c r="E54" s="1067" t="s">
        <v>441</v>
      </c>
      <c r="F54" s="1021"/>
    </row>
    <row r="55" spans="2:6" ht="24" customHeight="1">
      <c r="B55" s="3546"/>
      <c r="C55" s="1000"/>
      <c r="D55" s="1066" t="s">
        <v>450</v>
      </c>
      <c r="E55" s="1067" t="s">
        <v>441</v>
      </c>
      <c r="F55" s="1021"/>
    </row>
    <row r="56" spans="2:6" ht="29.25" customHeight="1">
      <c r="B56" s="1000"/>
      <c r="C56" s="1000"/>
      <c r="D56" s="1066" t="s">
        <v>451</v>
      </c>
      <c r="E56" s="1067" t="s">
        <v>441</v>
      </c>
      <c r="F56" s="1034"/>
    </row>
    <row r="57" spans="2:6" ht="24" hidden="1" customHeight="1">
      <c r="B57" s="1000"/>
      <c r="C57" s="1049"/>
      <c r="D57" s="1068"/>
      <c r="E57" s="1062" t="s">
        <v>441</v>
      </c>
      <c r="F57" s="1063"/>
    </row>
    <row r="58" spans="2:6" ht="29.25" customHeight="1">
      <c r="B58" s="3546"/>
      <c r="C58" s="997" t="s">
        <v>928</v>
      </c>
      <c r="D58" s="1002" t="s">
        <v>2269</v>
      </c>
      <c r="E58" s="1002" t="s">
        <v>2270</v>
      </c>
      <c r="F58" s="513"/>
    </row>
    <row r="59" spans="2:6" ht="18.75" customHeight="1">
      <c r="B59" s="3546"/>
      <c r="C59" s="1035" t="s">
        <v>359</v>
      </c>
      <c r="D59" s="1069" t="e">
        <f>CO2計算!H118+CO2計算!H121+CO2計算!H120</f>
        <v>#N/A</v>
      </c>
      <c r="E59" s="1069" t="e">
        <f>CO2計算!I125+CO2計算!I127+CO2計算!I126</f>
        <v>#N/A</v>
      </c>
      <c r="F59" s="1070" t="s">
        <v>539</v>
      </c>
    </row>
    <row r="60" spans="2:6">
      <c r="B60" s="3547"/>
      <c r="C60" s="507" t="s">
        <v>862</v>
      </c>
      <c r="D60" s="1039"/>
      <c r="E60" s="1039"/>
      <c r="F60" s="1051"/>
    </row>
    <row r="61" spans="2:6">
      <c r="B61" s="3546"/>
      <c r="C61" s="1071" t="s">
        <v>2331</v>
      </c>
      <c r="D61" s="1072" t="e">
        <f>CO2計算!J118</f>
        <v>#VALUE!</v>
      </c>
      <c r="E61" s="1073" t="s">
        <v>534</v>
      </c>
      <c r="F61" s="1060" t="s">
        <v>131</v>
      </c>
    </row>
    <row r="62" spans="2:6">
      <c r="B62" s="3546"/>
      <c r="C62" s="1071" t="s">
        <v>2332</v>
      </c>
      <c r="D62" s="1072" t="e">
        <f>CO2計算!J120</f>
        <v>#VALUE!</v>
      </c>
      <c r="E62" s="1075" t="s">
        <v>534</v>
      </c>
      <c r="F62" s="1060" t="s">
        <v>131</v>
      </c>
    </row>
    <row r="63" spans="2:6">
      <c r="B63" s="3546"/>
      <c r="C63" s="1074" t="s">
        <v>2271</v>
      </c>
      <c r="D63" s="1075" t="e">
        <f>CO2データ!I95</f>
        <v>#VALUE!</v>
      </c>
      <c r="E63" s="1075" t="s">
        <v>534</v>
      </c>
      <c r="F63" s="1056" t="s">
        <v>2955</v>
      </c>
    </row>
    <row r="64" spans="2:6">
      <c r="B64" s="3546"/>
      <c r="C64" s="1074" t="s">
        <v>132</v>
      </c>
      <c r="D64" s="1075">
        <f>CO2データ!I97</f>
        <v>4.9799999999999997E-2</v>
      </c>
      <c r="E64" s="1075" t="s">
        <v>534</v>
      </c>
      <c r="F64" s="1060" t="s">
        <v>131</v>
      </c>
    </row>
    <row r="65" spans="2:6" ht="24">
      <c r="B65" s="3546"/>
      <c r="C65" s="1076" t="s">
        <v>2266</v>
      </c>
      <c r="D65" s="1077" t="s">
        <v>257</v>
      </c>
      <c r="E65" s="1077" t="s">
        <v>534</v>
      </c>
      <c r="F65" s="1078" t="s">
        <v>131</v>
      </c>
    </row>
    <row r="66" spans="2:6">
      <c r="B66" s="1000"/>
      <c r="C66" s="1079" t="s">
        <v>2267</v>
      </c>
      <c r="D66" s="1080"/>
      <c r="E66" s="1080"/>
      <c r="F66" s="1081"/>
    </row>
    <row r="67" spans="2:6">
      <c r="B67" s="1000"/>
      <c r="C67" s="1040"/>
      <c r="D67" s="996"/>
      <c r="E67" s="996"/>
      <c r="F67" s="1048"/>
    </row>
    <row r="68" spans="2:6">
      <c r="B68" s="3548" t="s">
        <v>301</v>
      </c>
      <c r="C68" s="3543"/>
      <c r="D68" s="3543"/>
      <c r="E68" s="3543"/>
      <c r="F68" s="3543"/>
    </row>
    <row r="69" spans="2:6">
      <c r="B69" s="3548"/>
      <c r="C69" s="3544"/>
      <c r="D69" s="3544"/>
      <c r="E69" s="3544"/>
      <c r="F69" s="3544"/>
    </row>
    <row r="70" spans="2:6">
      <c r="B70" s="3548"/>
      <c r="C70" s="3544"/>
      <c r="D70" s="3544"/>
      <c r="E70" s="3544"/>
      <c r="F70" s="3544"/>
    </row>
    <row r="71" spans="2:6">
      <c r="B71" s="3548"/>
      <c r="C71" s="3545"/>
      <c r="D71" s="3545"/>
      <c r="E71" s="3545"/>
      <c r="F71" s="3545"/>
    </row>
    <row r="72" spans="2:6"/>
  </sheetData>
  <sheetProtection algorithmName="SHA-512" hashValue="hSGyQ/XEEWNCZ1DDkH6Qn2/+KnC1+ake7m4i1exrq9m0uH59EdaGbprJYuuqg/B/YR+DQswcNxLhwhjqaHP6hQ==" saltValue="F1eYiJXZJRC6dSZLRpkweA==" spinCount="100000" sheet="1" objects="1" scenarios="1"/>
  <mergeCells count="10">
    <mergeCell ref="B4:C4"/>
    <mergeCell ref="B5:B7"/>
    <mergeCell ref="B10:B33"/>
    <mergeCell ref="B48:B55"/>
    <mergeCell ref="E68:E71"/>
    <mergeCell ref="F68:F71"/>
    <mergeCell ref="B58:B65"/>
    <mergeCell ref="B68:B71"/>
    <mergeCell ref="C68:C71"/>
    <mergeCell ref="D68:D71"/>
  </mergeCells>
  <phoneticPr fontId="22"/>
  <printOptions horizontalCentered="1"/>
  <pageMargins left="0.59055118110236227" right="0.59055118110236227" top="0.78740157480314965" bottom="0.7" header="0.51181102362204722" footer="0.51181102362204722"/>
  <pageSetup paperSize="9" scale="69" orientation="portrait" verticalDpi="300" r:id="rId1"/>
  <headerFooter alignWithMargins="0">
    <oddHeader>&amp;L&amp;F&amp;R&amp;A</oddHead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B1:F90"/>
  <sheetViews>
    <sheetView showGridLines="0" workbookViewId="0"/>
  </sheetViews>
  <sheetFormatPr defaultColWidth="0" defaultRowHeight="13.5" zeroHeight="1"/>
  <cols>
    <col min="1" max="1" width="2" customWidth="1"/>
    <col min="2" max="2" width="9.5" customWidth="1"/>
    <col min="3" max="3" width="19.5" customWidth="1"/>
    <col min="4" max="4" width="30.25" customWidth="1"/>
    <col min="5" max="5" width="29.125" customWidth="1"/>
    <col min="6" max="6" width="16.125" customWidth="1"/>
    <col min="7" max="7" width="1.875" customWidth="1"/>
  </cols>
  <sheetData>
    <row r="1" spans="2:6" ht="6" customHeight="1"/>
    <row r="2" spans="2:6" ht="18.75">
      <c r="B2" s="990" t="s">
        <v>134</v>
      </c>
      <c r="C2" s="991"/>
      <c r="D2" s="991"/>
      <c r="E2" s="827" t="s">
        <v>2279</v>
      </c>
      <c r="F2" s="828" t="str">
        <f>メイン!C11</f>
        <v>○○ビル</v>
      </c>
    </row>
    <row r="3" spans="2:6" ht="15.75" customHeight="1">
      <c r="F3" s="887" t="str">
        <f>メイン!C5</f>
        <v>CASBEE-BD_NC_2016(v4.02)</v>
      </c>
    </row>
    <row r="4" spans="2:6">
      <c r="B4" s="3549" t="s">
        <v>1801</v>
      </c>
      <c r="C4" s="3550"/>
      <c r="D4" s="992" t="s">
        <v>2205</v>
      </c>
      <c r="E4" s="993" t="s">
        <v>2002</v>
      </c>
      <c r="F4" s="993" t="s">
        <v>1103</v>
      </c>
    </row>
    <row r="5" spans="2:6" ht="27" customHeight="1">
      <c r="B5" s="994" t="s">
        <v>2206</v>
      </c>
      <c r="C5" s="993" t="s">
        <v>1504</v>
      </c>
      <c r="D5" s="992" t="str">
        <f>メイン!C21</f>
        <v>事務所,</v>
      </c>
      <c r="E5" s="992" t="str">
        <f>D5</f>
        <v>事務所,</v>
      </c>
      <c r="F5" s="1082"/>
    </row>
    <row r="6" spans="2:6">
      <c r="B6" s="1044"/>
      <c r="C6" s="993" t="s">
        <v>2207</v>
      </c>
      <c r="D6" s="995">
        <f>メイン!C19</f>
        <v>5000</v>
      </c>
      <c r="E6" s="995">
        <f>D6</f>
        <v>5000</v>
      </c>
      <c r="F6" s="1083"/>
    </row>
    <row r="7" spans="2:6">
      <c r="B7" s="1048"/>
      <c r="C7" s="993" t="s">
        <v>2208</v>
      </c>
      <c r="D7" s="993">
        <f>メイン!C23</f>
        <v>0</v>
      </c>
      <c r="E7" s="993">
        <f>D7</f>
        <v>0</v>
      </c>
      <c r="F7" s="1083"/>
    </row>
    <row r="8" spans="2:6" ht="31.5" customHeight="1">
      <c r="B8" s="992" t="s">
        <v>2209</v>
      </c>
      <c r="C8" s="997" t="s">
        <v>2210</v>
      </c>
      <c r="D8" s="1084"/>
      <c r="E8" s="1084"/>
      <c r="F8" s="1085"/>
    </row>
    <row r="9" spans="2:6" ht="19.5" customHeight="1">
      <c r="B9" s="1000"/>
      <c r="C9" s="997" t="s">
        <v>274</v>
      </c>
      <c r="D9" s="1086">
        <v>35</v>
      </c>
      <c r="E9" s="1086">
        <v>30</v>
      </c>
      <c r="F9" s="1085" t="s">
        <v>2211</v>
      </c>
    </row>
    <row r="10" spans="2:6" ht="29.25" customHeight="1">
      <c r="B10" s="3546" t="s">
        <v>1325</v>
      </c>
      <c r="C10" s="992" t="s">
        <v>1326</v>
      </c>
      <c r="D10" s="1087"/>
      <c r="E10" s="1088"/>
      <c r="F10" s="1083"/>
    </row>
    <row r="11" spans="2:6" ht="29.25" customHeight="1">
      <c r="B11" s="3546"/>
      <c r="C11" s="992" t="s">
        <v>1328</v>
      </c>
      <c r="D11" s="1087"/>
      <c r="E11" s="1089"/>
      <c r="F11" s="1083"/>
    </row>
    <row r="12" spans="2:6" ht="29.25" customHeight="1">
      <c r="B12" s="3546"/>
      <c r="C12" s="992" t="s">
        <v>135</v>
      </c>
      <c r="D12" s="1087"/>
      <c r="E12" s="1089"/>
      <c r="F12" s="1085"/>
    </row>
    <row r="13" spans="2:6">
      <c r="B13" s="3546"/>
      <c r="C13" s="1009" t="s">
        <v>2007</v>
      </c>
      <c r="D13" s="1010"/>
      <c r="E13" s="1011"/>
      <c r="F13" s="1012"/>
    </row>
    <row r="14" spans="2:6" ht="14.25">
      <c r="B14" s="3546"/>
      <c r="C14" s="1064" t="s">
        <v>2010</v>
      </c>
      <c r="D14" s="1090" t="s">
        <v>136</v>
      </c>
      <c r="E14" s="1091" t="s">
        <v>137</v>
      </c>
      <c r="F14" s="1092" t="s">
        <v>431</v>
      </c>
    </row>
    <row r="15" spans="2:6" ht="14.25">
      <c r="B15" s="3546"/>
      <c r="C15" s="1093" t="s">
        <v>2012</v>
      </c>
      <c r="D15" s="1094" t="s">
        <v>138</v>
      </c>
      <c r="E15" s="1095" t="s">
        <v>1323</v>
      </c>
      <c r="F15" s="1096" t="s">
        <v>431</v>
      </c>
    </row>
    <row r="16" spans="2:6">
      <c r="B16" s="3546"/>
      <c r="C16" s="1017" t="s">
        <v>2013</v>
      </c>
      <c r="D16" s="1094" t="s">
        <v>433</v>
      </c>
      <c r="E16" s="1095" t="s">
        <v>1323</v>
      </c>
      <c r="F16" s="1097" t="s">
        <v>2014</v>
      </c>
    </row>
    <row r="17" spans="2:6">
      <c r="B17" s="3546"/>
      <c r="C17" s="1017" t="s">
        <v>2015</v>
      </c>
      <c r="D17" s="1094" t="s">
        <v>139</v>
      </c>
      <c r="E17" s="1095" t="s">
        <v>1323</v>
      </c>
      <c r="F17" s="1097" t="s">
        <v>2014</v>
      </c>
    </row>
    <row r="18" spans="2:6">
      <c r="B18" s="3546"/>
      <c r="C18" s="1017" t="s">
        <v>2016</v>
      </c>
      <c r="D18" s="1094" t="s">
        <v>433</v>
      </c>
      <c r="E18" s="1095" t="s">
        <v>1323</v>
      </c>
      <c r="F18" s="1097" t="s">
        <v>2014</v>
      </c>
    </row>
    <row r="19" spans="2:6">
      <c r="B19" s="3546"/>
      <c r="C19" s="1094" t="s">
        <v>432</v>
      </c>
      <c r="D19" s="1094" t="s">
        <v>433</v>
      </c>
      <c r="E19" s="1095" t="s">
        <v>436</v>
      </c>
      <c r="F19" s="1097" t="s">
        <v>2014</v>
      </c>
    </row>
    <row r="20" spans="2:6">
      <c r="B20" s="3546"/>
      <c r="C20" s="1098" t="s">
        <v>432</v>
      </c>
      <c r="D20" s="1098" t="s">
        <v>433</v>
      </c>
      <c r="E20" s="1099" t="s">
        <v>1323</v>
      </c>
      <c r="F20" s="1100" t="s">
        <v>2268</v>
      </c>
    </row>
    <row r="21" spans="2:6">
      <c r="B21" s="3547"/>
      <c r="C21" s="1009" t="s">
        <v>1324</v>
      </c>
      <c r="D21" s="1010"/>
      <c r="E21" s="1011"/>
      <c r="F21" s="1012"/>
    </row>
    <row r="22" spans="2:6" ht="15">
      <c r="B22" s="3546"/>
      <c r="C22" s="1013" t="s">
        <v>2010</v>
      </c>
      <c r="D22" s="1101" t="s">
        <v>136</v>
      </c>
      <c r="E22" s="1102" t="s">
        <v>137</v>
      </c>
      <c r="F22" s="1096" t="s">
        <v>2585</v>
      </c>
    </row>
    <row r="23" spans="2:6" ht="15">
      <c r="B23" s="3546"/>
      <c r="C23" s="1093" t="s">
        <v>2012</v>
      </c>
      <c r="D23" s="1094" t="s">
        <v>138</v>
      </c>
      <c r="E23" s="1095" t="s">
        <v>1323</v>
      </c>
      <c r="F23" s="1097" t="s">
        <v>2585</v>
      </c>
    </row>
    <row r="24" spans="2:6">
      <c r="B24" s="3546"/>
      <c r="C24" s="1017" t="s">
        <v>2013</v>
      </c>
      <c r="D24" s="1094" t="s">
        <v>433</v>
      </c>
      <c r="E24" s="1095" t="s">
        <v>1323</v>
      </c>
      <c r="F24" s="1097" t="s">
        <v>2586</v>
      </c>
    </row>
    <row r="25" spans="2:6">
      <c r="B25" s="3546"/>
      <c r="C25" s="1017" t="s">
        <v>2015</v>
      </c>
      <c r="D25" s="1094" t="s">
        <v>139</v>
      </c>
      <c r="E25" s="1095" t="s">
        <v>1323</v>
      </c>
      <c r="F25" s="1097" t="s">
        <v>2586</v>
      </c>
    </row>
    <row r="26" spans="2:6">
      <c r="B26" s="3546"/>
      <c r="C26" s="1017" t="s">
        <v>2016</v>
      </c>
      <c r="D26" s="1094" t="s">
        <v>433</v>
      </c>
      <c r="E26" s="1095" t="s">
        <v>1323</v>
      </c>
      <c r="F26" s="1097" t="s">
        <v>2586</v>
      </c>
    </row>
    <row r="27" spans="2:6">
      <c r="B27" s="3546"/>
      <c r="C27" s="1103" t="s">
        <v>567</v>
      </c>
      <c r="D27" s="1094" t="s">
        <v>433</v>
      </c>
      <c r="E27" s="1095" t="s">
        <v>436</v>
      </c>
      <c r="F27" s="1097" t="s">
        <v>2586</v>
      </c>
    </row>
    <row r="28" spans="2:6">
      <c r="B28" s="3546"/>
      <c r="C28" s="1098" t="s">
        <v>432</v>
      </c>
      <c r="D28" s="1098" t="s">
        <v>433</v>
      </c>
      <c r="E28" s="1099" t="s">
        <v>1323</v>
      </c>
      <c r="F28" s="1097" t="s">
        <v>2586</v>
      </c>
    </row>
    <row r="29" spans="2:6">
      <c r="B29" s="3547"/>
      <c r="C29" s="1009" t="s">
        <v>238</v>
      </c>
      <c r="D29" s="1010"/>
      <c r="E29" s="1011"/>
      <c r="F29" s="1051"/>
    </row>
    <row r="30" spans="2:6" ht="29.25" customHeight="1">
      <c r="B30" s="3546"/>
      <c r="C30" s="1013" t="s">
        <v>239</v>
      </c>
      <c r="D30" s="1104" t="s">
        <v>140</v>
      </c>
      <c r="E30" s="1104" t="s">
        <v>140</v>
      </c>
      <c r="F30" s="1105"/>
    </row>
    <row r="31" spans="2:6" ht="29.25" customHeight="1">
      <c r="B31" s="3546"/>
      <c r="C31" s="1013" t="s">
        <v>240</v>
      </c>
      <c r="D31" s="1104" t="s">
        <v>141</v>
      </c>
      <c r="E31" s="1104" t="s">
        <v>141</v>
      </c>
      <c r="F31" s="1105"/>
    </row>
    <row r="32" spans="2:6" ht="24" customHeight="1">
      <c r="B32" s="3546"/>
      <c r="C32" s="1017" t="s">
        <v>241</v>
      </c>
      <c r="D32" s="1104" t="s">
        <v>142</v>
      </c>
      <c r="E32" s="1104" t="s">
        <v>142</v>
      </c>
      <c r="F32" s="1106"/>
    </row>
    <row r="33" spans="2:6" ht="24" customHeight="1">
      <c r="B33" s="3546"/>
      <c r="C33" s="1032" t="s">
        <v>242</v>
      </c>
      <c r="D33" s="1107" t="s">
        <v>142</v>
      </c>
      <c r="E33" s="1107" t="s">
        <v>142</v>
      </c>
      <c r="F33" s="1108"/>
    </row>
    <row r="34" spans="2:6" ht="19.5" customHeight="1">
      <c r="B34" s="994"/>
      <c r="C34" s="1035" t="s">
        <v>274</v>
      </c>
      <c r="D34" s="1109">
        <v>10</v>
      </c>
      <c r="E34" s="1109">
        <v>8</v>
      </c>
      <c r="F34" s="1085" t="s">
        <v>2211</v>
      </c>
    </row>
    <row r="35" spans="2:6">
      <c r="B35" s="1008" t="s">
        <v>143</v>
      </c>
      <c r="C35" s="1038" t="s">
        <v>243</v>
      </c>
      <c r="D35" s="1039"/>
      <c r="E35" s="1039"/>
      <c r="F35" s="1012"/>
    </row>
    <row r="36" spans="2:6">
      <c r="B36" s="1000" t="s">
        <v>438</v>
      </c>
      <c r="C36" s="1064" t="s">
        <v>2198</v>
      </c>
      <c r="D36" s="1546"/>
      <c r="E36" s="1546"/>
      <c r="F36" s="1092"/>
    </row>
    <row r="37" spans="2:6" hidden="1">
      <c r="B37" s="1000"/>
      <c r="C37" s="1017" t="s">
        <v>2200</v>
      </c>
      <c r="D37" s="1547"/>
      <c r="E37" s="1547"/>
      <c r="F37" s="1097"/>
    </row>
    <row r="38" spans="2:6">
      <c r="B38" s="1000"/>
      <c r="C38" s="1017" t="s">
        <v>2201</v>
      </c>
      <c r="D38" s="1547"/>
      <c r="E38" s="1547"/>
      <c r="F38" s="1097"/>
    </row>
    <row r="39" spans="2:6">
      <c r="B39" s="1000"/>
      <c r="C39" s="1032" t="s">
        <v>2202</v>
      </c>
      <c r="D39" s="1548"/>
      <c r="E39" s="1548"/>
      <c r="F39" s="1116"/>
    </row>
    <row r="40" spans="2:6">
      <c r="B40" s="1008"/>
      <c r="C40" s="1038" t="s">
        <v>244</v>
      </c>
      <c r="D40" s="1039"/>
      <c r="E40" s="1039"/>
      <c r="F40" s="1012"/>
    </row>
    <row r="41" spans="2:6">
      <c r="B41" s="1000"/>
      <c r="C41" s="1064" t="s">
        <v>2198</v>
      </c>
      <c r="D41" s="1549"/>
      <c r="E41" s="1549"/>
      <c r="F41" s="1550"/>
    </row>
    <row r="42" spans="2:6">
      <c r="B42" s="1000"/>
      <c r="C42" s="1017" t="s">
        <v>2201</v>
      </c>
      <c r="D42" s="1551"/>
      <c r="E42" s="1551"/>
      <c r="F42" s="1106"/>
    </row>
    <row r="43" spans="2:6">
      <c r="B43" s="1000"/>
      <c r="C43" s="1032" t="s">
        <v>2202</v>
      </c>
      <c r="D43" s="1552"/>
      <c r="E43" s="1552"/>
      <c r="F43" s="1108"/>
    </row>
    <row r="44" spans="2:6" ht="29.25" customHeight="1">
      <c r="B44" s="1049"/>
      <c r="C44" s="997" t="s">
        <v>532</v>
      </c>
      <c r="D44" s="1087"/>
      <c r="E44" s="1110"/>
      <c r="F44" s="1083"/>
    </row>
    <row r="45" spans="2:6">
      <c r="B45" s="994"/>
      <c r="C45" s="1038" t="s">
        <v>274</v>
      </c>
      <c r="D45" s="1010"/>
      <c r="E45" s="1050"/>
      <c r="F45" s="1051"/>
    </row>
    <row r="46" spans="2:6" ht="29.25" customHeight="1">
      <c r="B46" s="1000"/>
      <c r="C46" s="992" t="s">
        <v>439</v>
      </c>
      <c r="D46" s="1086">
        <v>30</v>
      </c>
      <c r="E46" s="1086">
        <v>20</v>
      </c>
      <c r="F46" s="999" t="s">
        <v>2211</v>
      </c>
    </row>
    <row r="47" spans="2:6" ht="29.25" customHeight="1">
      <c r="B47" s="1000"/>
      <c r="C47" s="1013" t="s">
        <v>144</v>
      </c>
      <c r="D47" s="1052" t="s">
        <v>145</v>
      </c>
      <c r="E47" s="1111">
        <v>-15</v>
      </c>
      <c r="F47" s="1034" t="s">
        <v>2211</v>
      </c>
    </row>
    <row r="48" spans="2:6" ht="18.75" customHeight="1">
      <c r="B48" s="1000"/>
      <c r="C48" s="1112" t="s">
        <v>536</v>
      </c>
      <c r="D48" s="1054" t="s">
        <v>924</v>
      </c>
      <c r="E48" s="1113"/>
      <c r="F48" s="1097"/>
    </row>
    <row r="49" spans="2:6" ht="18.75" customHeight="1">
      <c r="B49" s="1000"/>
      <c r="C49" s="1112"/>
      <c r="D49" s="1057" t="s">
        <v>925</v>
      </c>
      <c r="E49" s="1114"/>
      <c r="F49" s="1097"/>
    </row>
    <row r="50" spans="2:6" ht="18.75" customHeight="1">
      <c r="B50" s="1000"/>
      <c r="C50" s="1112"/>
      <c r="D50" s="1058" t="s">
        <v>926</v>
      </c>
      <c r="E50" s="1113"/>
      <c r="F50" s="1097"/>
    </row>
    <row r="51" spans="2:6" ht="18.75" customHeight="1">
      <c r="B51" s="1000"/>
      <c r="C51" s="1049"/>
      <c r="D51" s="1061" t="s">
        <v>927</v>
      </c>
      <c r="E51" s="1115"/>
      <c r="F51" s="1116"/>
    </row>
    <row r="52" spans="2:6" ht="30.75" customHeight="1">
      <c r="B52" s="3546" t="s">
        <v>535</v>
      </c>
      <c r="C52" s="1112" t="s">
        <v>446</v>
      </c>
      <c r="D52" s="1065" t="s">
        <v>445</v>
      </c>
      <c r="E52" s="1114">
        <v>-25</v>
      </c>
      <c r="F52" s="1034" t="s">
        <v>2211</v>
      </c>
    </row>
    <row r="53" spans="2:6" ht="29.25" customHeight="1">
      <c r="B53" s="3546"/>
      <c r="C53" s="1022" t="s">
        <v>536</v>
      </c>
      <c r="D53" s="1066" t="s">
        <v>1844</v>
      </c>
      <c r="E53" s="1113"/>
      <c r="F53" s="1097"/>
    </row>
    <row r="54" spans="2:6" ht="29.25" customHeight="1">
      <c r="B54" s="3546"/>
      <c r="C54" s="1000"/>
      <c r="D54" s="1066" t="s">
        <v>655</v>
      </c>
      <c r="E54" s="1113"/>
      <c r="F54" s="1097"/>
    </row>
    <row r="55" spans="2:6" ht="24" customHeight="1">
      <c r="B55" s="3546"/>
      <c r="C55" s="1000"/>
      <c r="D55" s="1066" t="s">
        <v>656</v>
      </c>
      <c r="E55" s="1113"/>
      <c r="F55" s="1097"/>
    </row>
    <row r="56" spans="2:6" ht="29.25" customHeight="1">
      <c r="B56" s="3546"/>
      <c r="C56" s="1000"/>
      <c r="D56" s="1066" t="s">
        <v>657</v>
      </c>
      <c r="E56" s="1113"/>
      <c r="F56" s="1097"/>
    </row>
    <row r="57" spans="2:6" ht="30" hidden="1" customHeight="1">
      <c r="B57" s="1000"/>
      <c r="C57" s="1049"/>
      <c r="D57" s="1068"/>
      <c r="E57" s="1113" t="e">
        <f>E80</f>
        <v>#VALUE!</v>
      </c>
      <c r="F57" s="1097" t="s">
        <v>2211</v>
      </c>
    </row>
    <row r="58" spans="2:6" ht="42.75" customHeight="1">
      <c r="B58" s="1034"/>
      <c r="C58" s="997" t="s">
        <v>928</v>
      </c>
      <c r="D58" s="1087" t="s">
        <v>658</v>
      </c>
      <c r="E58" s="1087" t="s">
        <v>658</v>
      </c>
      <c r="F58" s="1083"/>
    </row>
    <row r="59" spans="2:6" ht="18.75" customHeight="1">
      <c r="B59" s="1034"/>
      <c r="C59" s="1035" t="s">
        <v>359</v>
      </c>
      <c r="D59" s="1117" t="s">
        <v>659</v>
      </c>
      <c r="E59" s="1117" t="s">
        <v>659</v>
      </c>
      <c r="F59" s="1118" t="s">
        <v>2438</v>
      </c>
    </row>
    <row r="60" spans="2:6">
      <c r="B60" s="1034"/>
      <c r="C60" s="507" t="s">
        <v>862</v>
      </c>
      <c r="D60" s="1039"/>
      <c r="E60" s="1039"/>
      <c r="F60" s="1051"/>
    </row>
    <row r="61" spans="2:6">
      <c r="B61" s="1034"/>
      <c r="C61" s="1071" t="s">
        <v>2331</v>
      </c>
      <c r="D61" s="1119" t="s">
        <v>660</v>
      </c>
      <c r="E61" s="1119" t="s">
        <v>534</v>
      </c>
      <c r="F61" s="1096" t="s">
        <v>131</v>
      </c>
    </row>
    <row r="62" spans="2:6" ht="14.25">
      <c r="B62" s="1034"/>
      <c r="C62" s="1071" t="s">
        <v>2332</v>
      </c>
      <c r="D62" s="1120" t="s">
        <v>660</v>
      </c>
      <c r="E62" s="1120" t="s">
        <v>534</v>
      </c>
      <c r="F62" s="1097" t="s">
        <v>133</v>
      </c>
    </row>
    <row r="63" spans="2:6">
      <c r="B63" s="1034"/>
      <c r="C63" s="1074" t="s">
        <v>2271</v>
      </c>
      <c r="D63" s="1120" t="s">
        <v>660</v>
      </c>
      <c r="E63" s="1120" t="s">
        <v>534</v>
      </c>
      <c r="F63" s="1097" t="s">
        <v>2955</v>
      </c>
    </row>
    <row r="64" spans="2:6" ht="14.25">
      <c r="B64" s="1034"/>
      <c r="C64" s="1074" t="s">
        <v>132</v>
      </c>
      <c r="D64" s="1120" t="s">
        <v>661</v>
      </c>
      <c r="E64" s="1120" t="s">
        <v>534</v>
      </c>
      <c r="F64" s="1097" t="s">
        <v>133</v>
      </c>
    </row>
    <row r="65" spans="2:6" ht="24">
      <c r="B65" s="1034"/>
      <c r="C65" s="1121" t="s">
        <v>2266</v>
      </c>
      <c r="D65" s="1122" t="s">
        <v>257</v>
      </c>
      <c r="E65" s="1122" t="s">
        <v>534</v>
      </c>
      <c r="F65" s="1116" t="s">
        <v>133</v>
      </c>
    </row>
    <row r="66" spans="2:6">
      <c r="B66" s="1000"/>
      <c r="C66" s="1079" t="s">
        <v>2267</v>
      </c>
      <c r="D66" s="1080"/>
      <c r="E66" s="1080"/>
      <c r="F66" s="1081"/>
    </row>
    <row r="67" spans="2:6">
      <c r="B67" s="1000"/>
      <c r="C67" s="1040"/>
      <c r="D67" s="1080"/>
      <c r="E67" s="1080"/>
      <c r="F67" s="1081"/>
    </row>
    <row r="68" spans="2:6">
      <c r="B68" s="3548" t="s">
        <v>301</v>
      </c>
      <c r="C68" s="3543"/>
      <c r="D68" s="3543"/>
      <c r="E68" s="3543"/>
      <c r="F68" s="3543"/>
    </row>
    <row r="69" spans="2:6">
      <c r="B69" s="3548"/>
      <c r="C69" s="3544"/>
      <c r="D69" s="3544"/>
      <c r="E69" s="3544"/>
      <c r="F69" s="3544"/>
    </row>
    <row r="70" spans="2:6">
      <c r="B70" s="3548"/>
      <c r="C70" s="3544"/>
      <c r="D70" s="3544"/>
      <c r="E70" s="3544"/>
      <c r="F70" s="3544"/>
    </row>
    <row r="71" spans="2:6">
      <c r="B71" s="3548"/>
      <c r="C71" s="3545"/>
      <c r="D71" s="3545"/>
      <c r="E71" s="3545"/>
      <c r="F71" s="3545"/>
    </row>
    <row r="72" spans="2:6"/>
    <row r="73" spans="2:6">
      <c r="B73" t="s">
        <v>568</v>
      </c>
    </row>
    <row r="74" spans="2:6">
      <c r="B74" s="994"/>
      <c r="C74" s="1009" t="s">
        <v>589</v>
      </c>
      <c r="D74" s="1010"/>
      <c r="E74" s="1011"/>
      <c r="F74" s="1012"/>
    </row>
    <row r="75" spans="2:6">
      <c r="B75" s="1000"/>
      <c r="C75" s="1022" t="s">
        <v>588</v>
      </c>
      <c r="D75" s="1018" t="s">
        <v>662</v>
      </c>
      <c r="E75" s="1123">
        <f>(計画書!J84+計画書!K84+計画書!L84)/CO2データ!$J$96*1000</f>
        <v>0</v>
      </c>
      <c r="F75" s="1021" t="s">
        <v>663</v>
      </c>
    </row>
    <row r="76" spans="2:6">
      <c r="B76" s="1000" t="s">
        <v>593</v>
      </c>
      <c r="C76" s="1000"/>
      <c r="D76" s="1018" t="s">
        <v>664</v>
      </c>
      <c r="E76" s="1123">
        <f>(計画書!J85+計画書!K85+計画書!L85)/CO2データ!$J$96*1000</f>
        <v>0</v>
      </c>
      <c r="F76" s="1021" t="s">
        <v>665</v>
      </c>
    </row>
    <row r="77" spans="2:6">
      <c r="B77" s="1000" t="s">
        <v>666</v>
      </c>
      <c r="C77" s="1013"/>
      <c r="D77" s="1018" t="s">
        <v>667</v>
      </c>
      <c r="E77" s="1123">
        <f>E75-E76</f>
        <v>0</v>
      </c>
      <c r="F77" s="1021" t="s">
        <v>665</v>
      </c>
    </row>
    <row r="78" spans="2:6">
      <c r="B78" s="1000"/>
      <c r="C78" s="1022" t="s">
        <v>1911</v>
      </c>
      <c r="D78" s="1018" t="s">
        <v>1752</v>
      </c>
      <c r="E78" s="1019" t="e">
        <f>E75*E81/E$6</f>
        <v>#VALUE!</v>
      </c>
      <c r="F78" s="1124" t="s">
        <v>2211</v>
      </c>
    </row>
    <row r="79" spans="2:6">
      <c r="B79" s="1000"/>
      <c r="C79" s="1000"/>
      <c r="D79" s="1018" t="s">
        <v>664</v>
      </c>
      <c r="E79" s="1019" t="e">
        <f>E78-E80</f>
        <v>#VALUE!</v>
      </c>
      <c r="F79" s="1124" t="s">
        <v>2211</v>
      </c>
    </row>
    <row r="80" spans="2:6">
      <c r="B80" s="1000"/>
      <c r="C80" s="1013"/>
      <c r="D80" s="1018" t="s">
        <v>667</v>
      </c>
      <c r="E80" s="1019" t="e">
        <f>E77*E82/E$6</f>
        <v>#VALUE!</v>
      </c>
      <c r="F80" s="1124" t="s">
        <v>2211</v>
      </c>
    </row>
    <row r="81" spans="2:6" hidden="1">
      <c r="B81" s="1000"/>
      <c r="C81" s="1022" t="s">
        <v>1912</v>
      </c>
      <c r="D81" s="1018" t="s">
        <v>1753</v>
      </c>
      <c r="E81" s="1125" t="e">
        <f>CO2データ!I95</f>
        <v>#VALUE!</v>
      </c>
      <c r="F81" s="1124" t="s">
        <v>892</v>
      </c>
    </row>
    <row r="82" spans="2:6" hidden="1">
      <c r="B82" s="1000"/>
      <c r="C82" s="1000"/>
      <c r="D82" s="1018" t="s">
        <v>893</v>
      </c>
      <c r="E82" s="1125" t="e">
        <f>CO2データ!I95</f>
        <v>#VALUE!</v>
      </c>
      <c r="F82" s="1124" t="s">
        <v>892</v>
      </c>
    </row>
    <row r="83" spans="2:6" hidden="1">
      <c r="B83" s="1000"/>
      <c r="C83" s="1013"/>
      <c r="D83" s="1018" t="s">
        <v>1103</v>
      </c>
      <c r="E83" s="1019" t="s">
        <v>980</v>
      </c>
      <c r="F83" s="1021"/>
    </row>
    <row r="84" spans="2:6">
      <c r="B84" s="1000"/>
      <c r="C84" s="1009" t="s">
        <v>981</v>
      </c>
      <c r="D84" s="1010"/>
      <c r="E84" s="1011"/>
      <c r="F84" s="1012"/>
    </row>
    <row r="85" spans="2:6">
      <c r="B85" s="1000"/>
      <c r="C85" s="1126" t="s">
        <v>1780</v>
      </c>
      <c r="D85" s="1014"/>
      <c r="E85" s="1127" t="e">
        <f>(CO2計算!I125*計画書!T96+CO2計算!I127*CO2データ!N208+CO2計算!I126*CO2データ!N207)/CO2データ!J96*1000</f>
        <v>#N/A</v>
      </c>
      <c r="F85" s="1020" t="s">
        <v>663</v>
      </c>
    </row>
    <row r="86" spans="2:6">
      <c r="B86" s="1000"/>
      <c r="C86" s="1022" t="s">
        <v>1460</v>
      </c>
      <c r="D86" s="1018" t="s">
        <v>982</v>
      </c>
      <c r="E86" s="1125" t="e">
        <f>係数!D5*1000</f>
        <v>#VALUE!</v>
      </c>
      <c r="F86" s="1124" t="s">
        <v>1781</v>
      </c>
    </row>
    <row r="87" spans="2:6">
      <c r="B87" s="1000"/>
      <c r="C87" s="1013"/>
      <c r="D87" s="1018" t="s">
        <v>906</v>
      </c>
      <c r="E87" s="1125" t="e">
        <f>係数!J89*1000</f>
        <v>#VALUE!</v>
      </c>
      <c r="F87" s="1124" t="s">
        <v>892</v>
      </c>
    </row>
    <row r="88" spans="2:6">
      <c r="B88" s="1000"/>
      <c r="C88" s="1022" t="s">
        <v>1782</v>
      </c>
      <c r="D88" s="1128" t="s">
        <v>2174</v>
      </c>
      <c r="E88" s="1129" t="e">
        <f>E85*(E86-E87)</f>
        <v>#N/A</v>
      </c>
      <c r="F88" s="1124" t="s">
        <v>360</v>
      </c>
    </row>
    <row r="89" spans="2:6">
      <c r="B89" s="1049"/>
      <c r="C89" s="1049"/>
      <c r="D89" s="1130" t="s">
        <v>983</v>
      </c>
      <c r="E89" s="1131" t="e">
        <f>E88/E6</f>
        <v>#N/A</v>
      </c>
      <c r="F89" s="1078" t="s">
        <v>2211</v>
      </c>
    </row>
    <row r="90" spans="2:6"/>
  </sheetData>
  <sheetProtection algorithmName="SHA-512" hashValue="O9OyKieaFmK1kDDTHLewrgzWgEPOmzzUt1nZgFeHBDRgTql3JncCzUwU9IazAk0wFibBnX15bQiqCZjSDlm7eA==" saltValue="X/+OjEG4/rZ/Thsx16NCAg==" spinCount="100000" sheet="1" objects="1" scenarios="1"/>
  <mergeCells count="8">
    <mergeCell ref="D68:D71"/>
    <mergeCell ref="E68:E71"/>
    <mergeCell ref="F68:F71"/>
    <mergeCell ref="B4:C4"/>
    <mergeCell ref="B10:B33"/>
    <mergeCell ref="B68:B71"/>
    <mergeCell ref="C68:C71"/>
    <mergeCell ref="B52:B56"/>
  </mergeCells>
  <phoneticPr fontId="22"/>
  <printOptions horizontalCentered="1"/>
  <pageMargins left="0.59055118110236227" right="0.59055118110236227" top="0.78740157480314965" bottom="0.59055118110236227" header="0.51181102362204722" footer="0.51181102362204722"/>
  <pageSetup paperSize="9" scale="86" fitToHeight="0" orientation="portrait" verticalDpi="300" r:id="rId1"/>
  <headerFooter alignWithMargins="0">
    <oddHeader>&amp;L&amp;F&amp;R&amp;A</oddHeader>
    <oddFooter>&amp;C&amp;P/&amp;N</oddFooter>
  </headerFooter>
  <rowBreaks count="1" manualBreakCount="1">
    <brk id="44" max="5" man="1"/>
  </rowBreak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pageSetUpPr autoPageBreaks="0"/>
  </sheetPr>
  <dimension ref="A1:SR234"/>
  <sheetViews>
    <sheetView showGridLines="0" workbookViewId="0"/>
  </sheetViews>
  <sheetFormatPr defaultColWidth="0" defaultRowHeight="13.5" zeroHeight="1"/>
  <cols>
    <col min="1" max="1" width="1.25" customWidth="1"/>
    <col min="2" max="2" width="7.25" style="1132" customWidth="1"/>
    <col min="3" max="3" width="37" style="1133" customWidth="1"/>
    <col min="4" max="4" width="8.875" style="1134" bestFit="1" customWidth="1"/>
    <col min="5" max="5" width="8.875" style="1135" bestFit="1" customWidth="1"/>
    <col min="6" max="6" width="1.625" customWidth="1"/>
    <col min="7" max="14" width="7.875" style="1135" customWidth="1"/>
    <col min="15" max="15" width="2.625" customWidth="1"/>
    <col min="16" max="16" width="5.875" style="1136" customWidth="1"/>
    <col min="17" max="17" width="7.875" style="1136" customWidth="1"/>
    <col min="18" max="18" width="37.25" style="1137" customWidth="1"/>
    <col min="19" max="30" width="6.625" style="1138" customWidth="1"/>
    <col min="31" max="31" width="8.875" style="1138" bestFit="1" customWidth="1"/>
    <col min="32" max="32" width="9.125" customWidth="1"/>
    <col min="33" max="33" width="10.5" style="44" hidden="1" customWidth="1"/>
    <col min="34" max="34" width="6.875" style="44" hidden="1" customWidth="1"/>
    <col min="35" max="35" width="40.625" style="1139" hidden="1" customWidth="1"/>
    <col min="36" max="36" width="6.375" style="44" hidden="1" customWidth="1"/>
    <col min="37" max="37" width="5.625" style="44" hidden="1" customWidth="1"/>
    <col min="38" max="39" width="6.375" style="44" hidden="1" customWidth="1"/>
    <col min="40" max="40" width="5.625" style="44" hidden="1" customWidth="1"/>
    <col min="41" max="41" width="6.125" style="44" hidden="1" customWidth="1"/>
    <col min="42" max="42" width="8" style="44" hidden="1" customWidth="1"/>
    <col min="43" max="43" width="6.375" style="44" hidden="1" customWidth="1"/>
    <col min="44" max="44" width="6" style="44" hidden="1" customWidth="1"/>
    <col min="45" max="45" width="6.375" style="44" hidden="1" customWidth="1"/>
    <col min="46" max="46" width="5.625" style="44" hidden="1" customWidth="1"/>
    <col min="47" max="47" width="7" style="44" hidden="1" customWidth="1"/>
    <col min="48" max="48" width="8.875" style="44" hidden="1" customWidth="1"/>
    <col min="49" max="49" width="1.375" hidden="1" customWidth="1"/>
    <col min="50" max="50" width="15.75" style="44" hidden="1" customWidth="1"/>
    <col min="51" max="51" width="6.875" style="44" hidden="1" customWidth="1"/>
    <col min="52" max="52" width="40.625" style="1139" hidden="1" customWidth="1"/>
    <col min="53" max="53" width="6.375" style="44" hidden="1" customWidth="1"/>
    <col min="54" max="54" width="5" style="44" hidden="1" customWidth="1"/>
    <col min="55" max="56" width="6.375" style="44" hidden="1" customWidth="1"/>
    <col min="57" max="57" width="5" style="44" hidden="1" customWidth="1"/>
    <col min="58" max="58" width="6.125" style="44" hidden="1" customWidth="1"/>
    <col min="59" max="59" width="8" style="44" hidden="1" customWidth="1"/>
    <col min="60" max="60" width="6.375" style="44" hidden="1" customWidth="1"/>
    <col min="61" max="61" width="6" style="44" hidden="1" customWidth="1"/>
    <col min="62" max="62" width="6.375" style="44" hidden="1" customWidth="1"/>
    <col min="63" max="63" width="5.625" style="44" hidden="1" customWidth="1"/>
    <col min="64" max="64" width="7" style="44" hidden="1" customWidth="1"/>
    <col min="65" max="65" width="8.875" style="44" hidden="1" customWidth="1"/>
    <col min="66" max="66" width="1.375" hidden="1" customWidth="1"/>
    <col min="67" max="67" width="22.875" style="44" hidden="1" customWidth="1"/>
    <col min="68" max="68" width="6.875" style="44" hidden="1" customWidth="1"/>
    <col min="69" max="69" width="40.625" style="1139" hidden="1" customWidth="1"/>
    <col min="70" max="70" width="6.375" style="44" hidden="1" customWidth="1"/>
    <col min="71" max="71" width="5.625" style="44" hidden="1" customWidth="1"/>
    <col min="72" max="73" width="6.375" style="44" hidden="1" customWidth="1"/>
    <col min="74" max="74" width="5.625" style="44" hidden="1" customWidth="1"/>
    <col min="75" max="75" width="6.125" style="44" hidden="1" customWidth="1"/>
    <col min="76" max="76" width="8" style="44" hidden="1" customWidth="1"/>
    <col min="77" max="77" width="6.375" style="44" hidden="1" customWidth="1"/>
    <col min="78" max="78" width="6" style="44" hidden="1" customWidth="1"/>
    <col min="79" max="79" width="6.375" style="44" hidden="1" customWidth="1"/>
    <col min="80" max="80" width="5.625" style="44" hidden="1" customWidth="1"/>
    <col min="81" max="81" width="7" style="44" hidden="1" customWidth="1"/>
    <col min="82" max="82" width="8.875" style="44" hidden="1" customWidth="1"/>
    <col min="83" max="83" width="1.875" style="44" hidden="1" customWidth="1"/>
    <col min="84" max="84" width="4.5" hidden="1" customWidth="1"/>
    <col min="85" max="85" width="15.75" style="44" hidden="1" customWidth="1"/>
    <col min="86" max="86" width="6.875" style="44" hidden="1" customWidth="1"/>
    <col min="87" max="87" width="40.625" style="44" hidden="1" customWidth="1"/>
    <col min="88" max="88" width="6.375" style="44" hidden="1" customWidth="1"/>
    <col min="89" max="89" width="5" style="44" hidden="1" customWidth="1"/>
    <col min="90" max="91" width="6.375" style="44" hidden="1" customWidth="1"/>
    <col min="92" max="92" width="5" style="44" hidden="1" customWidth="1"/>
    <col min="93" max="93" width="6.125" style="44" hidden="1" customWidth="1"/>
    <col min="94" max="94" width="8" style="44" hidden="1" customWidth="1"/>
    <col min="95" max="95" width="6.375" style="44" hidden="1" customWidth="1"/>
    <col min="96" max="96" width="5" style="44" hidden="1" customWidth="1"/>
    <col min="97" max="97" width="6.375" style="44" hidden="1" customWidth="1"/>
    <col min="98" max="98" width="5.625" style="44" hidden="1" customWidth="1"/>
    <col min="99" max="99" width="7" style="44" hidden="1" customWidth="1"/>
    <col min="100" max="100" width="8.875" style="44" hidden="1" customWidth="1"/>
    <col min="101" max="101" width="7.125" hidden="1" customWidth="1"/>
    <col min="102" max="102" width="20.625" hidden="1" customWidth="1"/>
    <col min="103" max="103" width="6.875" hidden="1" customWidth="1"/>
    <col min="104" max="104" width="32.875" hidden="1" customWidth="1"/>
    <col min="105" max="105" width="6.375" hidden="1" customWidth="1"/>
    <col min="106" max="106" width="4.75" hidden="1" customWidth="1"/>
    <col min="107" max="108" width="6.375" hidden="1" customWidth="1"/>
    <col min="109" max="109" width="4.75" hidden="1" customWidth="1"/>
    <col min="110" max="110" width="6.125" hidden="1" customWidth="1"/>
    <col min="111" max="111" width="8" hidden="1" customWidth="1"/>
    <col min="112" max="112" width="6.375" hidden="1" customWidth="1"/>
    <col min="113" max="113" width="4.75" hidden="1" customWidth="1"/>
    <col min="114" max="114" width="6.375" hidden="1" customWidth="1"/>
    <col min="115" max="115" width="5.625" hidden="1" customWidth="1"/>
    <col min="116" max="116" width="7" hidden="1" customWidth="1"/>
    <col min="117" max="117" width="8.875" hidden="1" customWidth="1"/>
    <col min="118" max="512" width="9" hidden="1" customWidth="1"/>
    <col min="513" max="16384" width="8.75" hidden="1"/>
  </cols>
  <sheetData>
    <row r="1" spans="2:117"/>
    <row r="2" spans="2:117" ht="17.25">
      <c r="B2" s="1140" t="s">
        <v>984</v>
      </c>
      <c r="C2" s="1141"/>
      <c r="D2" s="1142"/>
      <c r="E2" s="1143"/>
      <c r="G2" s="1143"/>
      <c r="H2" s="1143"/>
      <c r="I2" s="1144"/>
      <c r="J2" s="1144"/>
      <c r="K2" s="1143"/>
      <c r="L2" s="1143"/>
      <c r="M2" s="1143"/>
      <c r="N2" s="1143"/>
      <c r="P2" s="1145" t="s">
        <v>985</v>
      </c>
      <c r="Q2" s="1146"/>
      <c r="R2" s="1147"/>
      <c r="S2" s="1148"/>
      <c r="T2" s="1149"/>
      <c r="U2" s="1149"/>
      <c r="V2" s="1149"/>
      <c r="W2" s="1149"/>
      <c r="X2" s="1149"/>
      <c r="Y2" s="1149"/>
      <c r="Z2" s="1149"/>
      <c r="AA2" s="1149"/>
      <c r="AB2" s="1149"/>
      <c r="AC2" s="1149"/>
      <c r="AD2" s="1149"/>
      <c r="AE2" s="1149"/>
      <c r="AG2" s="1148"/>
      <c r="AH2" s="1148"/>
      <c r="AI2" s="1150"/>
      <c r="AJ2" s="1148"/>
      <c r="AK2" s="1148"/>
      <c r="AL2" s="1148"/>
      <c r="AM2" s="1148"/>
      <c r="AN2" s="1148"/>
      <c r="AO2" s="1148"/>
      <c r="AP2" s="1148"/>
      <c r="AQ2" s="1148"/>
      <c r="AR2" s="1148"/>
      <c r="AS2" s="1148"/>
      <c r="AT2" s="1148"/>
      <c r="AU2" s="1148"/>
      <c r="AV2" s="1148"/>
      <c r="AX2" s="1148"/>
      <c r="AY2" s="1148"/>
      <c r="AZ2" s="1150"/>
      <c r="BA2" s="1148"/>
      <c r="BB2" s="1148"/>
      <c r="BC2" s="1148"/>
      <c r="BD2" s="1148"/>
      <c r="BE2" s="1148"/>
      <c r="BF2" s="1148"/>
      <c r="BG2" s="1148"/>
      <c r="BH2" s="1148"/>
      <c r="BI2" s="1148"/>
      <c r="BJ2" s="1148"/>
      <c r="BK2" s="1148"/>
      <c r="BL2" s="1148"/>
      <c r="BM2" s="1148"/>
      <c r="BO2" s="1148"/>
      <c r="BP2" s="1148"/>
      <c r="BQ2" s="1150"/>
      <c r="BR2" s="1148"/>
      <c r="BS2" s="1148"/>
      <c r="BT2" s="1148"/>
      <c r="BU2" s="1148"/>
      <c r="BV2" s="1148"/>
      <c r="BW2" s="1148"/>
      <c r="BX2" s="1148"/>
      <c r="BY2" s="1148"/>
      <c r="BZ2" s="1148"/>
      <c r="CA2" s="1148"/>
      <c r="CB2" s="1148"/>
      <c r="CC2" s="1148"/>
      <c r="CD2" s="1148"/>
      <c r="CE2" s="1148"/>
      <c r="CG2" s="1148"/>
      <c r="CH2" s="1148"/>
      <c r="CI2" s="1148"/>
      <c r="CJ2" s="1148"/>
      <c r="CK2" s="1148"/>
      <c r="CL2" s="1148"/>
      <c r="CM2" s="1148"/>
      <c r="CN2" s="1148"/>
      <c r="CO2" s="1148"/>
      <c r="CP2" s="1148"/>
      <c r="CQ2" s="1148"/>
      <c r="CR2" s="1148"/>
      <c r="CS2" s="1148"/>
      <c r="CT2" s="1148"/>
      <c r="CU2" s="1148"/>
      <c r="CV2" s="1148"/>
    </row>
    <row r="3" spans="2:117" ht="17.25">
      <c r="B3" s="1140"/>
      <c r="C3" s="1141"/>
      <c r="D3" s="1142"/>
      <c r="E3" s="1143"/>
      <c r="G3" s="1143"/>
      <c r="H3" s="1143"/>
      <c r="I3" s="1144"/>
      <c r="J3" s="1144"/>
      <c r="K3" s="1143"/>
      <c r="L3" s="1143"/>
      <c r="M3" s="1143"/>
      <c r="N3" s="1143"/>
      <c r="P3" s="1673">
        <f>メイン!I3</f>
        <v>2</v>
      </c>
      <c r="Q3" s="1673" t="str">
        <f>LEFT(メイン!C5,6)</f>
        <v>CASBEE</v>
      </c>
      <c r="R3" s="1673" t="str">
        <f>メイン!J3</f>
        <v>NC</v>
      </c>
      <c r="S3" s="1151"/>
      <c r="T3" s="1149"/>
      <c r="U3" s="1149"/>
      <c r="V3" s="1149"/>
      <c r="W3" s="1149"/>
      <c r="X3" s="1149"/>
      <c r="Y3" s="1149"/>
      <c r="Z3" s="1149"/>
      <c r="AA3" s="1149"/>
      <c r="AB3" s="1149"/>
      <c r="AC3" s="1149"/>
      <c r="AD3" s="1149"/>
      <c r="AE3" s="1149"/>
      <c r="AG3" s="781" t="s">
        <v>986</v>
      </c>
      <c r="AH3" s="1148"/>
      <c r="AI3" s="1152"/>
      <c r="AJ3" s="1149"/>
      <c r="AK3" s="1149"/>
      <c r="AL3" s="1149"/>
      <c r="AM3" s="1149"/>
      <c r="AN3" s="1149"/>
      <c r="AO3" s="1149"/>
      <c r="AP3" s="1149"/>
      <c r="AQ3" s="1149"/>
      <c r="AR3" s="1149"/>
      <c r="AS3" s="1149"/>
      <c r="AT3" s="1149"/>
      <c r="AU3" s="1149"/>
      <c r="AV3" s="1149"/>
      <c r="AX3" s="781" t="s">
        <v>987</v>
      </c>
      <c r="AY3" s="1148"/>
      <c r="AZ3" s="1152"/>
      <c r="BA3" s="1149"/>
      <c r="BB3" s="1149"/>
      <c r="BC3" s="1149"/>
      <c r="BD3" s="1149"/>
      <c r="BE3" s="1149"/>
      <c r="BF3" s="1149"/>
      <c r="BG3" s="1149"/>
      <c r="BH3" s="1149"/>
      <c r="BI3" s="1149"/>
      <c r="BJ3" s="1149"/>
      <c r="BK3" s="1149"/>
      <c r="BL3" s="1149"/>
      <c r="BM3" s="1149"/>
      <c r="BO3" s="781" t="s">
        <v>988</v>
      </c>
      <c r="BP3" s="1148"/>
      <c r="BQ3" s="1152"/>
      <c r="BR3" s="1149"/>
      <c r="BS3" s="1149"/>
      <c r="BT3" s="1149"/>
      <c r="BU3" s="1149"/>
      <c r="BV3" s="1149"/>
      <c r="BW3" s="1149"/>
      <c r="BX3" s="1149"/>
      <c r="BY3" s="1149"/>
      <c r="BZ3" s="1149"/>
      <c r="CA3" s="1149"/>
      <c r="CB3" s="1149"/>
      <c r="CC3" s="1149"/>
      <c r="CD3" s="1149"/>
      <c r="CE3" s="1149"/>
      <c r="CG3" s="781" t="s">
        <v>2813</v>
      </c>
      <c r="CH3" s="1148"/>
      <c r="CI3" s="1152"/>
      <c r="CJ3" s="1149"/>
      <c r="CK3" s="1149"/>
      <c r="CL3" s="1149"/>
      <c r="CM3" s="1149"/>
      <c r="CN3" s="1149"/>
      <c r="CO3" s="1149"/>
      <c r="CP3" s="1149"/>
      <c r="CQ3" s="1149"/>
      <c r="CR3" s="1149"/>
      <c r="CS3" s="1149"/>
      <c r="CT3" s="1149"/>
      <c r="CU3" s="1149"/>
      <c r="CV3" s="1149"/>
      <c r="CX3" s="781" t="s">
        <v>2935</v>
      </c>
      <c r="CY3" s="1148"/>
      <c r="CZ3" s="1152"/>
      <c r="DA3" s="1149"/>
      <c r="DB3" s="1149"/>
      <c r="DC3" s="1149"/>
      <c r="DD3" s="1149"/>
      <c r="DE3" s="1149"/>
      <c r="DF3" s="1149"/>
      <c r="DG3" s="1149"/>
      <c r="DH3" s="1149"/>
      <c r="DI3" s="1149"/>
      <c r="DJ3" s="1149"/>
      <c r="DK3" s="1149"/>
      <c r="DL3" s="1149"/>
      <c r="DM3" s="1149"/>
    </row>
    <row r="4" spans="2:117" ht="4.5" customHeight="1">
      <c r="B4" s="1140"/>
      <c r="C4" s="1141"/>
      <c r="D4" s="1142"/>
      <c r="E4" s="1143"/>
      <c r="G4" s="1143"/>
      <c r="H4" s="1143"/>
      <c r="I4" s="1144"/>
      <c r="J4" s="1144"/>
      <c r="K4" s="1143"/>
      <c r="L4" s="1143"/>
      <c r="M4" s="1143"/>
      <c r="N4" s="1143"/>
      <c r="P4" s="1673"/>
      <c r="Q4" s="1673"/>
      <c r="R4" s="1673"/>
      <c r="S4" s="1149"/>
      <c r="T4" s="1149"/>
      <c r="U4" s="1149"/>
      <c r="V4" s="1149"/>
      <c r="W4" s="1149"/>
      <c r="X4" s="1149"/>
      <c r="Y4" s="1149"/>
      <c r="Z4" s="1149"/>
      <c r="AA4" s="1149"/>
      <c r="AB4" s="1149"/>
      <c r="AC4" s="1149"/>
      <c r="AD4" s="1149"/>
      <c r="AE4" s="1149"/>
      <c r="AG4" s="781"/>
      <c r="AH4" s="1146"/>
      <c r="AI4" s="1152"/>
      <c r="AJ4" s="1149"/>
      <c r="AK4" s="1149"/>
      <c r="AL4" s="1149"/>
      <c r="AM4" s="1149"/>
      <c r="AN4" s="1149"/>
      <c r="AO4" s="1149"/>
      <c r="AP4" s="1149"/>
      <c r="AQ4" s="1149"/>
      <c r="AR4" s="1149"/>
      <c r="AS4" s="1149"/>
      <c r="AT4" s="1149"/>
      <c r="AU4" s="1149"/>
      <c r="AV4" s="1149"/>
      <c r="AX4" s="781"/>
      <c r="AY4" s="1146"/>
      <c r="AZ4" s="1152"/>
      <c r="BA4" s="1149"/>
      <c r="BB4" s="1149"/>
      <c r="BC4" s="1149"/>
      <c r="BD4" s="1149"/>
      <c r="BE4" s="1149"/>
      <c r="BF4" s="1149"/>
      <c r="BG4" s="1149"/>
      <c r="BH4" s="1149"/>
      <c r="BI4" s="1149"/>
      <c r="BJ4" s="1149"/>
      <c r="BK4" s="1149"/>
      <c r="BL4" s="1149"/>
      <c r="BM4" s="1149"/>
      <c r="BO4" s="781"/>
      <c r="BP4" s="1146"/>
      <c r="BQ4" s="1152"/>
      <c r="BR4" s="1149"/>
      <c r="BS4" s="1149"/>
      <c r="BT4" s="1149"/>
      <c r="BU4" s="1149"/>
      <c r="BV4" s="1149"/>
      <c r="BW4" s="1149"/>
      <c r="BX4" s="1149"/>
      <c r="BY4" s="1149"/>
      <c r="BZ4" s="1149"/>
      <c r="CA4" s="1149"/>
      <c r="CB4" s="1149"/>
      <c r="CC4" s="1149"/>
      <c r="CD4" s="1149"/>
      <c r="CE4" s="1149"/>
      <c r="CG4" s="781"/>
      <c r="CH4" s="1146"/>
      <c r="CI4" s="1152"/>
      <c r="CJ4" s="1149"/>
      <c r="CK4" s="1149"/>
      <c r="CL4" s="1149"/>
      <c r="CM4" s="1149"/>
      <c r="CN4" s="1149"/>
      <c r="CO4" s="1149"/>
      <c r="CP4" s="1149"/>
      <c r="CQ4" s="1149"/>
      <c r="CR4" s="1149"/>
      <c r="CS4" s="1149"/>
      <c r="CT4" s="1149"/>
      <c r="CU4" s="1149"/>
      <c r="CV4" s="1149"/>
      <c r="CX4" s="781"/>
      <c r="CY4" s="1146"/>
      <c r="CZ4" s="1152"/>
      <c r="DA4" s="1149"/>
      <c r="DB4" s="1149"/>
      <c r="DC4" s="1149"/>
      <c r="DD4" s="1149"/>
      <c r="DE4" s="1149"/>
      <c r="DF4" s="1149"/>
      <c r="DG4" s="1149"/>
      <c r="DH4" s="1149"/>
      <c r="DI4" s="1149"/>
      <c r="DJ4" s="1149"/>
      <c r="DK4" s="1149"/>
      <c r="DL4" s="1149"/>
      <c r="DM4" s="1149"/>
    </row>
    <row r="5" spans="2:117">
      <c r="B5" s="1153"/>
      <c r="C5" s="1154"/>
      <c r="D5" s="1155" t="s">
        <v>989</v>
      </c>
      <c r="E5" s="1156"/>
      <c r="G5" s="1157" t="s">
        <v>990</v>
      </c>
      <c r="H5" s="1158"/>
      <c r="I5" s="1159" t="s">
        <v>991</v>
      </c>
      <c r="J5" s="1160"/>
      <c r="K5" s="1157" t="s">
        <v>992</v>
      </c>
      <c r="L5" s="1158"/>
      <c r="M5" s="1157" t="s">
        <v>993</v>
      </c>
      <c r="N5" s="1158"/>
      <c r="P5" s="1161"/>
      <c r="Q5" s="1161"/>
      <c r="R5" s="1162"/>
      <c r="S5" s="3554" t="s">
        <v>773</v>
      </c>
      <c r="T5" s="3554"/>
      <c r="U5" s="3554"/>
      <c r="V5" s="3554"/>
      <c r="W5" s="3554"/>
      <c r="X5" s="3554"/>
      <c r="Y5" s="3554"/>
      <c r="Z5" s="3554"/>
      <c r="AA5" s="3555"/>
      <c r="AB5" s="1163" t="s">
        <v>774</v>
      </c>
      <c r="AC5" s="3554" t="s">
        <v>775</v>
      </c>
      <c r="AD5" s="3554"/>
      <c r="AE5" s="3554"/>
      <c r="AG5" s="1161"/>
      <c r="AH5" s="1161"/>
      <c r="AI5" s="1164"/>
      <c r="AJ5" s="3554" t="s">
        <v>773</v>
      </c>
      <c r="AK5" s="3554"/>
      <c r="AL5" s="3554"/>
      <c r="AM5" s="3554"/>
      <c r="AN5" s="3554"/>
      <c r="AO5" s="3554"/>
      <c r="AP5" s="3554"/>
      <c r="AQ5" s="3554"/>
      <c r="AR5" s="3555"/>
      <c r="AS5" s="1163" t="s">
        <v>774</v>
      </c>
      <c r="AT5" s="3554" t="s">
        <v>775</v>
      </c>
      <c r="AU5" s="3554"/>
      <c r="AV5" s="3554"/>
      <c r="AX5" s="1161"/>
      <c r="AY5" s="1161"/>
      <c r="AZ5" s="1164"/>
      <c r="BA5" s="3554" t="s">
        <v>773</v>
      </c>
      <c r="BB5" s="3554"/>
      <c r="BC5" s="3554"/>
      <c r="BD5" s="3554"/>
      <c r="BE5" s="3554"/>
      <c r="BF5" s="3554"/>
      <c r="BG5" s="3554"/>
      <c r="BH5" s="3554"/>
      <c r="BI5" s="3555"/>
      <c r="BJ5" s="1163" t="s">
        <v>774</v>
      </c>
      <c r="BK5" s="3554" t="s">
        <v>775</v>
      </c>
      <c r="BL5" s="3554"/>
      <c r="BM5" s="3554"/>
      <c r="BO5" s="1161"/>
      <c r="BP5" s="1161"/>
      <c r="BQ5" s="1164"/>
      <c r="BR5" s="3554" t="s">
        <v>773</v>
      </c>
      <c r="BS5" s="3554"/>
      <c r="BT5" s="3554"/>
      <c r="BU5" s="3554"/>
      <c r="BV5" s="3554"/>
      <c r="BW5" s="3554"/>
      <c r="BX5" s="3554"/>
      <c r="BY5" s="3554"/>
      <c r="BZ5" s="3555"/>
      <c r="CA5" s="1163" t="s">
        <v>774</v>
      </c>
      <c r="CB5" s="3554" t="s">
        <v>775</v>
      </c>
      <c r="CC5" s="3554"/>
      <c r="CD5" s="3554"/>
      <c r="CE5" s="1463"/>
      <c r="CG5" s="1161"/>
      <c r="CH5" s="1161"/>
      <c r="CI5" s="1164"/>
      <c r="CJ5" s="3554" t="s">
        <v>773</v>
      </c>
      <c r="CK5" s="3554"/>
      <c r="CL5" s="3554"/>
      <c r="CM5" s="3554"/>
      <c r="CN5" s="3554"/>
      <c r="CO5" s="3554"/>
      <c r="CP5" s="3554"/>
      <c r="CQ5" s="3554"/>
      <c r="CR5" s="3555"/>
      <c r="CS5" s="1163" t="s">
        <v>774</v>
      </c>
      <c r="CT5" s="3554" t="s">
        <v>775</v>
      </c>
      <c r="CU5" s="3554"/>
      <c r="CV5" s="3554"/>
      <c r="CX5" s="1161"/>
      <c r="CY5" s="1161"/>
      <c r="CZ5" s="1164"/>
      <c r="DA5" s="3554" t="s">
        <v>773</v>
      </c>
      <c r="DB5" s="3554"/>
      <c r="DC5" s="3554"/>
      <c r="DD5" s="3554"/>
      <c r="DE5" s="3554"/>
      <c r="DF5" s="3554"/>
      <c r="DG5" s="3554"/>
      <c r="DH5" s="3554"/>
      <c r="DI5" s="3555"/>
      <c r="DJ5" s="1163" t="s">
        <v>774</v>
      </c>
      <c r="DK5" s="3554" t="s">
        <v>775</v>
      </c>
      <c r="DL5" s="3554"/>
      <c r="DM5" s="3554"/>
    </row>
    <row r="6" spans="2:117">
      <c r="B6" s="1165"/>
      <c r="C6" s="1166"/>
      <c r="D6" s="1167" t="s">
        <v>776</v>
      </c>
      <c r="E6" s="1167" t="s">
        <v>777</v>
      </c>
      <c r="G6" s="1167" t="s">
        <v>776</v>
      </c>
      <c r="H6" s="1167" t="s">
        <v>777</v>
      </c>
      <c r="I6" s="1167" t="s">
        <v>776</v>
      </c>
      <c r="J6" s="1167" t="s">
        <v>777</v>
      </c>
      <c r="K6" s="1167" t="s">
        <v>776</v>
      </c>
      <c r="L6" s="1167" t="s">
        <v>777</v>
      </c>
      <c r="M6" s="1167" t="s">
        <v>776</v>
      </c>
      <c r="N6" s="1167" t="s">
        <v>777</v>
      </c>
      <c r="P6" s="1162"/>
      <c r="Q6" s="1162" t="s">
        <v>1801</v>
      </c>
      <c r="R6" s="1162" t="s">
        <v>778</v>
      </c>
      <c r="S6" s="1168" t="s">
        <v>377</v>
      </c>
      <c r="T6" s="1168" t="s">
        <v>378</v>
      </c>
      <c r="U6" s="1168" t="s">
        <v>379</v>
      </c>
      <c r="V6" s="1168" t="s">
        <v>380</v>
      </c>
      <c r="W6" s="1168" t="s">
        <v>382</v>
      </c>
      <c r="X6" s="1168" t="s">
        <v>383</v>
      </c>
      <c r="Y6" s="1168" t="s">
        <v>384</v>
      </c>
      <c r="Z6" s="1169" t="s">
        <v>1643</v>
      </c>
      <c r="AA6" s="1168" t="s">
        <v>385</v>
      </c>
      <c r="AB6" s="1168" t="s">
        <v>378</v>
      </c>
      <c r="AC6" s="1170" t="s">
        <v>1783</v>
      </c>
      <c r="AD6" s="1168" t="s">
        <v>197</v>
      </c>
      <c r="AE6" s="1168" t="s">
        <v>198</v>
      </c>
      <c r="AG6" s="1162"/>
      <c r="AH6" s="1162" t="s">
        <v>1801</v>
      </c>
      <c r="AI6" s="1164" t="s">
        <v>778</v>
      </c>
      <c r="AJ6" s="1168" t="s">
        <v>377</v>
      </c>
      <c r="AK6" s="1168" t="s">
        <v>378</v>
      </c>
      <c r="AL6" s="1168" t="s">
        <v>379</v>
      </c>
      <c r="AM6" s="1168" t="s">
        <v>380</v>
      </c>
      <c r="AN6" s="1168" t="s">
        <v>382</v>
      </c>
      <c r="AO6" s="1168" t="s">
        <v>383</v>
      </c>
      <c r="AP6" s="1168" t="s">
        <v>384</v>
      </c>
      <c r="AQ6" s="1169" t="s">
        <v>1643</v>
      </c>
      <c r="AR6" s="1168" t="s">
        <v>385</v>
      </c>
      <c r="AS6" s="1168" t="s">
        <v>378</v>
      </c>
      <c r="AT6" s="1170" t="s">
        <v>1783</v>
      </c>
      <c r="AU6" s="1168" t="s">
        <v>197</v>
      </c>
      <c r="AV6" s="1168" t="s">
        <v>198</v>
      </c>
      <c r="AX6" s="1162"/>
      <c r="AY6" s="1162" t="s">
        <v>1801</v>
      </c>
      <c r="AZ6" s="1164" t="s">
        <v>778</v>
      </c>
      <c r="BA6" s="1168" t="s">
        <v>377</v>
      </c>
      <c r="BB6" s="1168" t="s">
        <v>378</v>
      </c>
      <c r="BC6" s="1168" t="s">
        <v>379</v>
      </c>
      <c r="BD6" s="1168" t="s">
        <v>380</v>
      </c>
      <c r="BE6" s="1168" t="s">
        <v>382</v>
      </c>
      <c r="BF6" s="1168" t="s">
        <v>383</v>
      </c>
      <c r="BG6" s="1168" t="s">
        <v>384</v>
      </c>
      <c r="BH6" s="1169" t="s">
        <v>1643</v>
      </c>
      <c r="BI6" s="1168" t="s">
        <v>385</v>
      </c>
      <c r="BJ6" s="1168" t="s">
        <v>378</v>
      </c>
      <c r="BK6" s="1170" t="s">
        <v>1783</v>
      </c>
      <c r="BL6" s="1168" t="s">
        <v>197</v>
      </c>
      <c r="BM6" s="1168" t="s">
        <v>198</v>
      </c>
      <c r="BO6" s="1162"/>
      <c r="BP6" s="1162" t="s">
        <v>1801</v>
      </c>
      <c r="BQ6" s="1164" t="s">
        <v>778</v>
      </c>
      <c r="BR6" s="1168" t="s">
        <v>377</v>
      </c>
      <c r="BS6" s="1168" t="s">
        <v>378</v>
      </c>
      <c r="BT6" s="1168" t="s">
        <v>379</v>
      </c>
      <c r="BU6" s="1168" t="s">
        <v>380</v>
      </c>
      <c r="BV6" s="1168" t="s">
        <v>382</v>
      </c>
      <c r="BW6" s="1168" t="s">
        <v>383</v>
      </c>
      <c r="BX6" s="1168" t="s">
        <v>384</v>
      </c>
      <c r="BY6" s="1169" t="s">
        <v>1643</v>
      </c>
      <c r="BZ6" s="1168" t="s">
        <v>385</v>
      </c>
      <c r="CA6" s="1168" t="s">
        <v>378</v>
      </c>
      <c r="CB6" s="1170" t="s">
        <v>1783</v>
      </c>
      <c r="CC6" s="1168" t="s">
        <v>197</v>
      </c>
      <c r="CD6" s="1168" t="s">
        <v>198</v>
      </c>
      <c r="CE6" s="1464"/>
      <c r="CG6" s="1162"/>
      <c r="CH6" s="1162" t="s">
        <v>1801</v>
      </c>
      <c r="CI6" s="1164" t="s">
        <v>778</v>
      </c>
      <c r="CJ6" s="1168" t="s">
        <v>377</v>
      </c>
      <c r="CK6" s="1168" t="s">
        <v>378</v>
      </c>
      <c r="CL6" s="1168" t="s">
        <v>379</v>
      </c>
      <c r="CM6" s="1168" t="s">
        <v>380</v>
      </c>
      <c r="CN6" s="1168" t="s">
        <v>382</v>
      </c>
      <c r="CO6" s="1168" t="s">
        <v>383</v>
      </c>
      <c r="CP6" s="1168" t="s">
        <v>384</v>
      </c>
      <c r="CQ6" s="1169" t="s">
        <v>1643</v>
      </c>
      <c r="CR6" s="1168" t="s">
        <v>385</v>
      </c>
      <c r="CS6" s="1168" t="s">
        <v>378</v>
      </c>
      <c r="CT6" s="1170" t="s">
        <v>1783</v>
      </c>
      <c r="CU6" s="1168" t="s">
        <v>197</v>
      </c>
      <c r="CV6" s="1168" t="s">
        <v>198</v>
      </c>
      <c r="CX6" s="1162"/>
      <c r="CY6" s="1162" t="s">
        <v>1801</v>
      </c>
      <c r="CZ6" s="1164" t="s">
        <v>778</v>
      </c>
      <c r="DA6" s="1168" t="s">
        <v>377</v>
      </c>
      <c r="DB6" s="1168" t="s">
        <v>378</v>
      </c>
      <c r="DC6" s="1168" t="s">
        <v>379</v>
      </c>
      <c r="DD6" s="1168" t="s">
        <v>380</v>
      </c>
      <c r="DE6" s="1168" t="s">
        <v>382</v>
      </c>
      <c r="DF6" s="1168" t="s">
        <v>383</v>
      </c>
      <c r="DG6" s="1168" t="s">
        <v>384</v>
      </c>
      <c r="DH6" s="1169" t="s">
        <v>1643</v>
      </c>
      <c r="DI6" s="1168" t="s">
        <v>385</v>
      </c>
      <c r="DJ6" s="1168" t="s">
        <v>378</v>
      </c>
      <c r="DK6" s="1170" t="s">
        <v>1783</v>
      </c>
      <c r="DL6" s="1168" t="s">
        <v>197</v>
      </c>
      <c r="DM6" s="1168" t="s">
        <v>198</v>
      </c>
    </row>
    <row r="7" spans="2:117">
      <c r="B7" s="1171"/>
      <c r="C7" s="1172" t="s">
        <v>199</v>
      </c>
      <c r="D7" s="1173">
        <f>1-E7</f>
        <v>1</v>
      </c>
      <c r="E7" s="1174">
        <f>(AC8*W7)+(AD8*X7)+(AE8*Y7)</f>
        <v>0</v>
      </c>
      <c r="G7" s="1174"/>
      <c r="H7" s="1174"/>
      <c r="I7" s="1174"/>
      <c r="J7" s="1174"/>
      <c r="K7" s="1174"/>
      <c r="L7" s="1174"/>
      <c r="M7" s="1174"/>
      <c r="N7" s="1174"/>
      <c r="P7" s="1161"/>
      <c r="Q7" s="1161" t="s">
        <v>779</v>
      </c>
      <c r="R7" s="1162" t="s">
        <v>780</v>
      </c>
      <c r="S7" s="1175">
        <f>メイン!C47/メイン!$C$19</f>
        <v>1</v>
      </c>
      <c r="T7" s="1175">
        <f>(メイン!E49+メイン!E53)/メイン!$C$19</f>
        <v>0</v>
      </c>
      <c r="U7" s="1175">
        <f>メイン!C54/メイン!$C$19</f>
        <v>0</v>
      </c>
      <c r="V7" s="1175">
        <f>メイン!C56/メイン!$C$19</f>
        <v>0</v>
      </c>
      <c r="W7" s="1175">
        <f>メイン!C61/メイン!$C$19</f>
        <v>0</v>
      </c>
      <c r="X7" s="1175">
        <f>メイン!C62/メイン!$C$19</f>
        <v>0</v>
      </c>
      <c r="Y7" s="1175">
        <f>メイン!C64/メイン!$C$19</f>
        <v>0</v>
      </c>
      <c r="Z7" s="1175">
        <f>メイン!C57/メイン!$C$19</f>
        <v>0</v>
      </c>
      <c r="AA7" s="1175">
        <f>メイン!C60/メイン!$C$19</f>
        <v>0</v>
      </c>
      <c r="AB7" s="1175">
        <f>(メイン!E50+メイン!E51+メイン!E52)/メイン!$C$19</f>
        <v>0</v>
      </c>
      <c r="AC7" s="1175">
        <f>W7</f>
        <v>0</v>
      </c>
      <c r="AD7" s="1175">
        <f>X7</f>
        <v>0</v>
      </c>
      <c r="AE7" s="1175">
        <f>Y7</f>
        <v>0</v>
      </c>
      <c r="AG7" s="1161"/>
      <c r="AH7" s="1161"/>
      <c r="AI7" s="1164"/>
      <c r="AJ7" s="1175"/>
      <c r="AK7" s="1175"/>
      <c r="AL7" s="1175"/>
      <c r="AM7" s="1175"/>
      <c r="AN7" s="1175"/>
      <c r="AO7" s="1175"/>
      <c r="AP7" s="1175"/>
      <c r="AQ7" s="1176"/>
      <c r="AR7" s="1175"/>
      <c r="AS7" s="1175"/>
      <c r="AT7" s="1175"/>
      <c r="AU7" s="1175"/>
      <c r="AV7" s="1175"/>
      <c r="AX7" s="1161"/>
      <c r="AY7" s="1161"/>
      <c r="AZ7" s="1164"/>
      <c r="BA7" s="1175"/>
      <c r="BB7" s="1175"/>
      <c r="BC7" s="1175"/>
      <c r="BD7" s="1175"/>
      <c r="BE7" s="1175"/>
      <c r="BF7" s="1175"/>
      <c r="BG7" s="1175"/>
      <c r="BH7" s="1176"/>
      <c r="BI7" s="1175"/>
      <c r="BJ7" s="1175"/>
      <c r="BK7" s="1175"/>
      <c r="BL7" s="1175"/>
      <c r="BM7" s="1175"/>
      <c r="BO7" s="1161"/>
      <c r="BP7" s="1161"/>
      <c r="BQ7" s="1164"/>
      <c r="BR7" s="1175"/>
      <c r="BS7" s="1175"/>
      <c r="BT7" s="1175"/>
      <c r="BU7" s="1175"/>
      <c r="BV7" s="1175"/>
      <c r="BW7" s="1175"/>
      <c r="BX7" s="1175"/>
      <c r="BY7" s="1176"/>
      <c r="BZ7" s="1175"/>
      <c r="CA7" s="1175"/>
      <c r="CB7" s="1175"/>
      <c r="CC7" s="1175"/>
      <c r="CD7" s="1175"/>
      <c r="CE7" s="1465"/>
      <c r="CG7" s="1161"/>
      <c r="CH7" s="1161"/>
      <c r="CI7" s="1164"/>
      <c r="CJ7" s="1175"/>
      <c r="CK7" s="1175"/>
      <c r="CL7" s="1175"/>
      <c r="CM7" s="1175"/>
      <c r="CN7" s="1175"/>
      <c r="CO7" s="1175"/>
      <c r="CP7" s="1175"/>
      <c r="CQ7" s="1176"/>
      <c r="CR7" s="1175"/>
      <c r="CS7" s="1175"/>
      <c r="CT7" s="1175"/>
      <c r="CU7" s="1175"/>
      <c r="CV7" s="1175"/>
      <c r="CX7" s="1161"/>
      <c r="CY7" s="1161"/>
      <c r="CZ7" s="1164"/>
      <c r="DA7" s="1175"/>
      <c r="DB7" s="1175"/>
      <c r="DC7" s="1175"/>
      <c r="DD7" s="1175"/>
      <c r="DE7" s="1175"/>
      <c r="DF7" s="1175"/>
      <c r="DG7" s="1175"/>
      <c r="DH7" s="1176"/>
      <c r="DI7" s="1175"/>
      <c r="DJ7" s="1175"/>
      <c r="DK7" s="1175"/>
      <c r="DL7" s="1175"/>
      <c r="DM7" s="1175"/>
    </row>
    <row r="8" spans="2:117" ht="14.25">
      <c r="B8" s="1177" t="s">
        <v>200</v>
      </c>
      <c r="C8" s="1178" t="s">
        <v>790</v>
      </c>
      <c r="D8" s="1179"/>
      <c r="E8" s="1180"/>
      <c r="G8" s="1180"/>
      <c r="H8" s="1180"/>
      <c r="I8" s="1180">
        <f>G9+G62+G112</f>
        <v>1</v>
      </c>
      <c r="J8" s="1180">
        <f>H9+H62+H112</f>
        <v>0</v>
      </c>
      <c r="K8" s="1180"/>
      <c r="L8" s="1180"/>
      <c r="M8" s="1180"/>
      <c r="N8" s="1180"/>
      <c r="P8" s="1177"/>
      <c r="Q8" s="1177" t="s">
        <v>201</v>
      </c>
      <c r="R8" s="1162" t="s">
        <v>791</v>
      </c>
      <c r="S8" s="1175"/>
      <c r="T8" s="1175"/>
      <c r="U8" s="1175"/>
      <c r="V8" s="1175"/>
      <c r="W8" s="1175">
        <f>1-メイン!F68</f>
        <v>1</v>
      </c>
      <c r="X8" s="1175">
        <f>1-メイン!F69</f>
        <v>1</v>
      </c>
      <c r="Y8" s="1175">
        <f>1-メイン!F70</f>
        <v>1</v>
      </c>
      <c r="Z8" s="1176"/>
      <c r="AA8" s="1175"/>
      <c r="AB8" s="1175"/>
      <c r="AC8" s="1739">
        <f>メイン!F68</f>
        <v>0</v>
      </c>
      <c r="AD8" s="1740">
        <f>メイン!F69</f>
        <v>0</v>
      </c>
      <c r="AE8" s="1175">
        <f>メイン!F70</f>
        <v>0</v>
      </c>
      <c r="AG8" s="1177" t="s">
        <v>202</v>
      </c>
      <c r="AH8" s="1177"/>
      <c r="AI8" s="1181" t="s">
        <v>203</v>
      </c>
      <c r="AJ8" s="1182"/>
      <c r="AK8" s="1182"/>
      <c r="AL8" s="1182"/>
      <c r="AM8" s="1182"/>
      <c r="AN8" s="1182"/>
      <c r="AO8" s="1182"/>
      <c r="AP8" s="1182"/>
      <c r="AQ8" s="1183"/>
      <c r="AR8" s="1182"/>
      <c r="AS8" s="1182"/>
      <c r="AT8" s="1184"/>
      <c r="AU8" s="1185"/>
      <c r="AV8" s="1185"/>
      <c r="AX8" s="1177" t="s">
        <v>202</v>
      </c>
      <c r="AY8" s="1177"/>
      <c r="AZ8" s="1181" t="s">
        <v>203</v>
      </c>
      <c r="BA8" s="1182"/>
      <c r="BB8" s="1182"/>
      <c r="BC8" s="1182"/>
      <c r="BD8" s="1182"/>
      <c r="BE8" s="1182"/>
      <c r="BF8" s="1182"/>
      <c r="BG8" s="1182"/>
      <c r="BH8" s="1183"/>
      <c r="BI8" s="1182"/>
      <c r="BJ8" s="1182"/>
      <c r="BK8" s="1184"/>
      <c r="BL8" s="1185"/>
      <c r="BM8" s="1185"/>
      <c r="BO8" s="1177" t="s">
        <v>202</v>
      </c>
      <c r="BP8" s="1177"/>
      <c r="BQ8" s="1181" t="s">
        <v>203</v>
      </c>
      <c r="BR8" s="1182"/>
      <c r="BS8" s="1182"/>
      <c r="BT8" s="1182"/>
      <c r="BU8" s="1182"/>
      <c r="BV8" s="1182"/>
      <c r="BW8" s="1182"/>
      <c r="BX8" s="1182"/>
      <c r="BY8" s="1183"/>
      <c r="BZ8" s="1182"/>
      <c r="CA8" s="1182"/>
      <c r="CB8" s="1184"/>
      <c r="CC8" s="1185"/>
      <c r="CD8" s="1185"/>
      <c r="CE8" s="1466"/>
      <c r="CG8" s="1177" t="s">
        <v>200</v>
      </c>
      <c r="CH8" s="1177"/>
      <c r="CI8" s="1181" t="s">
        <v>203</v>
      </c>
      <c r="CJ8" s="1182"/>
      <c r="CK8" s="1182"/>
      <c r="CL8" s="1182"/>
      <c r="CM8" s="1182"/>
      <c r="CN8" s="1182"/>
      <c r="CO8" s="1182"/>
      <c r="CP8" s="1182"/>
      <c r="CQ8" s="1183"/>
      <c r="CR8" s="1182"/>
      <c r="CS8" s="1182"/>
      <c r="CT8" s="1184"/>
      <c r="CU8" s="1185"/>
      <c r="CV8" s="1185"/>
      <c r="CX8" s="1177" t="s">
        <v>200</v>
      </c>
      <c r="CY8" s="1177"/>
      <c r="CZ8" s="1181" t="s">
        <v>203</v>
      </c>
      <c r="DA8" s="1182">
        <f>BR8</f>
        <v>0</v>
      </c>
      <c r="DB8" s="1182"/>
      <c r="DC8" s="1182"/>
      <c r="DD8" s="1182"/>
      <c r="DE8" s="1182"/>
      <c r="DF8" s="1182"/>
      <c r="DG8" s="1182"/>
      <c r="DH8" s="1183"/>
      <c r="DI8" s="1182"/>
      <c r="DJ8" s="1182"/>
      <c r="DK8" s="1184"/>
      <c r="DL8" s="1185"/>
      <c r="DM8" s="1185"/>
    </row>
    <row r="9" spans="2:117">
      <c r="B9" s="1186" t="str">
        <f t="shared" ref="B9:B42" si="0">P9</f>
        <v>Q1</v>
      </c>
      <c r="C9" s="1189" t="str">
        <f t="shared" ref="C9:C72" si="1">R9</f>
        <v>室内環境</v>
      </c>
      <c r="D9" s="1187">
        <f>IF(I$8=0,0,G9/I$8)</f>
        <v>0.4</v>
      </c>
      <c r="E9" s="1188">
        <f>IF(J$8=0,0,H9/J$8)</f>
        <v>0</v>
      </c>
      <c r="G9" s="1188">
        <f t="shared" ref="G9:G41" si="2">K9*M9</f>
        <v>0.4</v>
      </c>
      <c r="H9" s="1188">
        <f t="shared" ref="H9:H41" si="3">L9*N9</f>
        <v>0</v>
      </c>
      <c r="I9" s="1188">
        <f>G10+G20+G35+G48</f>
        <v>1</v>
      </c>
      <c r="J9" s="1188">
        <f>H10+H20+H35+H48</f>
        <v>0</v>
      </c>
      <c r="K9" s="1188">
        <f>IF(スコア!U9=0,0,1)</f>
        <v>1</v>
      </c>
      <c r="L9" s="1188">
        <f>IF(スコア!S9=0,0,1)</f>
        <v>0</v>
      </c>
      <c r="M9" s="1188">
        <f t="shared" ref="M9:M41" si="4">SUMPRODUCT($S$7:$AB$7,S9:AB9)</f>
        <v>0.4</v>
      </c>
      <c r="N9" s="1188">
        <f t="shared" ref="N9:N41" si="5">(AC$7*AC9)+(AD$7*AD9)+(AE$7*AE9)</f>
        <v>0</v>
      </c>
      <c r="P9" s="1186" t="str">
        <f t="shared" ref="P9:P73" si="6">IF($P$3=1,AX9,IF($P$3=2,BO9,IF($P$3=3,CG9,IF($P$3=4,CX9,AG9))))</f>
        <v>Q1</v>
      </c>
      <c r="Q9" s="1186" t="str">
        <f t="shared" ref="Q9:Q73" si="7">IF($P$3=1,AY9,IF($P$3=2,BP9,IF($P$3=3,CH9,IF($P$3=4,CY9,AH9))))</f>
        <v xml:space="preserve"> Q</v>
      </c>
      <c r="R9" s="1189" t="str">
        <f t="shared" ref="R9:R73" si="8">IF($P$3=1,AZ9,IF($P$3=2,BQ9,IF($P$3=3,CI9,IF($P$3=4,CZ9,AI9))))</f>
        <v>室内環境</v>
      </c>
      <c r="S9" s="1741">
        <f>IF($P$3=1,BA9,IF($P$3=2,BR9,IF($P$3=3,CJ9,IF($P$3=4,DA9,AJ9))))</f>
        <v>0.4</v>
      </c>
      <c r="T9" s="1741">
        <f t="shared" ref="T9:Z24" si="9">IF($P$3=1,BB9,IF($P$3=2,BS9,IF($P$3=3,CK9,IF($P$3=4,DB9,AK9))))</f>
        <v>0.4</v>
      </c>
      <c r="U9" s="1741">
        <f t="shared" si="9"/>
        <v>0.4</v>
      </c>
      <c r="V9" s="1741">
        <f t="shared" si="9"/>
        <v>0.4</v>
      </c>
      <c r="W9" s="1741">
        <f t="shared" si="9"/>
        <v>0.4</v>
      </c>
      <c r="X9" s="1741">
        <f t="shared" si="9"/>
        <v>0.4</v>
      </c>
      <c r="Y9" s="1741">
        <f t="shared" si="9"/>
        <v>0.4</v>
      </c>
      <c r="Z9" s="1741">
        <f t="shared" si="9"/>
        <v>0.4</v>
      </c>
      <c r="AA9" s="1742">
        <f>IF($Q$3="coCASB",0,IF($P$3=1,BI9,IF($P$3=2,BZ9,IF($P$3=3,CR9,IF($P$3=4,DI9,AR9)))))</f>
        <v>0.3</v>
      </c>
      <c r="AB9" s="1741">
        <f t="shared" ref="AB9:AB63" si="10">IF($P$3=1,BJ9,IF($P$3=2,CA9,IF($P$3=3,CS9,IF($P$3=4,DJ9,AS9))))</f>
        <v>0.4</v>
      </c>
      <c r="AC9" s="1741">
        <f t="shared" ref="AC9:AC63" si="11">IF($P$3=1,BK9,IF($P$3=2,CB9,IF($P$3=3,CT9,IF($P$3=4,DK9,AT9))))</f>
        <v>0</v>
      </c>
      <c r="AD9" s="1741">
        <f t="shared" ref="AD9:AD63" si="12">IF($P$3=1,BL9,IF($P$3=2,CC9,IF($P$3=3,CU9,IF($P$3=4,DL9,AU9))))</f>
        <v>0</v>
      </c>
      <c r="AE9" s="1741">
        <f>IF($P$3=1,BM9,IF($P$3=2,CD9,IF($P$3=3,CV9,IF($P$3=4,DM9,AV9))))</f>
        <v>0</v>
      </c>
      <c r="AG9" s="1186" t="s">
        <v>204</v>
      </c>
      <c r="AH9" s="1191" t="s">
        <v>792</v>
      </c>
      <c r="AI9" s="1189" t="s">
        <v>205</v>
      </c>
      <c r="AJ9" s="1190">
        <v>0.4</v>
      </c>
      <c r="AK9" s="1190">
        <v>0.4</v>
      </c>
      <c r="AL9" s="1190">
        <v>0.4</v>
      </c>
      <c r="AM9" s="1190">
        <v>0.4</v>
      </c>
      <c r="AN9" s="1190">
        <v>0.4</v>
      </c>
      <c r="AO9" s="1190">
        <v>0.4</v>
      </c>
      <c r="AP9" s="1190">
        <v>0.4</v>
      </c>
      <c r="AQ9" s="1190">
        <v>0.4</v>
      </c>
      <c r="AR9" s="1190">
        <v>0.3</v>
      </c>
      <c r="AS9" s="1192">
        <v>0.4</v>
      </c>
      <c r="AT9" s="1193"/>
      <c r="AU9" s="1192"/>
      <c r="AV9" s="1192"/>
      <c r="AX9" s="1186" t="s">
        <v>204</v>
      </c>
      <c r="AY9" s="1191" t="s">
        <v>792</v>
      </c>
      <c r="AZ9" s="1189" t="s">
        <v>205</v>
      </c>
      <c r="BA9" s="1192">
        <v>0.4</v>
      </c>
      <c r="BB9" s="1192">
        <v>0.4</v>
      </c>
      <c r="BC9" s="1192">
        <v>0.4</v>
      </c>
      <c r="BD9" s="1192">
        <v>0.4</v>
      </c>
      <c r="BE9" s="1192">
        <v>0.4</v>
      </c>
      <c r="BF9" s="1192">
        <v>0.4</v>
      </c>
      <c r="BG9" s="1192">
        <v>0.4</v>
      </c>
      <c r="BH9" s="1192">
        <v>0.4</v>
      </c>
      <c r="BI9" s="1192">
        <v>0.3</v>
      </c>
      <c r="BJ9" s="1192">
        <v>0.4</v>
      </c>
      <c r="BK9" s="1193"/>
      <c r="BL9" s="1192"/>
      <c r="BM9" s="1192"/>
      <c r="BO9" s="1186" t="s">
        <v>204</v>
      </c>
      <c r="BP9" s="1191" t="s">
        <v>792</v>
      </c>
      <c r="BQ9" s="1189" t="s">
        <v>205</v>
      </c>
      <c r="BR9" s="1192">
        <v>0.4</v>
      </c>
      <c r="BS9" s="1192">
        <v>0.4</v>
      </c>
      <c r="BT9" s="1192">
        <v>0.4</v>
      </c>
      <c r="BU9" s="1192">
        <v>0.4</v>
      </c>
      <c r="BV9" s="1192">
        <v>0.4</v>
      </c>
      <c r="BW9" s="1192">
        <v>0.4</v>
      </c>
      <c r="BX9" s="1192">
        <v>0.4</v>
      </c>
      <c r="BY9" s="1192">
        <v>0.4</v>
      </c>
      <c r="BZ9" s="1192">
        <v>0.3</v>
      </c>
      <c r="CA9" s="1192">
        <v>0.4</v>
      </c>
      <c r="CB9" s="1193"/>
      <c r="CC9" s="1192"/>
      <c r="CD9" s="1192"/>
      <c r="CE9" s="1467"/>
      <c r="CG9" s="1186" t="s">
        <v>204</v>
      </c>
      <c r="CH9" s="1191" t="s">
        <v>792</v>
      </c>
      <c r="CI9" s="1189" t="s">
        <v>205</v>
      </c>
      <c r="CJ9" s="1674">
        <v>0.5</v>
      </c>
      <c r="CK9" s="1674">
        <v>0.5</v>
      </c>
      <c r="CL9" s="1674">
        <v>0.5</v>
      </c>
      <c r="CM9" s="1674">
        <v>0.5</v>
      </c>
      <c r="CN9" s="1674">
        <v>0.5</v>
      </c>
      <c r="CO9" s="1674">
        <v>0.5</v>
      </c>
      <c r="CP9" s="1674">
        <v>0.5</v>
      </c>
      <c r="CQ9" s="1674">
        <v>0.5</v>
      </c>
      <c r="CR9" s="1674">
        <v>0.35</v>
      </c>
      <c r="CS9" s="1674">
        <v>0.5</v>
      </c>
      <c r="CT9" s="1685">
        <f t="shared" ref="CT9:CT75" si="13">CB9</f>
        <v>0</v>
      </c>
      <c r="CU9" s="1684">
        <f t="shared" ref="CU9:CU75" si="14">CC9</f>
        <v>0</v>
      </c>
      <c r="CV9" s="1684">
        <f t="shared" ref="CV9:CV75" si="15">CD9</f>
        <v>0</v>
      </c>
      <c r="CX9" s="1186" t="s">
        <v>204</v>
      </c>
      <c r="CY9" s="1191" t="s">
        <v>792</v>
      </c>
      <c r="CZ9" s="1189" t="s">
        <v>205</v>
      </c>
      <c r="DA9" s="1813">
        <v>0.5</v>
      </c>
      <c r="DB9" s="1674"/>
      <c r="DC9" s="1674"/>
      <c r="DD9" s="1674"/>
      <c r="DE9" s="1674"/>
      <c r="DF9" s="1674"/>
      <c r="DG9" s="1674"/>
      <c r="DH9" s="1674"/>
      <c r="DI9" s="1674"/>
      <c r="DJ9" s="1674"/>
      <c r="DK9" s="1675"/>
      <c r="DL9" s="1674"/>
      <c r="DM9" s="1674"/>
    </row>
    <row r="10" spans="2:117">
      <c r="B10" s="1186">
        <f t="shared" si="0"/>
        <v>1</v>
      </c>
      <c r="C10" s="1198" t="str">
        <f>R10</f>
        <v>音環境</v>
      </c>
      <c r="D10" s="1194">
        <f>IF(I$9=0,0,G10/I$9)</f>
        <v>0.15</v>
      </c>
      <c r="E10" s="1195">
        <f>IF(J$9=0,0,H10/J$9)</f>
        <v>0</v>
      </c>
      <c r="G10" s="1195">
        <f t="shared" si="2"/>
        <v>0.15</v>
      </c>
      <c r="H10" s="1195">
        <f t="shared" si="3"/>
        <v>0</v>
      </c>
      <c r="I10" s="1196">
        <f>G11+G14+G19</f>
        <v>1</v>
      </c>
      <c r="J10" s="1196">
        <f>H11+H14+H19</f>
        <v>0</v>
      </c>
      <c r="K10" s="1195">
        <f>IF(L10&gt;0,1,IF(スコア!Q10=0,0,1))</f>
        <v>1</v>
      </c>
      <c r="L10" s="1195">
        <f>IF(スコア!S10=0,0,1)</f>
        <v>0</v>
      </c>
      <c r="M10" s="1195">
        <f t="shared" si="4"/>
        <v>0.15</v>
      </c>
      <c r="N10" s="1195">
        <f t="shared" si="5"/>
        <v>0</v>
      </c>
      <c r="P10" s="1197">
        <f t="shared" si="6"/>
        <v>1</v>
      </c>
      <c r="Q10" s="1197" t="str">
        <f t="shared" si="7"/>
        <v xml:space="preserve"> Q1</v>
      </c>
      <c r="R10" s="1198" t="str">
        <f t="shared" si="8"/>
        <v>音環境</v>
      </c>
      <c r="S10" s="1744">
        <f t="shared" ref="S10:S63" si="16">IF($P$3=1,BA10,IF($P$3=2,BR10,IF($P$3=3,CJ10,IF($P$3=4,DA10,AJ10))))</f>
        <v>0.15</v>
      </c>
      <c r="T10" s="1744">
        <f t="shared" si="9"/>
        <v>0.15</v>
      </c>
      <c r="U10" s="1744">
        <f t="shared" si="9"/>
        <v>0.15</v>
      </c>
      <c r="V10" s="1744">
        <f t="shared" si="9"/>
        <v>0.15</v>
      </c>
      <c r="W10" s="1744">
        <f t="shared" si="9"/>
        <v>0.15</v>
      </c>
      <c r="X10" s="1744">
        <f t="shared" si="9"/>
        <v>0.15</v>
      </c>
      <c r="Y10" s="1744">
        <f t="shared" si="9"/>
        <v>0.15</v>
      </c>
      <c r="Z10" s="1745">
        <f t="shared" si="9"/>
        <v>0.15</v>
      </c>
      <c r="AA10" s="1744">
        <f t="shared" ref="AA10:AA62" si="17">IF($P$3=1,BI10,IF($P$3=2,BZ10,IF($P$3=3,CR10,IF($P$3=4,DI10,AR10))))</f>
        <v>0.15</v>
      </c>
      <c r="AB10" s="1744">
        <f t="shared" si="10"/>
        <v>0.15</v>
      </c>
      <c r="AC10" s="1746">
        <f t="shared" si="11"/>
        <v>0</v>
      </c>
      <c r="AD10" s="1744">
        <f t="shared" si="12"/>
        <v>0</v>
      </c>
      <c r="AE10" s="1744">
        <f t="shared" ref="AE10:AE63" si="18">IF($P$3=1,BM10,IF($P$3=2,CD10,IF($P$3=3,CV10,IF($P$3=4,DM10,AV10))))</f>
        <v>0</v>
      </c>
      <c r="AG10" s="1197">
        <v>1</v>
      </c>
      <c r="AH10" s="1201" t="s">
        <v>793</v>
      </c>
      <c r="AI10" s="1198" t="s">
        <v>783</v>
      </c>
      <c r="AJ10" s="1199">
        <v>0.15</v>
      </c>
      <c r="AK10" s="1199">
        <v>0.15</v>
      </c>
      <c r="AL10" s="1199">
        <v>0.15</v>
      </c>
      <c r="AM10" s="1199">
        <v>0.15</v>
      </c>
      <c r="AN10" s="1199">
        <v>0.15</v>
      </c>
      <c r="AO10" s="1199">
        <v>0.15</v>
      </c>
      <c r="AP10" s="1199">
        <v>0.15</v>
      </c>
      <c r="AQ10" s="1200">
        <v>0.23</v>
      </c>
      <c r="AR10" s="1199">
        <v>0.15</v>
      </c>
      <c r="AS10" s="1202">
        <v>0.15</v>
      </c>
      <c r="AT10" s="1203"/>
      <c r="AU10" s="1202"/>
      <c r="AV10" s="1202"/>
      <c r="AX10" s="1197">
        <v>1</v>
      </c>
      <c r="AY10" s="1201" t="s">
        <v>793</v>
      </c>
      <c r="AZ10" s="1198" t="s">
        <v>783</v>
      </c>
      <c r="BA10" s="1202">
        <v>0.15</v>
      </c>
      <c r="BB10" s="1202">
        <v>0.15</v>
      </c>
      <c r="BC10" s="1202">
        <v>0.15</v>
      </c>
      <c r="BD10" s="1202">
        <v>0.15</v>
      </c>
      <c r="BE10" s="1202">
        <v>0.15</v>
      </c>
      <c r="BF10" s="1202">
        <v>0.15</v>
      </c>
      <c r="BG10" s="1202">
        <v>0.15</v>
      </c>
      <c r="BH10" s="1204">
        <v>0.23</v>
      </c>
      <c r="BI10" s="1202">
        <v>0.15</v>
      </c>
      <c r="BJ10" s="1202">
        <v>0.15</v>
      </c>
      <c r="BK10" s="1203"/>
      <c r="BL10" s="1202"/>
      <c r="BM10" s="1202"/>
      <c r="BO10" s="1197">
        <v>1</v>
      </c>
      <c r="BP10" s="1201" t="s">
        <v>793</v>
      </c>
      <c r="BQ10" s="1198" t="s">
        <v>783</v>
      </c>
      <c r="BR10" s="1202">
        <v>0.15</v>
      </c>
      <c r="BS10" s="1202">
        <v>0.15</v>
      </c>
      <c r="BT10" s="1202">
        <v>0.15</v>
      </c>
      <c r="BU10" s="1202">
        <v>0.15</v>
      </c>
      <c r="BV10" s="1202">
        <v>0.15</v>
      </c>
      <c r="BW10" s="1202">
        <v>0.15</v>
      </c>
      <c r="BX10" s="1202">
        <v>0.15</v>
      </c>
      <c r="BY10" s="1566">
        <v>0.15</v>
      </c>
      <c r="BZ10" s="1202">
        <v>0.15</v>
      </c>
      <c r="CA10" s="1202">
        <v>0.15</v>
      </c>
      <c r="CB10" s="1203"/>
      <c r="CC10" s="1202"/>
      <c r="CD10" s="1202"/>
      <c r="CE10" s="1468"/>
      <c r="CG10" s="1197">
        <v>1</v>
      </c>
      <c r="CH10" s="1201" t="s">
        <v>793</v>
      </c>
      <c r="CI10" s="1198" t="s">
        <v>783</v>
      </c>
      <c r="CJ10" s="1686">
        <f t="shared" ref="CJ10:CJ76" si="19">BR10</f>
        <v>0.15</v>
      </c>
      <c r="CK10" s="1686">
        <f t="shared" ref="CK10:CK75" si="20">BS10</f>
        <v>0.15</v>
      </c>
      <c r="CL10" s="1686">
        <f t="shared" ref="CL10:CL75" si="21">BT10</f>
        <v>0.15</v>
      </c>
      <c r="CM10" s="1686">
        <f t="shared" ref="CM10:CM75" si="22">BU10</f>
        <v>0.15</v>
      </c>
      <c r="CN10" s="1686">
        <f t="shared" ref="CN10:CN75" si="23">BV10</f>
        <v>0.15</v>
      </c>
      <c r="CO10" s="1686">
        <f t="shared" ref="CO10:CO75" si="24">BW10</f>
        <v>0.15</v>
      </c>
      <c r="CP10" s="1686">
        <f t="shared" ref="CP10:CQ75" si="25">BX10</f>
        <v>0.15</v>
      </c>
      <c r="CQ10" s="1687">
        <f t="shared" ref="CQ10:CQ75" si="26">BY10</f>
        <v>0.15</v>
      </c>
      <c r="CR10" s="1686">
        <f t="shared" ref="CR10:CR75" si="27">BZ10</f>
        <v>0.15</v>
      </c>
      <c r="CS10" s="1686">
        <f t="shared" ref="CS10:CS75" si="28">CA10</f>
        <v>0.15</v>
      </c>
      <c r="CT10" s="1688">
        <f t="shared" si="13"/>
        <v>0</v>
      </c>
      <c r="CU10" s="1686">
        <f t="shared" si="14"/>
        <v>0</v>
      </c>
      <c r="CV10" s="1686">
        <f t="shared" si="15"/>
        <v>0</v>
      </c>
      <c r="CX10" s="1197">
        <v>1</v>
      </c>
      <c r="CY10" s="1201" t="s">
        <v>793</v>
      </c>
      <c r="CZ10" s="1198" t="s">
        <v>783</v>
      </c>
      <c r="DA10" s="1676">
        <f t="shared" ref="DA10:DA67" si="29">BR10</f>
        <v>0.15</v>
      </c>
      <c r="DB10" s="1676"/>
      <c r="DC10" s="1676"/>
      <c r="DD10" s="1676"/>
      <c r="DE10" s="1676"/>
      <c r="DF10" s="1676"/>
      <c r="DG10" s="1676"/>
      <c r="DH10" s="1793"/>
      <c r="DI10" s="1676"/>
      <c r="DJ10" s="1676"/>
      <c r="DK10" s="1677"/>
      <c r="DL10" s="1676"/>
      <c r="DM10" s="1676"/>
    </row>
    <row r="11" spans="2:117">
      <c r="B11" s="1186">
        <f t="shared" si="0"/>
        <v>1.1000000000000001</v>
      </c>
      <c r="C11" s="1208" t="str">
        <f t="shared" si="1"/>
        <v>室内騒音レベル</v>
      </c>
      <c r="D11" s="1205">
        <f>IF(I$10=0,0,G11/I$10)</f>
        <v>0.4</v>
      </c>
      <c r="E11" s="1205">
        <f>IF(J$10=0,0,H11/J$10)</f>
        <v>0</v>
      </c>
      <c r="G11" s="1206">
        <f>K11*M11</f>
        <v>0.4</v>
      </c>
      <c r="H11" s="1206">
        <f>L11*N11</f>
        <v>0</v>
      </c>
      <c r="I11" s="1196">
        <f>SUM(G12:G13)</f>
        <v>0</v>
      </c>
      <c r="J11" s="1196">
        <f>SUM(H12:H13)</f>
        <v>0</v>
      </c>
      <c r="K11" s="1206">
        <f>IF(スコア!Q11=0,0,1)</f>
        <v>1</v>
      </c>
      <c r="L11" s="1206">
        <f>IF(スコア!S11=0,0,1)</f>
        <v>1</v>
      </c>
      <c r="M11" s="1206">
        <f t="shared" si="4"/>
        <v>0.4</v>
      </c>
      <c r="N11" s="1206">
        <f t="shared" si="5"/>
        <v>0</v>
      </c>
      <c r="P11" s="1207">
        <f t="shared" si="6"/>
        <v>1.1000000000000001</v>
      </c>
      <c r="Q11" s="1207" t="str">
        <f t="shared" si="7"/>
        <v xml:space="preserve"> Q1 1</v>
      </c>
      <c r="R11" s="1208" t="str">
        <f t="shared" si="8"/>
        <v>室内騒音レベル</v>
      </c>
      <c r="S11" s="1747">
        <f t="shared" si="16"/>
        <v>0.4</v>
      </c>
      <c r="T11" s="1747">
        <f t="shared" si="9"/>
        <v>0.4</v>
      </c>
      <c r="U11" s="1747">
        <f t="shared" si="9"/>
        <v>0.4</v>
      </c>
      <c r="V11" s="1747">
        <f t="shared" si="9"/>
        <v>0.4</v>
      </c>
      <c r="W11" s="1747">
        <f t="shared" si="9"/>
        <v>0.4</v>
      </c>
      <c r="X11" s="1747">
        <f t="shared" si="9"/>
        <v>0.4</v>
      </c>
      <c r="Y11" s="1747">
        <f t="shared" si="9"/>
        <v>0.5</v>
      </c>
      <c r="Z11" s="1747">
        <f t="shared" si="9"/>
        <v>0.4</v>
      </c>
      <c r="AA11" s="1747">
        <f t="shared" si="17"/>
        <v>0.4</v>
      </c>
      <c r="AB11" s="1747">
        <f t="shared" si="10"/>
        <v>0.4</v>
      </c>
      <c r="AC11" s="1748">
        <f t="shared" si="11"/>
        <v>0.4</v>
      </c>
      <c r="AD11" s="1747">
        <f t="shared" si="12"/>
        <v>0.4</v>
      </c>
      <c r="AE11" s="1747">
        <f t="shared" si="18"/>
        <v>0.5</v>
      </c>
      <c r="AG11" s="1207">
        <v>1.1000000000000001</v>
      </c>
      <c r="AH11" s="1211" t="s">
        <v>794</v>
      </c>
      <c r="AI11" s="1208" t="s">
        <v>206</v>
      </c>
      <c r="AJ11" s="1212">
        <v>0.4</v>
      </c>
      <c r="AK11" s="1209">
        <v>0.4</v>
      </c>
      <c r="AL11" s="1209">
        <v>0.8</v>
      </c>
      <c r="AM11" s="1209">
        <v>0.4</v>
      </c>
      <c r="AN11" s="1212">
        <v>0.4</v>
      </c>
      <c r="AO11" s="1209">
        <v>0.8</v>
      </c>
      <c r="AP11" s="1209">
        <v>0.8</v>
      </c>
      <c r="AQ11" s="1212">
        <v>0.8</v>
      </c>
      <c r="AR11" s="1212">
        <v>0.5</v>
      </c>
      <c r="AS11" s="1213">
        <v>0.4</v>
      </c>
      <c r="AT11" s="1214">
        <v>0.5</v>
      </c>
      <c r="AU11" s="1213">
        <v>0.4</v>
      </c>
      <c r="AV11" s="1213">
        <v>0.4</v>
      </c>
      <c r="AX11" s="1207">
        <v>1.1000000000000001</v>
      </c>
      <c r="AY11" s="1211" t="s">
        <v>794</v>
      </c>
      <c r="AZ11" s="1208" t="s">
        <v>206</v>
      </c>
      <c r="BA11" s="1213"/>
      <c r="BB11" s="1213"/>
      <c r="BC11" s="1213"/>
      <c r="BD11" s="1213"/>
      <c r="BE11" s="1213"/>
      <c r="BF11" s="1213"/>
      <c r="BG11" s="1213"/>
      <c r="BH11" s="1215">
        <v>0.4</v>
      </c>
      <c r="BI11" s="1213"/>
      <c r="BJ11" s="1213"/>
      <c r="BK11" s="1214"/>
      <c r="BL11" s="1213"/>
      <c r="BM11" s="1213"/>
      <c r="BO11" s="1207">
        <v>1.1000000000000001</v>
      </c>
      <c r="BP11" s="1211" t="s">
        <v>794</v>
      </c>
      <c r="BQ11" s="1208" t="s">
        <v>2915</v>
      </c>
      <c r="BR11" s="1213">
        <v>0.4</v>
      </c>
      <c r="BS11" s="1213">
        <v>0.4</v>
      </c>
      <c r="BT11" s="1213">
        <v>0.4</v>
      </c>
      <c r="BU11" s="1213">
        <v>0.4</v>
      </c>
      <c r="BV11" s="1213">
        <v>0.4</v>
      </c>
      <c r="BW11" s="1213">
        <v>0.4</v>
      </c>
      <c r="BX11" s="1213">
        <v>0.5</v>
      </c>
      <c r="BY11" s="1567">
        <v>0.4</v>
      </c>
      <c r="BZ11" s="1213">
        <v>0.4</v>
      </c>
      <c r="CA11" s="1213">
        <v>0.4</v>
      </c>
      <c r="CB11" s="1213">
        <v>0.4</v>
      </c>
      <c r="CC11" s="1213">
        <v>0.4</v>
      </c>
      <c r="CD11" s="1213">
        <v>0.5</v>
      </c>
      <c r="CE11" s="1469"/>
      <c r="CG11" s="1207">
        <v>1.1000000000000001</v>
      </c>
      <c r="CH11" s="1211" t="s">
        <v>794</v>
      </c>
      <c r="CI11" s="1208" t="s">
        <v>797</v>
      </c>
      <c r="CJ11" s="1689">
        <v>0</v>
      </c>
      <c r="CK11" s="1689">
        <v>0</v>
      </c>
      <c r="CL11" s="1689">
        <v>0</v>
      </c>
      <c r="CM11" s="1689">
        <v>0</v>
      </c>
      <c r="CN11" s="1689">
        <v>0</v>
      </c>
      <c r="CO11" s="1689">
        <v>0</v>
      </c>
      <c r="CP11" s="1689">
        <v>0</v>
      </c>
      <c r="CQ11" s="1689">
        <v>0</v>
      </c>
      <c r="CR11" s="1689">
        <v>0</v>
      </c>
      <c r="CS11" s="1689">
        <v>0</v>
      </c>
      <c r="CT11" s="1689">
        <v>0</v>
      </c>
      <c r="CU11" s="1689">
        <v>0</v>
      </c>
      <c r="CV11" s="1689">
        <v>0</v>
      </c>
      <c r="CX11" s="1207">
        <v>1.1000000000000001</v>
      </c>
      <c r="CY11" s="1211" t="s">
        <v>794</v>
      </c>
      <c r="CZ11" s="1208" t="s">
        <v>797</v>
      </c>
      <c r="DA11" s="1814">
        <v>1</v>
      </c>
      <c r="DB11" s="1678"/>
      <c r="DC11" s="1678"/>
      <c r="DD11" s="1678"/>
      <c r="DE11" s="1678"/>
      <c r="DF11" s="1678"/>
      <c r="DG11" s="1678"/>
      <c r="DH11" s="1678"/>
      <c r="DI11" s="1678"/>
      <c r="DJ11" s="1678"/>
      <c r="DK11" s="1678"/>
      <c r="DL11" s="1678"/>
      <c r="DM11" s="1678"/>
    </row>
    <row r="12" spans="2:117" hidden="1">
      <c r="B12" s="1186" t="str">
        <f t="shared" si="0"/>
        <v>1.1.1</v>
      </c>
      <c r="C12" s="1208">
        <f t="shared" si="1"/>
        <v>0</v>
      </c>
      <c r="D12" s="1205">
        <f>IF(I$11=0,0,G12/I$11)</f>
        <v>0</v>
      </c>
      <c r="E12" s="1205">
        <f>IF(J$11=0,0,H12/J$11)</f>
        <v>0</v>
      </c>
      <c r="G12" s="1206">
        <f t="shared" si="2"/>
        <v>0</v>
      </c>
      <c r="H12" s="1206">
        <f t="shared" si="3"/>
        <v>0</v>
      </c>
      <c r="I12" s="1196"/>
      <c r="J12" s="1196"/>
      <c r="K12" s="1206">
        <f>IF(スコア!Q12=0,0,1)</f>
        <v>0</v>
      </c>
      <c r="L12" s="1206">
        <f>IF(スコア!S12=0,0,1)</f>
        <v>0</v>
      </c>
      <c r="M12" s="1206">
        <f t="shared" si="4"/>
        <v>0</v>
      </c>
      <c r="N12" s="1206">
        <f t="shared" si="5"/>
        <v>0</v>
      </c>
      <c r="P12" s="1207" t="str">
        <f t="shared" si="6"/>
        <v>1.1.1</v>
      </c>
      <c r="Q12" s="1207" t="str">
        <f t="shared" si="7"/>
        <v xml:space="preserve"> Q1 1.1</v>
      </c>
      <c r="R12" s="1208">
        <f t="shared" si="8"/>
        <v>0</v>
      </c>
      <c r="S12" s="1747">
        <f t="shared" si="16"/>
        <v>0</v>
      </c>
      <c r="T12" s="1747">
        <f t="shared" si="9"/>
        <v>0</v>
      </c>
      <c r="U12" s="1747">
        <f t="shared" si="9"/>
        <v>0</v>
      </c>
      <c r="V12" s="1747">
        <f t="shared" si="9"/>
        <v>0</v>
      </c>
      <c r="W12" s="1747">
        <f t="shared" si="9"/>
        <v>0</v>
      </c>
      <c r="X12" s="1747">
        <f t="shared" si="9"/>
        <v>0</v>
      </c>
      <c r="Y12" s="1747">
        <f t="shared" si="9"/>
        <v>0</v>
      </c>
      <c r="Z12" s="1747">
        <f t="shared" si="9"/>
        <v>0</v>
      </c>
      <c r="AA12" s="1747">
        <f t="shared" si="17"/>
        <v>0</v>
      </c>
      <c r="AB12" s="1747">
        <f t="shared" si="10"/>
        <v>0</v>
      </c>
      <c r="AC12" s="1748">
        <f t="shared" si="11"/>
        <v>0</v>
      </c>
      <c r="AD12" s="1747">
        <f t="shared" si="12"/>
        <v>0</v>
      </c>
      <c r="AE12" s="1747">
        <f t="shared" si="18"/>
        <v>0</v>
      </c>
      <c r="AG12" s="1207" t="s">
        <v>795</v>
      </c>
      <c r="AH12" s="1211" t="s">
        <v>796</v>
      </c>
      <c r="AI12" s="1208" t="s">
        <v>797</v>
      </c>
      <c r="AJ12" s="1209">
        <v>0.4</v>
      </c>
      <c r="AK12" s="1209">
        <v>1</v>
      </c>
      <c r="AL12" s="1209">
        <v>1</v>
      </c>
      <c r="AM12" s="1209">
        <v>1</v>
      </c>
      <c r="AN12" s="1209">
        <v>0.4</v>
      </c>
      <c r="AO12" s="1209">
        <v>1</v>
      </c>
      <c r="AP12" s="1209">
        <v>1</v>
      </c>
      <c r="AQ12" s="1209">
        <v>1</v>
      </c>
      <c r="AR12" s="1209">
        <v>0.4</v>
      </c>
      <c r="AS12" s="1213">
        <v>1</v>
      </c>
      <c r="AT12" s="1214">
        <v>0.4</v>
      </c>
      <c r="AU12" s="1213">
        <v>1</v>
      </c>
      <c r="AV12" s="1213">
        <v>1</v>
      </c>
      <c r="AX12" s="1207" t="s">
        <v>795</v>
      </c>
      <c r="AY12" s="1211" t="s">
        <v>796</v>
      </c>
      <c r="AZ12" s="1208" t="s">
        <v>797</v>
      </c>
      <c r="BA12" s="1213"/>
      <c r="BB12" s="1213"/>
      <c r="BC12" s="1213"/>
      <c r="BD12" s="1213"/>
      <c r="BE12" s="1213"/>
      <c r="BF12" s="1213"/>
      <c r="BG12" s="1213"/>
      <c r="BH12" s="1215">
        <v>1</v>
      </c>
      <c r="BI12" s="1213"/>
      <c r="BJ12" s="1213"/>
      <c r="BK12" s="1214"/>
      <c r="BL12" s="1213"/>
      <c r="BM12" s="1213"/>
      <c r="BO12" s="1207" t="s">
        <v>795</v>
      </c>
      <c r="BP12" s="1211" t="s">
        <v>796</v>
      </c>
      <c r="BQ12" s="1208"/>
      <c r="BR12" s="1213"/>
      <c r="BS12" s="1213"/>
      <c r="BT12" s="1213"/>
      <c r="BU12" s="1213"/>
      <c r="BV12" s="1213"/>
      <c r="BW12" s="1213"/>
      <c r="BX12" s="1213"/>
      <c r="BY12" s="1567"/>
      <c r="BZ12" s="1213"/>
      <c r="CA12" s="1213"/>
      <c r="CB12" s="1214"/>
      <c r="CC12" s="1213"/>
      <c r="CD12" s="1213"/>
      <c r="CE12" s="1469"/>
      <c r="CG12" s="1207" t="s">
        <v>795</v>
      </c>
      <c r="CH12" s="1211" t="s">
        <v>796</v>
      </c>
      <c r="CI12" s="1208"/>
      <c r="CJ12" s="1689"/>
      <c r="CK12" s="1689"/>
      <c r="CL12" s="1689"/>
      <c r="CM12" s="1689"/>
      <c r="CN12" s="1689"/>
      <c r="CO12" s="1689"/>
      <c r="CP12" s="1689"/>
      <c r="CQ12" s="1690"/>
      <c r="CR12" s="1689"/>
      <c r="CS12" s="1689"/>
      <c r="CT12" s="1691"/>
      <c r="CU12" s="1689"/>
      <c r="CV12" s="1689"/>
      <c r="CX12" s="1207" t="s">
        <v>795</v>
      </c>
      <c r="CY12" s="1211" t="s">
        <v>796</v>
      </c>
      <c r="CZ12" s="1208"/>
      <c r="DA12" s="1814">
        <f t="shared" si="29"/>
        <v>0</v>
      </c>
      <c r="DB12" s="1678"/>
      <c r="DC12" s="1678"/>
      <c r="DD12" s="1678"/>
      <c r="DE12" s="1678"/>
      <c r="DF12" s="1678"/>
      <c r="DG12" s="1678"/>
      <c r="DH12" s="1794"/>
      <c r="DI12" s="1678"/>
      <c r="DJ12" s="1678"/>
      <c r="DK12" s="1795"/>
      <c r="DL12" s="1678"/>
      <c r="DM12" s="1678"/>
    </row>
    <row r="13" spans="2:117" hidden="1">
      <c r="B13" s="1186" t="str">
        <f t="shared" si="0"/>
        <v>1.1.2</v>
      </c>
      <c r="C13" s="1208">
        <f t="shared" si="1"/>
        <v>0</v>
      </c>
      <c r="D13" s="1205">
        <f>IF(I$11=0,0,G13/I$11)</f>
        <v>0</v>
      </c>
      <c r="E13" s="1205">
        <f>IF(J$11=0,0,H13/J$11)</f>
        <v>0</v>
      </c>
      <c r="G13" s="1206">
        <f t="shared" si="2"/>
        <v>0</v>
      </c>
      <c r="H13" s="1206">
        <f t="shared" si="3"/>
        <v>0</v>
      </c>
      <c r="I13" s="1196"/>
      <c r="J13" s="1196"/>
      <c r="K13" s="1206">
        <f>IF(スコア!Q13=0,0,1)</f>
        <v>0</v>
      </c>
      <c r="L13" s="1206">
        <f>IF(スコア!S13=0,0,1)</f>
        <v>0</v>
      </c>
      <c r="M13" s="1206">
        <f t="shared" si="4"/>
        <v>0</v>
      </c>
      <c r="N13" s="1206">
        <f t="shared" si="5"/>
        <v>0</v>
      </c>
      <c r="P13" s="1207" t="str">
        <f t="shared" si="6"/>
        <v>1.1.2</v>
      </c>
      <c r="Q13" s="1207" t="str">
        <f t="shared" si="7"/>
        <v xml:space="preserve"> Q1 1.1</v>
      </c>
      <c r="R13" s="1208">
        <f t="shared" si="8"/>
        <v>0</v>
      </c>
      <c r="S13" s="1747">
        <f t="shared" si="16"/>
        <v>0</v>
      </c>
      <c r="T13" s="1747">
        <f t="shared" si="9"/>
        <v>0</v>
      </c>
      <c r="U13" s="1747">
        <f t="shared" si="9"/>
        <v>0</v>
      </c>
      <c r="V13" s="1747">
        <f t="shared" si="9"/>
        <v>0</v>
      </c>
      <c r="W13" s="1747">
        <f t="shared" si="9"/>
        <v>0</v>
      </c>
      <c r="X13" s="1747">
        <f t="shared" si="9"/>
        <v>0</v>
      </c>
      <c r="Y13" s="1747">
        <f t="shared" si="9"/>
        <v>0</v>
      </c>
      <c r="Z13" s="1747">
        <f t="shared" si="9"/>
        <v>0</v>
      </c>
      <c r="AA13" s="1747">
        <f t="shared" si="17"/>
        <v>0</v>
      </c>
      <c r="AB13" s="1747">
        <f t="shared" si="10"/>
        <v>0</v>
      </c>
      <c r="AC13" s="1748">
        <f t="shared" si="11"/>
        <v>0</v>
      </c>
      <c r="AD13" s="1747">
        <f t="shared" si="12"/>
        <v>0</v>
      </c>
      <c r="AE13" s="1747">
        <f t="shared" si="18"/>
        <v>0</v>
      </c>
      <c r="AG13" s="1207" t="s">
        <v>798</v>
      </c>
      <c r="AH13" s="1211" t="s">
        <v>796</v>
      </c>
      <c r="AI13" s="1208" t="s">
        <v>799</v>
      </c>
      <c r="AJ13" s="1209">
        <v>0.6</v>
      </c>
      <c r="AK13" s="1209"/>
      <c r="AL13" s="1209"/>
      <c r="AM13" s="1209"/>
      <c r="AN13" s="1209">
        <v>0.6</v>
      </c>
      <c r="AO13" s="1209"/>
      <c r="AP13" s="1209"/>
      <c r="AQ13" s="1209"/>
      <c r="AR13" s="1209">
        <v>0.6</v>
      </c>
      <c r="AS13" s="1213"/>
      <c r="AT13" s="1214">
        <v>0.6</v>
      </c>
      <c r="AU13" s="1213"/>
      <c r="AV13" s="1213"/>
      <c r="AX13" s="1207" t="s">
        <v>798</v>
      </c>
      <c r="AY13" s="1211" t="s">
        <v>796</v>
      </c>
      <c r="AZ13" s="1208" t="s">
        <v>799</v>
      </c>
      <c r="BA13" s="1213"/>
      <c r="BB13" s="1213"/>
      <c r="BC13" s="1213"/>
      <c r="BD13" s="1213"/>
      <c r="BE13" s="1213"/>
      <c r="BF13" s="1213"/>
      <c r="BG13" s="1213"/>
      <c r="BH13" s="1215"/>
      <c r="BI13" s="1213"/>
      <c r="BJ13" s="1213"/>
      <c r="BK13" s="1214"/>
      <c r="BL13" s="1213"/>
      <c r="BM13" s="1213"/>
      <c r="BO13" s="1207" t="s">
        <v>798</v>
      </c>
      <c r="BP13" s="1211" t="s">
        <v>796</v>
      </c>
      <c r="BQ13" s="1208"/>
      <c r="BR13" s="1213"/>
      <c r="BS13" s="1213"/>
      <c r="BT13" s="1213"/>
      <c r="BU13" s="1213"/>
      <c r="BV13" s="1213"/>
      <c r="BW13" s="1213"/>
      <c r="BX13" s="1213"/>
      <c r="BY13" s="1567"/>
      <c r="BZ13" s="1213"/>
      <c r="CA13" s="1213"/>
      <c r="CB13" s="1214"/>
      <c r="CC13" s="1213"/>
      <c r="CD13" s="1213"/>
      <c r="CE13" s="1469"/>
      <c r="CG13" s="1207" t="s">
        <v>798</v>
      </c>
      <c r="CH13" s="1211" t="s">
        <v>796</v>
      </c>
      <c r="CI13" s="1208"/>
      <c r="CJ13" s="1689"/>
      <c r="CK13" s="1689"/>
      <c r="CL13" s="1689"/>
      <c r="CM13" s="1689"/>
      <c r="CN13" s="1689"/>
      <c r="CO13" s="1689"/>
      <c r="CP13" s="1689"/>
      <c r="CQ13" s="1690"/>
      <c r="CR13" s="1689"/>
      <c r="CS13" s="1689"/>
      <c r="CT13" s="1691"/>
      <c r="CU13" s="1689"/>
      <c r="CV13" s="1689"/>
      <c r="CX13" s="1207" t="s">
        <v>798</v>
      </c>
      <c r="CY13" s="1211" t="s">
        <v>796</v>
      </c>
      <c r="CZ13" s="1208"/>
      <c r="DA13" s="1814">
        <f t="shared" si="29"/>
        <v>0</v>
      </c>
      <c r="DB13" s="1678"/>
      <c r="DC13" s="1678"/>
      <c r="DD13" s="1678"/>
      <c r="DE13" s="1678"/>
      <c r="DF13" s="1678"/>
      <c r="DG13" s="1678"/>
      <c r="DH13" s="1794"/>
      <c r="DI13" s="1678"/>
      <c r="DJ13" s="1678"/>
      <c r="DK13" s="1795"/>
      <c r="DL13" s="1678"/>
      <c r="DM13" s="1678"/>
    </row>
    <row r="14" spans="2:117">
      <c r="B14" s="1186">
        <f t="shared" si="0"/>
        <v>1.2</v>
      </c>
      <c r="C14" s="829" t="str">
        <f t="shared" si="1"/>
        <v>遮音</v>
      </c>
      <c r="D14" s="1205">
        <f>IF(I$10=0,0,G14/I$10)</f>
        <v>0.4</v>
      </c>
      <c r="E14" s="1205">
        <f>IF(J$10=0,0,H14/J$10)</f>
        <v>0</v>
      </c>
      <c r="G14" s="1206">
        <f t="shared" si="2"/>
        <v>0.4</v>
      </c>
      <c r="H14" s="1206">
        <f t="shared" si="3"/>
        <v>0</v>
      </c>
      <c r="I14" s="1196">
        <f>SUM(G15:G18)</f>
        <v>1</v>
      </c>
      <c r="J14" s="1196">
        <f>SUM(H15:H18)</f>
        <v>0</v>
      </c>
      <c r="K14" s="1206">
        <f>IF(スコア!Q14=0,0,1)</f>
        <v>1</v>
      </c>
      <c r="L14" s="1206">
        <f>IF(スコア!S14=0,0,1)</f>
        <v>0</v>
      </c>
      <c r="M14" s="1206">
        <f t="shared" si="4"/>
        <v>0.4</v>
      </c>
      <c r="N14" s="1206">
        <f t="shared" si="5"/>
        <v>0</v>
      </c>
      <c r="P14" s="1207">
        <f t="shared" si="6"/>
        <v>1.2</v>
      </c>
      <c r="Q14" s="1207" t="str">
        <f t="shared" si="7"/>
        <v xml:space="preserve"> Q1 1</v>
      </c>
      <c r="R14" s="1208" t="str">
        <f t="shared" si="8"/>
        <v>遮音</v>
      </c>
      <c r="S14" s="1747">
        <f t="shared" si="16"/>
        <v>0.4</v>
      </c>
      <c r="T14" s="1747">
        <f t="shared" si="9"/>
        <v>0.4</v>
      </c>
      <c r="U14" s="1747">
        <f t="shared" si="9"/>
        <v>0.4</v>
      </c>
      <c r="V14" s="1747">
        <f t="shared" si="9"/>
        <v>0.4</v>
      </c>
      <c r="W14" s="1747">
        <f t="shared" si="9"/>
        <v>0.4</v>
      </c>
      <c r="X14" s="1747">
        <f t="shared" si="9"/>
        <v>0.4</v>
      </c>
      <c r="Y14" s="1747">
        <f t="shared" si="9"/>
        <v>0.5</v>
      </c>
      <c r="Z14" s="1747">
        <f t="shared" si="9"/>
        <v>0.4</v>
      </c>
      <c r="AA14" s="1747">
        <f t="shared" si="17"/>
        <v>0.4</v>
      </c>
      <c r="AB14" s="1747">
        <f t="shared" si="10"/>
        <v>0.4</v>
      </c>
      <c r="AC14" s="1748">
        <f t="shared" si="11"/>
        <v>0.4</v>
      </c>
      <c r="AD14" s="1747">
        <f t="shared" si="12"/>
        <v>0.4</v>
      </c>
      <c r="AE14" s="1747">
        <f t="shared" si="18"/>
        <v>0.5</v>
      </c>
      <c r="AG14" s="1207">
        <v>1.2</v>
      </c>
      <c r="AH14" s="1211" t="s">
        <v>794</v>
      </c>
      <c r="AI14" s="829" t="s">
        <v>2401</v>
      </c>
      <c r="AJ14" s="1212">
        <v>0.4</v>
      </c>
      <c r="AK14" s="1209">
        <v>0.4</v>
      </c>
      <c r="AL14" s="1209"/>
      <c r="AM14" s="1209">
        <v>0.4</v>
      </c>
      <c r="AN14" s="1212">
        <v>0.4</v>
      </c>
      <c r="AO14" s="1209"/>
      <c r="AP14" s="1209"/>
      <c r="AQ14" s="1209"/>
      <c r="AR14" s="1212">
        <v>0.5</v>
      </c>
      <c r="AS14" s="1213">
        <v>0.4</v>
      </c>
      <c r="AT14" s="1214">
        <v>0.5</v>
      </c>
      <c r="AU14" s="1213">
        <v>0.4</v>
      </c>
      <c r="AV14" s="1216">
        <v>0.4</v>
      </c>
      <c r="AX14" s="1207">
        <v>1.2</v>
      </c>
      <c r="AY14" s="1211" t="s">
        <v>794</v>
      </c>
      <c r="AZ14" s="829" t="s">
        <v>2401</v>
      </c>
      <c r="BA14" s="1213">
        <v>0.7</v>
      </c>
      <c r="BB14" s="1213">
        <v>0.7</v>
      </c>
      <c r="BC14" s="1213">
        <v>0.7</v>
      </c>
      <c r="BD14" s="1213">
        <v>0.7</v>
      </c>
      <c r="BE14" s="1213">
        <v>0.7</v>
      </c>
      <c r="BF14" s="1213">
        <v>0.7</v>
      </c>
      <c r="BG14" s="1213">
        <v>1</v>
      </c>
      <c r="BH14" s="1215">
        <v>0.4</v>
      </c>
      <c r="BI14" s="1213">
        <v>0.7</v>
      </c>
      <c r="BJ14" s="1213">
        <v>0.7</v>
      </c>
      <c r="BK14" s="1214">
        <v>0.7</v>
      </c>
      <c r="BL14" s="1213">
        <v>0.7</v>
      </c>
      <c r="BM14" s="1213">
        <v>1</v>
      </c>
      <c r="BO14" s="1207">
        <v>1.2</v>
      </c>
      <c r="BP14" s="1211" t="s">
        <v>794</v>
      </c>
      <c r="BQ14" s="829" t="s">
        <v>2401</v>
      </c>
      <c r="BR14" s="1213">
        <v>0.4</v>
      </c>
      <c r="BS14" s="1213">
        <v>0.4</v>
      </c>
      <c r="BT14" s="1213">
        <v>0.4</v>
      </c>
      <c r="BU14" s="1213">
        <v>0.4</v>
      </c>
      <c r="BV14" s="1213">
        <v>0.4</v>
      </c>
      <c r="BW14" s="1213">
        <v>0.4</v>
      </c>
      <c r="BX14" s="1213">
        <v>0.5</v>
      </c>
      <c r="BY14" s="1567">
        <v>0.4</v>
      </c>
      <c r="BZ14" s="1213">
        <v>0.4</v>
      </c>
      <c r="CA14" s="1213">
        <v>0.4</v>
      </c>
      <c r="CB14" s="1213">
        <v>0.4</v>
      </c>
      <c r="CC14" s="1213">
        <v>0.4</v>
      </c>
      <c r="CD14" s="1213">
        <v>0.5</v>
      </c>
      <c r="CE14" s="1469"/>
      <c r="CG14" s="1207">
        <v>1.2</v>
      </c>
      <c r="CH14" s="1211" t="s">
        <v>794</v>
      </c>
      <c r="CI14" s="829" t="s">
        <v>2401</v>
      </c>
      <c r="CJ14" s="1678">
        <v>0.67</v>
      </c>
      <c r="CK14" s="1678">
        <v>0.67</v>
      </c>
      <c r="CL14" s="1678">
        <v>0.67</v>
      </c>
      <c r="CM14" s="1678">
        <v>0.67</v>
      </c>
      <c r="CN14" s="1678">
        <v>0.67</v>
      </c>
      <c r="CO14" s="1678">
        <v>0.67</v>
      </c>
      <c r="CP14" s="1678">
        <v>1</v>
      </c>
      <c r="CQ14" s="1678">
        <v>0.67</v>
      </c>
      <c r="CR14" s="1678">
        <v>0.67</v>
      </c>
      <c r="CS14" s="1678">
        <v>0.67</v>
      </c>
      <c r="CT14" s="1678">
        <v>0.67</v>
      </c>
      <c r="CU14" s="1678">
        <v>0.67</v>
      </c>
      <c r="CV14" s="1678">
        <v>1</v>
      </c>
      <c r="CX14" s="1207">
        <v>1.2</v>
      </c>
      <c r="CY14" s="1211" t="s">
        <v>794</v>
      </c>
      <c r="CZ14" s="829" t="s">
        <v>2401</v>
      </c>
      <c r="DA14" s="1814">
        <v>0</v>
      </c>
      <c r="DB14" s="1678"/>
      <c r="DC14" s="1678"/>
      <c r="DD14" s="1678"/>
      <c r="DE14" s="1678"/>
      <c r="DF14" s="1678"/>
      <c r="DG14" s="1678"/>
      <c r="DH14" s="1678"/>
      <c r="DI14" s="1678"/>
      <c r="DJ14" s="1678"/>
      <c r="DK14" s="1678"/>
      <c r="DL14" s="1678"/>
      <c r="DM14" s="1678"/>
    </row>
    <row r="15" spans="2:117">
      <c r="B15" s="1186" t="str">
        <f t="shared" si="0"/>
        <v>1.2.1</v>
      </c>
      <c r="C15" s="829" t="str">
        <f t="shared" si="1"/>
        <v>開口部遮音性能</v>
      </c>
      <c r="D15" s="1205">
        <f>IF(I$14=0,0,G15/I$14)</f>
        <v>0.6</v>
      </c>
      <c r="E15" s="1205">
        <f>IF(J$14=0,0,H15/J$14)</f>
        <v>0</v>
      </c>
      <c r="G15" s="1206">
        <f t="shared" si="2"/>
        <v>0.6</v>
      </c>
      <c r="H15" s="1206">
        <f t="shared" si="3"/>
        <v>0</v>
      </c>
      <c r="I15" s="1196"/>
      <c r="J15" s="1196"/>
      <c r="K15" s="1206">
        <f>IF(スコア!Q15=0,0,1)</f>
        <v>1</v>
      </c>
      <c r="L15" s="1206">
        <f>IF(スコア!S15=0,0,1)</f>
        <v>1</v>
      </c>
      <c r="M15" s="1206">
        <f t="shared" si="4"/>
        <v>0.6</v>
      </c>
      <c r="N15" s="1206">
        <f t="shared" si="5"/>
        <v>0</v>
      </c>
      <c r="P15" s="1207" t="str">
        <f t="shared" si="6"/>
        <v>1.2.1</v>
      </c>
      <c r="Q15" s="1207" t="str">
        <f t="shared" si="7"/>
        <v xml:space="preserve"> Q1 1.2</v>
      </c>
      <c r="R15" s="1208" t="str">
        <f t="shared" si="8"/>
        <v>開口部遮音性能</v>
      </c>
      <c r="S15" s="1747">
        <f t="shared" si="16"/>
        <v>0.6</v>
      </c>
      <c r="T15" s="1747">
        <f t="shared" si="9"/>
        <v>0.3</v>
      </c>
      <c r="U15" s="1747">
        <f t="shared" si="9"/>
        <v>1</v>
      </c>
      <c r="V15" s="1747">
        <f t="shared" si="9"/>
        <v>0.6</v>
      </c>
      <c r="W15" s="1747">
        <f t="shared" si="9"/>
        <v>0.4</v>
      </c>
      <c r="X15" s="1747">
        <f t="shared" si="9"/>
        <v>1</v>
      </c>
      <c r="Y15" s="1747">
        <f t="shared" si="9"/>
        <v>1</v>
      </c>
      <c r="Z15" s="1749">
        <f t="shared" si="9"/>
        <v>1</v>
      </c>
      <c r="AA15" s="1747">
        <f t="shared" si="17"/>
        <v>0.6</v>
      </c>
      <c r="AB15" s="1747">
        <f t="shared" si="10"/>
        <v>0.3</v>
      </c>
      <c r="AC15" s="1748">
        <f t="shared" si="11"/>
        <v>0.3</v>
      </c>
      <c r="AD15" s="1747">
        <f t="shared" si="12"/>
        <v>0.3</v>
      </c>
      <c r="AE15" s="1747">
        <f t="shared" si="18"/>
        <v>0.3</v>
      </c>
      <c r="AG15" s="1207" t="s">
        <v>207</v>
      </c>
      <c r="AH15" s="1211" t="s">
        <v>800</v>
      </c>
      <c r="AI15" s="829" t="s">
        <v>208</v>
      </c>
      <c r="AJ15" s="1218"/>
      <c r="AK15" s="1218"/>
      <c r="AL15" s="1218"/>
      <c r="AM15" s="1218"/>
      <c r="AN15" s="1218"/>
      <c r="AO15" s="1218"/>
      <c r="AP15" s="1218"/>
      <c r="AQ15" s="1218"/>
      <c r="AR15" s="1218"/>
      <c r="AS15" s="1213"/>
      <c r="AT15" s="1214"/>
      <c r="AU15" s="1213"/>
      <c r="AV15" s="1213"/>
      <c r="AX15" s="1207" t="s">
        <v>207</v>
      </c>
      <c r="AY15" s="1211" t="s">
        <v>800</v>
      </c>
      <c r="AZ15" s="829" t="s">
        <v>208</v>
      </c>
      <c r="BA15" s="1213">
        <v>0.6</v>
      </c>
      <c r="BB15" s="1213">
        <v>0.4</v>
      </c>
      <c r="BC15" s="1213">
        <v>1</v>
      </c>
      <c r="BD15" s="1213">
        <v>0.6</v>
      </c>
      <c r="BE15" s="1213">
        <v>0.4</v>
      </c>
      <c r="BF15" s="1213">
        <v>1</v>
      </c>
      <c r="BG15" s="1213">
        <v>1</v>
      </c>
      <c r="BH15" s="1215">
        <v>1</v>
      </c>
      <c r="BI15" s="1213">
        <v>0.6</v>
      </c>
      <c r="BJ15" s="1213">
        <v>0.4</v>
      </c>
      <c r="BK15" s="1214">
        <v>0.3</v>
      </c>
      <c r="BL15" s="1213">
        <v>0.3</v>
      </c>
      <c r="BM15" s="1213">
        <v>0.3</v>
      </c>
      <c r="BO15" s="1207" t="s">
        <v>207</v>
      </c>
      <c r="BP15" s="1211" t="s">
        <v>800</v>
      </c>
      <c r="BQ15" s="829" t="s">
        <v>208</v>
      </c>
      <c r="BR15" s="1213">
        <v>0.6</v>
      </c>
      <c r="BS15" s="1213">
        <v>0.3</v>
      </c>
      <c r="BT15" s="1213">
        <v>1</v>
      </c>
      <c r="BU15" s="1213">
        <v>0.6</v>
      </c>
      <c r="BV15" s="1213">
        <v>0.4</v>
      </c>
      <c r="BW15" s="1213">
        <v>1</v>
      </c>
      <c r="BX15" s="1213">
        <v>1</v>
      </c>
      <c r="BY15" s="1568">
        <v>1</v>
      </c>
      <c r="BZ15" s="1213">
        <v>0.6</v>
      </c>
      <c r="CA15" s="1213">
        <v>0.3</v>
      </c>
      <c r="CB15" s="1213">
        <v>0.3</v>
      </c>
      <c r="CC15" s="1213">
        <v>0.3</v>
      </c>
      <c r="CD15" s="1213">
        <v>0.3</v>
      </c>
      <c r="CE15" s="1469"/>
      <c r="CG15" s="1207" t="s">
        <v>207</v>
      </c>
      <c r="CH15" s="1211" t="s">
        <v>800</v>
      </c>
      <c r="CI15" s="829" t="s">
        <v>208</v>
      </c>
      <c r="CJ15" s="1689">
        <f t="shared" si="19"/>
        <v>0.6</v>
      </c>
      <c r="CK15" s="1689">
        <f t="shared" si="20"/>
        <v>0.3</v>
      </c>
      <c r="CL15" s="1689">
        <f t="shared" si="21"/>
        <v>1</v>
      </c>
      <c r="CM15" s="1689">
        <f t="shared" si="22"/>
        <v>0.6</v>
      </c>
      <c r="CN15" s="1689">
        <f t="shared" si="23"/>
        <v>0.4</v>
      </c>
      <c r="CO15" s="1689">
        <f t="shared" si="24"/>
        <v>1</v>
      </c>
      <c r="CP15" s="1689">
        <f t="shared" si="25"/>
        <v>1</v>
      </c>
      <c r="CQ15" s="1690">
        <f t="shared" si="26"/>
        <v>1</v>
      </c>
      <c r="CR15" s="1689">
        <f t="shared" si="27"/>
        <v>0.6</v>
      </c>
      <c r="CS15" s="1689">
        <f t="shared" si="28"/>
        <v>0.3</v>
      </c>
      <c r="CT15" s="1689">
        <f t="shared" si="13"/>
        <v>0.3</v>
      </c>
      <c r="CU15" s="1689">
        <f t="shared" si="14"/>
        <v>0.3</v>
      </c>
      <c r="CV15" s="1689">
        <f t="shared" si="15"/>
        <v>0.3</v>
      </c>
      <c r="CX15" s="1207" t="s">
        <v>207</v>
      </c>
      <c r="CY15" s="1211" t="s">
        <v>800</v>
      </c>
      <c r="CZ15" s="829" t="s">
        <v>208</v>
      </c>
      <c r="DA15" s="1814">
        <v>0</v>
      </c>
      <c r="DB15" s="1678"/>
      <c r="DC15" s="1678"/>
      <c r="DD15" s="1678"/>
      <c r="DE15" s="1678"/>
      <c r="DF15" s="1678"/>
      <c r="DG15" s="1678"/>
      <c r="DH15" s="1794"/>
      <c r="DI15" s="1678"/>
      <c r="DJ15" s="1678"/>
      <c r="DK15" s="1678"/>
      <c r="DL15" s="1678"/>
      <c r="DM15" s="1678"/>
    </row>
    <row r="16" spans="2:117">
      <c r="B16" s="1186" t="str">
        <f t="shared" si="0"/>
        <v>1.2.2</v>
      </c>
      <c r="C16" s="829" t="str">
        <f t="shared" si="1"/>
        <v>界壁遮音性能</v>
      </c>
      <c r="D16" s="1205">
        <f t="shared" ref="D16:E18" si="30">IF(I$14=0,0,G16/I$14)</f>
        <v>0.4</v>
      </c>
      <c r="E16" s="1205">
        <f t="shared" si="30"/>
        <v>0</v>
      </c>
      <c r="G16" s="1206">
        <f t="shared" si="2"/>
        <v>0.4</v>
      </c>
      <c r="H16" s="1206">
        <f t="shared" si="3"/>
        <v>0</v>
      </c>
      <c r="I16" s="1206"/>
      <c r="J16" s="1206"/>
      <c r="K16" s="1206">
        <f>IF(スコア!Q16=0,0,1)</f>
        <v>1</v>
      </c>
      <c r="L16" s="1206">
        <f>IF(スコア!S16=0,0,1)</f>
        <v>1</v>
      </c>
      <c r="M16" s="1206">
        <f t="shared" si="4"/>
        <v>0.4</v>
      </c>
      <c r="N16" s="1206">
        <f t="shared" si="5"/>
        <v>0</v>
      </c>
      <c r="P16" s="1207" t="str">
        <f t="shared" si="6"/>
        <v>1.2.2</v>
      </c>
      <c r="Q16" s="1207" t="str">
        <f t="shared" si="7"/>
        <v xml:space="preserve"> Q1 1.2</v>
      </c>
      <c r="R16" s="1208" t="str">
        <f t="shared" si="8"/>
        <v>界壁遮音性能</v>
      </c>
      <c r="S16" s="1747">
        <f t="shared" si="16"/>
        <v>0.4</v>
      </c>
      <c r="T16" s="1747">
        <f t="shared" si="9"/>
        <v>0.3</v>
      </c>
      <c r="U16" s="1747">
        <f t="shared" si="9"/>
        <v>0</v>
      </c>
      <c r="V16" s="1747">
        <f t="shared" si="9"/>
        <v>0.4</v>
      </c>
      <c r="W16" s="1747">
        <f t="shared" si="9"/>
        <v>0.6</v>
      </c>
      <c r="X16" s="1747">
        <f t="shared" si="9"/>
        <v>0</v>
      </c>
      <c r="Y16" s="1747">
        <f t="shared" si="9"/>
        <v>0</v>
      </c>
      <c r="Z16" s="1749">
        <f t="shared" si="9"/>
        <v>0</v>
      </c>
      <c r="AA16" s="1747">
        <f t="shared" si="17"/>
        <v>0.4</v>
      </c>
      <c r="AB16" s="1747">
        <f t="shared" si="10"/>
        <v>0.3</v>
      </c>
      <c r="AC16" s="1748">
        <f t="shared" si="11"/>
        <v>0.3</v>
      </c>
      <c r="AD16" s="1747">
        <f t="shared" si="12"/>
        <v>0.3</v>
      </c>
      <c r="AE16" s="1747">
        <f t="shared" si="18"/>
        <v>0.3</v>
      </c>
      <c r="AG16" s="1207" t="s">
        <v>209</v>
      </c>
      <c r="AH16" s="1211" t="s">
        <v>800</v>
      </c>
      <c r="AI16" s="829" t="s">
        <v>602</v>
      </c>
      <c r="AJ16" s="1219">
        <v>1</v>
      </c>
      <c r="AK16" s="1213">
        <v>0.4</v>
      </c>
      <c r="AL16" s="1213"/>
      <c r="AM16" s="1213">
        <v>1</v>
      </c>
      <c r="AN16" s="1219">
        <v>0.4</v>
      </c>
      <c r="AO16" s="1213"/>
      <c r="AP16" s="1213"/>
      <c r="AQ16" s="1220"/>
      <c r="AR16" s="1219">
        <v>1</v>
      </c>
      <c r="AS16" s="1213">
        <v>0.4</v>
      </c>
      <c r="AT16" s="1214">
        <v>1</v>
      </c>
      <c r="AU16" s="1213">
        <v>0.4</v>
      </c>
      <c r="AV16" s="1213">
        <v>0.4</v>
      </c>
      <c r="AX16" s="1207" t="s">
        <v>209</v>
      </c>
      <c r="AY16" s="1211" t="s">
        <v>800</v>
      </c>
      <c r="AZ16" s="829" t="s">
        <v>602</v>
      </c>
      <c r="BA16" s="1213">
        <v>0.4</v>
      </c>
      <c r="BB16" s="1213">
        <v>0.3</v>
      </c>
      <c r="BC16" s="1213"/>
      <c r="BD16" s="1213">
        <v>0.4</v>
      </c>
      <c r="BE16" s="1213">
        <v>0.6</v>
      </c>
      <c r="BF16" s="1213"/>
      <c r="BG16" s="1213"/>
      <c r="BH16" s="1215"/>
      <c r="BI16" s="1213">
        <v>0.4</v>
      </c>
      <c r="BJ16" s="1213">
        <v>0.3</v>
      </c>
      <c r="BK16" s="1214">
        <v>0.3</v>
      </c>
      <c r="BL16" s="1213">
        <v>0.3</v>
      </c>
      <c r="BM16" s="1213">
        <v>0.3</v>
      </c>
      <c r="BO16" s="1207" t="s">
        <v>209</v>
      </c>
      <c r="BP16" s="1211" t="s">
        <v>800</v>
      </c>
      <c r="BQ16" s="829" t="s">
        <v>602</v>
      </c>
      <c r="BR16" s="1213">
        <v>0.4</v>
      </c>
      <c r="BS16" s="1213">
        <v>0.3</v>
      </c>
      <c r="BT16" s="1213"/>
      <c r="BU16" s="1213">
        <v>0.4</v>
      </c>
      <c r="BV16" s="1213">
        <v>0.6</v>
      </c>
      <c r="BW16" s="1213"/>
      <c r="BX16" s="1213"/>
      <c r="BY16" s="1567"/>
      <c r="BZ16" s="1213">
        <v>0.4</v>
      </c>
      <c r="CA16" s="1213">
        <v>0.3</v>
      </c>
      <c r="CB16" s="1213">
        <v>0.3</v>
      </c>
      <c r="CC16" s="1213">
        <v>0.3</v>
      </c>
      <c r="CD16" s="1213">
        <v>0.3</v>
      </c>
      <c r="CE16" s="1469"/>
      <c r="CG16" s="1207" t="s">
        <v>209</v>
      </c>
      <c r="CH16" s="1211" t="s">
        <v>800</v>
      </c>
      <c r="CI16" s="829" t="s">
        <v>602</v>
      </c>
      <c r="CJ16" s="1689">
        <f t="shared" si="19"/>
        <v>0.4</v>
      </c>
      <c r="CK16" s="1689">
        <f t="shared" si="20"/>
        <v>0.3</v>
      </c>
      <c r="CL16" s="1689">
        <f t="shared" si="21"/>
        <v>0</v>
      </c>
      <c r="CM16" s="1689">
        <f t="shared" si="22"/>
        <v>0.4</v>
      </c>
      <c r="CN16" s="1689">
        <f t="shared" si="23"/>
        <v>0.6</v>
      </c>
      <c r="CO16" s="1689">
        <f t="shared" si="24"/>
        <v>0</v>
      </c>
      <c r="CP16" s="1689">
        <f t="shared" si="25"/>
        <v>0</v>
      </c>
      <c r="CQ16" s="1690">
        <f t="shared" si="26"/>
        <v>0</v>
      </c>
      <c r="CR16" s="1689">
        <f t="shared" si="27"/>
        <v>0.4</v>
      </c>
      <c r="CS16" s="1689">
        <f t="shared" si="28"/>
        <v>0.3</v>
      </c>
      <c r="CT16" s="1689">
        <f t="shared" si="13"/>
        <v>0.3</v>
      </c>
      <c r="CU16" s="1689">
        <f t="shared" si="14"/>
        <v>0.3</v>
      </c>
      <c r="CV16" s="1689">
        <f t="shared" si="15"/>
        <v>0.3</v>
      </c>
      <c r="CX16" s="1207" t="s">
        <v>209</v>
      </c>
      <c r="CY16" s="1211" t="s">
        <v>800</v>
      </c>
      <c r="CZ16" s="829" t="s">
        <v>602</v>
      </c>
      <c r="DA16" s="1814">
        <v>0</v>
      </c>
      <c r="DB16" s="1678"/>
      <c r="DC16" s="1678"/>
      <c r="DD16" s="1678"/>
      <c r="DE16" s="1678"/>
      <c r="DF16" s="1678"/>
      <c r="DG16" s="1678"/>
      <c r="DH16" s="1794"/>
      <c r="DI16" s="1678"/>
      <c r="DJ16" s="1678"/>
      <c r="DK16" s="1678"/>
      <c r="DL16" s="1678"/>
      <c r="DM16" s="1678"/>
    </row>
    <row r="17" spans="2:117">
      <c r="B17" s="1186" t="str">
        <f t="shared" si="0"/>
        <v>1.2.3</v>
      </c>
      <c r="C17" s="829" t="str">
        <f t="shared" si="1"/>
        <v>界床遮音性能（軽量衝撃源）</v>
      </c>
      <c r="D17" s="1205">
        <f t="shared" si="30"/>
        <v>0</v>
      </c>
      <c r="E17" s="1205">
        <f t="shared" si="30"/>
        <v>0</v>
      </c>
      <c r="G17" s="1206">
        <f t="shared" si="2"/>
        <v>0</v>
      </c>
      <c r="H17" s="1206">
        <f t="shared" si="3"/>
        <v>0</v>
      </c>
      <c r="I17" s="1206"/>
      <c r="J17" s="1206"/>
      <c r="K17" s="1206">
        <f>IF(スコア!Q17=0,0,1)</f>
        <v>1</v>
      </c>
      <c r="L17" s="1206">
        <f>IF(スコア!S17=0,0,1)</f>
        <v>1</v>
      </c>
      <c r="M17" s="1206">
        <f t="shared" si="4"/>
        <v>0</v>
      </c>
      <c r="N17" s="1206">
        <f t="shared" si="5"/>
        <v>0</v>
      </c>
      <c r="P17" s="1207" t="str">
        <f t="shared" si="6"/>
        <v>1.2.3</v>
      </c>
      <c r="Q17" s="1207" t="str">
        <f t="shared" si="7"/>
        <v xml:space="preserve"> Q1 1.2</v>
      </c>
      <c r="R17" s="1208" t="str">
        <f t="shared" si="8"/>
        <v>界床遮音性能（軽量衝撃源）</v>
      </c>
      <c r="S17" s="1747">
        <f t="shared" si="16"/>
        <v>0</v>
      </c>
      <c r="T17" s="1747">
        <f t="shared" si="9"/>
        <v>0.2</v>
      </c>
      <c r="U17" s="1747">
        <f t="shared" si="9"/>
        <v>0</v>
      </c>
      <c r="V17" s="1747">
        <f t="shared" si="9"/>
        <v>0</v>
      </c>
      <c r="W17" s="1747">
        <f t="shared" si="9"/>
        <v>0</v>
      </c>
      <c r="X17" s="1747">
        <f t="shared" si="9"/>
        <v>0</v>
      </c>
      <c r="Y17" s="1747">
        <f t="shared" si="9"/>
        <v>0</v>
      </c>
      <c r="Z17" s="1749">
        <f t="shared" si="9"/>
        <v>0</v>
      </c>
      <c r="AA17" s="1747">
        <f t="shared" si="17"/>
        <v>0</v>
      </c>
      <c r="AB17" s="1747">
        <f t="shared" si="10"/>
        <v>0.2</v>
      </c>
      <c r="AC17" s="1748">
        <f t="shared" si="11"/>
        <v>0.2</v>
      </c>
      <c r="AD17" s="1747">
        <f t="shared" si="12"/>
        <v>0.2</v>
      </c>
      <c r="AE17" s="1747">
        <f t="shared" si="18"/>
        <v>0.2</v>
      </c>
      <c r="AG17" s="1207" t="s">
        <v>210</v>
      </c>
      <c r="AH17" s="1211" t="s">
        <v>800</v>
      </c>
      <c r="AI17" s="829" t="s">
        <v>603</v>
      </c>
      <c r="AJ17" s="1213"/>
      <c r="AK17" s="1213">
        <v>0.3</v>
      </c>
      <c r="AL17" s="1213"/>
      <c r="AM17" s="1213"/>
      <c r="AN17" s="1219">
        <v>0.6</v>
      </c>
      <c r="AO17" s="1213"/>
      <c r="AP17" s="1213"/>
      <c r="AQ17" s="1220"/>
      <c r="AR17" s="1213"/>
      <c r="AS17" s="1213">
        <v>0.3</v>
      </c>
      <c r="AT17" s="1214"/>
      <c r="AU17" s="1213">
        <v>0.3</v>
      </c>
      <c r="AV17" s="1213">
        <v>0.3</v>
      </c>
      <c r="AX17" s="1207" t="s">
        <v>210</v>
      </c>
      <c r="AY17" s="1211" t="s">
        <v>800</v>
      </c>
      <c r="AZ17" s="829" t="s">
        <v>603</v>
      </c>
      <c r="BA17" s="1213"/>
      <c r="BB17" s="1213">
        <v>0.15</v>
      </c>
      <c r="BC17" s="1213"/>
      <c r="BD17" s="1213"/>
      <c r="BE17" s="1213"/>
      <c r="BF17" s="1213"/>
      <c r="BG17" s="1213"/>
      <c r="BH17" s="1215"/>
      <c r="BI17" s="1213"/>
      <c r="BJ17" s="1213">
        <v>0.15</v>
      </c>
      <c r="BK17" s="1214">
        <v>0.2</v>
      </c>
      <c r="BL17" s="1213">
        <v>0.2</v>
      </c>
      <c r="BM17" s="1213">
        <v>0.2</v>
      </c>
      <c r="BO17" s="1207" t="s">
        <v>210</v>
      </c>
      <c r="BP17" s="1211" t="s">
        <v>800</v>
      </c>
      <c r="BQ17" s="829" t="s">
        <v>603</v>
      </c>
      <c r="BR17" s="1213"/>
      <c r="BS17" s="1213">
        <v>0.2</v>
      </c>
      <c r="BT17" s="1213"/>
      <c r="BU17" s="1213"/>
      <c r="BV17" s="1213"/>
      <c r="BW17" s="1213"/>
      <c r="BX17" s="1213"/>
      <c r="BY17" s="1569"/>
      <c r="BZ17" s="1213"/>
      <c r="CA17" s="1213">
        <v>0.2</v>
      </c>
      <c r="CB17" s="1214">
        <v>0.2</v>
      </c>
      <c r="CC17" s="1213">
        <v>0.2</v>
      </c>
      <c r="CD17" s="1213">
        <v>0.2</v>
      </c>
      <c r="CE17" s="1469"/>
      <c r="CG17" s="1207" t="s">
        <v>210</v>
      </c>
      <c r="CH17" s="1211" t="s">
        <v>800</v>
      </c>
      <c r="CI17" s="829" t="s">
        <v>603</v>
      </c>
      <c r="CJ17" s="1689">
        <f t="shared" si="19"/>
        <v>0</v>
      </c>
      <c r="CK17" s="1689">
        <f t="shared" si="20"/>
        <v>0.2</v>
      </c>
      <c r="CL17" s="1689">
        <f t="shared" si="21"/>
        <v>0</v>
      </c>
      <c r="CM17" s="1689">
        <f t="shared" si="22"/>
        <v>0</v>
      </c>
      <c r="CN17" s="1689">
        <f t="shared" si="23"/>
        <v>0</v>
      </c>
      <c r="CO17" s="1689">
        <f t="shared" si="24"/>
        <v>0</v>
      </c>
      <c r="CP17" s="1689">
        <f t="shared" si="25"/>
        <v>0</v>
      </c>
      <c r="CQ17" s="1690">
        <f t="shared" si="26"/>
        <v>0</v>
      </c>
      <c r="CR17" s="1689">
        <f t="shared" si="27"/>
        <v>0</v>
      </c>
      <c r="CS17" s="1689">
        <f t="shared" si="28"/>
        <v>0.2</v>
      </c>
      <c r="CT17" s="1691">
        <f t="shared" si="13"/>
        <v>0.2</v>
      </c>
      <c r="CU17" s="1689">
        <f t="shared" si="14"/>
        <v>0.2</v>
      </c>
      <c r="CV17" s="1689">
        <f t="shared" si="15"/>
        <v>0.2</v>
      </c>
      <c r="CX17" s="1207" t="s">
        <v>210</v>
      </c>
      <c r="CY17" s="1211" t="s">
        <v>800</v>
      </c>
      <c r="CZ17" s="829" t="s">
        <v>603</v>
      </c>
      <c r="DA17" s="1814">
        <v>0</v>
      </c>
      <c r="DB17" s="1678"/>
      <c r="DC17" s="1678"/>
      <c r="DD17" s="1678"/>
      <c r="DE17" s="1678"/>
      <c r="DF17" s="1678"/>
      <c r="DG17" s="1678"/>
      <c r="DH17" s="1794"/>
      <c r="DI17" s="1678"/>
      <c r="DJ17" s="1678"/>
      <c r="DK17" s="1795"/>
      <c r="DL17" s="1678"/>
      <c r="DM17" s="1678"/>
    </row>
    <row r="18" spans="2:117">
      <c r="B18" s="1186" t="str">
        <f t="shared" si="0"/>
        <v>1.2.4</v>
      </c>
      <c r="C18" s="829" t="str">
        <f t="shared" si="1"/>
        <v>界床遮音性能（重量衝撃源）</v>
      </c>
      <c r="D18" s="1205">
        <f t="shared" si="30"/>
        <v>0</v>
      </c>
      <c r="E18" s="1205">
        <f t="shared" si="30"/>
        <v>0</v>
      </c>
      <c r="G18" s="1206">
        <f t="shared" si="2"/>
        <v>0</v>
      </c>
      <c r="H18" s="1206">
        <f t="shared" si="3"/>
        <v>0</v>
      </c>
      <c r="I18" s="1206"/>
      <c r="J18" s="1206"/>
      <c r="K18" s="1206">
        <f>IF(スコア!Q18=0,0,1)</f>
        <v>1</v>
      </c>
      <c r="L18" s="1206">
        <f>IF(スコア!S18=0,0,1)</f>
        <v>1</v>
      </c>
      <c r="M18" s="1206">
        <f t="shared" si="4"/>
        <v>0</v>
      </c>
      <c r="N18" s="1206">
        <f t="shared" si="5"/>
        <v>0</v>
      </c>
      <c r="P18" s="1207" t="str">
        <f t="shared" si="6"/>
        <v>1.2.4</v>
      </c>
      <c r="Q18" s="1207" t="str">
        <f t="shared" si="7"/>
        <v xml:space="preserve"> Q1 1.2</v>
      </c>
      <c r="R18" s="1208" t="str">
        <f t="shared" si="8"/>
        <v>界床遮音性能（重量衝撃源）</v>
      </c>
      <c r="S18" s="1747">
        <f t="shared" si="16"/>
        <v>0</v>
      </c>
      <c r="T18" s="1747">
        <f t="shared" si="9"/>
        <v>0.2</v>
      </c>
      <c r="U18" s="1747">
        <f t="shared" si="9"/>
        <v>0</v>
      </c>
      <c r="V18" s="1747">
        <f t="shared" si="9"/>
        <v>0</v>
      </c>
      <c r="W18" s="1747">
        <f t="shared" si="9"/>
        <v>0</v>
      </c>
      <c r="X18" s="1747">
        <f t="shared" si="9"/>
        <v>0</v>
      </c>
      <c r="Y18" s="1747">
        <f t="shared" si="9"/>
        <v>0</v>
      </c>
      <c r="Z18" s="1749">
        <f t="shared" si="9"/>
        <v>0</v>
      </c>
      <c r="AA18" s="1747">
        <f t="shared" si="17"/>
        <v>0</v>
      </c>
      <c r="AB18" s="1747">
        <f t="shared" si="10"/>
        <v>0.2</v>
      </c>
      <c r="AC18" s="1748">
        <f t="shared" si="11"/>
        <v>0.2</v>
      </c>
      <c r="AD18" s="1747">
        <f t="shared" si="12"/>
        <v>0.2</v>
      </c>
      <c r="AE18" s="1747">
        <f t="shared" si="18"/>
        <v>0.2</v>
      </c>
      <c r="AG18" s="1207" t="s">
        <v>211</v>
      </c>
      <c r="AH18" s="1211" t="s">
        <v>800</v>
      </c>
      <c r="AI18" s="829" t="s">
        <v>604</v>
      </c>
      <c r="AJ18" s="1213"/>
      <c r="AK18" s="1213">
        <v>0.3</v>
      </c>
      <c r="AL18" s="1213"/>
      <c r="AM18" s="1213"/>
      <c r="AN18" s="1213"/>
      <c r="AO18" s="1213"/>
      <c r="AP18" s="1213"/>
      <c r="AQ18" s="1220"/>
      <c r="AR18" s="1213"/>
      <c r="AS18" s="1213">
        <v>0.3</v>
      </c>
      <c r="AT18" s="1214"/>
      <c r="AU18" s="1213">
        <v>0.3</v>
      </c>
      <c r="AV18" s="1213">
        <v>0.3</v>
      </c>
      <c r="AX18" s="1207" t="s">
        <v>211</v>
      </c>
      <c r="AY18" s="1211" t="s">
        <v>800</v>
      </c>
      <c r="AZ18" s="829" t="s">
        <v>604</v>
      </c>
      <c r="BA18" s="1213"/>
      <c r="BB18" s="1213">
        <v>0.15</v>
      </c>
      <c r="BC18" s="1213"/>
      <c r="BD18" s="1213"/>
      <c r="BE18" s="1213"/>
      <c r="BF18" s="1213"/>
      <c r="BG18" s="1213"/>
      <c r="BH18" s="1215"/>
      <c r="BI18" s="1213"/>
      <c r="BJ18" s="1213">
        <v>0.15</v>
      </c>
      <c r="BK18" s="1214">
        <v>0.2</v>
      </c>
      <c r="BL18" s="1213">
        <v>0.2</v>
      </c>
      <c r="BM18" s="1213">
        <v>0.2</v>
      </c>
      <c r="BO18" s="1207" t="s">
        <v>211</v>
      </c>
      <c r="BP18" s="1211" t="s">
        <v>800</v>
      </c>
      <c r="BQ18" s="829" t="s">
        <v>604</v>
      </c>
      <c r="BR18" s="1213"/>
      <c r="BS18" s="1213">
        <v>0.2</v>
      </c>
      <c r="BT18" s="1213"/>
      <c r="BU18" s="1213"/>
      <c r="BV18" s="1213"/>
      <c r="BW18" s="1213"/>
      <c r="BX18" s="1213"/>
      <c r="BY18" s="1569"/>
      <c r="BZ18" s="1213"/>
      <c r="CA18" s="1213">
        <v>0.2</v>
      </c>
      <c r="CB18" s="1214">
        <v>0.2</v>
      </c>
      <c r="CC18" s="1213">
        <v>0.2</v>
      </c>
      <c r="CD18" s="1213">
        <v>0.2</v>
      </c>
      <c r="CE18" s="1469"/>
      <c r="CG18" s="1207" t="s">
        <v>211</v>
      </c>
      <c r="CH18" s="1211" t="s">
        <v>800</v>
      </c>
      <c r="CI18" s="829" t="s">
        <v>604</v>
      </c>
      <c r="CJ18" s="1689">
        <f t="shared" si="19"/>
        <v>0</v>
      </c>
      <c r="CK18" s="1689">
        <f t="shared" si="20"/>
        <v>0.2</v>
      </c>
      <c r="CL18" s="1689">
        <f t="shared" si="21"/>
        <v>0</v>
      </c>
      <c r="CM18" s="1689">
        <f t="shared" si="22"/>
        <v>0</v>
      </c>
      <c r="CN18" s="1689">
        <f t="shared" si="23"/>
        <v>0</v>
      </c>
      <c r="CO18" s="1689">
        <f t="shared" si="24"/>
        <v>0</v>
      </c>
      <c r="CP18" s="1689">
        <f t="shared" si="25"/>
        <v>0</v>
      </c>
      <c r="CQ18" s="1690">
        <f t="shared" si="26"/>
        <v>0</v>
      </c>
      <c r="CR18" s="1689">
        <f t="shared" si="27"/>
        <v>0</v>
      </c>
      <c r="CS18" s="1689">
        <f t="shared" si="28"/>
        <v>0.2</v>
      </c>
      <c r="CT18" s="1691">
        <f t="shared" si="13"/>
        <v>0.2</v>
      </c>
      <c r="CU18" s="1689">
        <f t="shared" si="14"/>
        <v>0.2</v>
      </c>
      <c r="CV18" s="1689">
        <f t="shared" si="15"/>
        <v>0.2</v>
      </c>
      <c r="CX18" s="1207" t="s">
        <v>211</v>
      </c>
      <c r="CY18" s="1211" t="s">
        <v>800</v>
      </c>
      <c r="CZ18" s="829" t="s">
        <v>604</v>
      </c>
      <c r="DA18" s="1814">
        <v>0</v>
      </c>
      <c r="DB18" s="1678"/>
      <c r="DC18" s="1678"/>
      <c r="DD18" s="1678"/>
      <c r="DE18" s="1678"/>
      <c r="DF18" s="1678"/>
      <c r="DG18" s="1678"/>
      <c r="DH18" s="1794"/>
      <c r="DI18" s="1678"/>
      <c r="DJ18" s="1678"/>
      <c r="DK18" s="1795"/>
      <c r="DL18" s="1678"/>
      <c r="DM18" s="1678"/>
    </row>
    <row r="19" spans="2:117">
      <c r="B19" s="1186">
        <f t="shared" si="0"/>
        <v>1.3</v>
      </c>
      <c r="C19" s="829" t="str">
        <f t="shared" si="1"/>
        <v>吸音</v>
      </c>
      <c r="D19" s="1205">
        <f>IF(I$10=0,0,G19/I$10)</f>
        <v>0.2</v>
      </c>
      <c r="E19" s="1205">
        <f>IF(J$10=0,0,H19/J$10)</f>
        <v>0</v>
      </c>
      <c r="G19" s="1206">
        <f t="shared" si="2"/>
        <v>0.2</v>
      </c>
      <c r="H19" s="1206">
        <f t="shared" si="3"/>
        <v>0</v>
      </c>
      <c r="I19" s="1206"/>
      <c r="J19" s="1206"/>
      <c r="K19" s="1206">
        <f>IF(スコア!Q19=0,0,1)</f>
        <v>1</v>
      </c>
      <c r="L19" s="1206">
        <f>IF(スコア!S19=0,0,1)</f>
        <v>1</v>
      </c>
      <c r="M19" s="1206">
        <f t="shared" si="4"/>
        <v>0.2</v>
      </c>
      <c r="N19" s="1206">
        <f t="shared" si="5"/>
        <v>0</v>
      </c>
      <c r="P19" s="1207">
        <f t="shared" si="6"/>
        <v>1.3</v>
      </c>
      <c r="Q19" s="1207" t="str">
        <f t="shared" si="7"/>
        <v xml:space="preserve"> Q1 1</v>
      </c>
      <c r="R19" s="1208" t="str">
        <f t="shared" si="8"/>
        <v>吸音</v>
      </c>
      <c r="S19" s="1747">
        <f t="shared" si="16"/>
        <v>0.2</v>
      </c>
      <c r="T19" s="1747">
        <f t="shared" si="9"/>
        <v>0.2</v>
      </c>
      <c r="U19" s="1747">
        <f t="shared" si="9"/>
        <v>0.2</v>
      </c>
      <c r="V19" s="1747">
        <f t="shared" si="9"/>
        <v>0.2</v>
      </c>
      <c r="W19" s="1747">
        <f t="shared" si="9"/>
        <v>0.2</v>
      </c>
      <c r="X19" s="1747">
        <f t="shared" si="9"/>
        <v>0.2</v>
      </c>
      <c r="Y19" s="1747">
        <f t="shared" si="9"/>
        <v>0</v>
      </c>
      <c r="Z19" s="1749">
        <f t="shared" si="9"/>
        <v>0.2</v>
      </c>
      <c r="AA19" s="1747">
        <f t="shared" si="17"/>
        <v>0.2</v>
      </c>
      <c r="AB19" s="1747">
        <f t="shared" si="10"/>
        <v>0.2</v>
      </c>
      <c r="AC19" s="1748">
        <f t="shared" si="11"/>
        <v>0.2</v>
      </c>
      <c r="AD19" s="1747">
        <f t="shared" si="12"/>
        <v>0.2</v>
      </c>
      <c r="AE19" s="1747">
        <f t="shared" si="18"/>
        <v>0</v>
      </c>
      <c r="AG19" s="1207">
        <v>1.3</v>
      </c>
      <c r="AH19" s="1211" t="s">
        <v>794</v>
      </c>
      <c r="AI19" s="829" t="s">
        <v>605</v>
      </c>
      <c r="AJ19" s="1219">
        <v>0.2</v>
      </c>
      <c r="AK19" s="1209">
        <v>0.2</v>
      </c>
      <c r="AL19" s="1209">
        <v>0.2</v>
      </c>
      <c r="AM19" s="1209">
        <v>0.2</v>
      </c>
      <c r="AN19" s="1219">
        <v>0.2</v>
      </c>
      <c r="AO19" s="1209">
        <v>0.2</v>
      </c>
      <c r="AP19" s="1209">
        <v>0.2</v>
      </c>
      <c r="AQ19" s="1219">
        <v>0.2</v>
      </c>
      <c r="AR19" s="1209"/>
      <c r="AS19" s="1213">
        <v>0.2</v>
      </c>
      <c r="AT19" s="1214"/>
      <c r="AU19" s="1213">
        <v>0.2</v>
      </c>
      <c r="AV19" s="1219">
        <v>0.2</v>
      </c>
      <c r="AX19" s="1207">
        <v>1.3</v>
      </c>
      <c r="AY19" s="1211" t="s">
        <v>794</v>
      </c>
      <c r="AZ19" s="829" t="s">
        <v>605</v>
      </c>
      <c r="BA19" s="1213">
        <v>0.3</v>
      </c>
      <c r="BB19" s="1213">
        <v>0.3</v>
      </c>
      <c r="BC19" s="1213">
        <v>0.3</v>
      </c>
      <c r="BD19" s="1213">
        <v>0.3</v>
      </c>
      <c r="BE19" s="1213">
        <v>0.3</v>
      </c>
      <c r="BF19" s="1213">
        <v>0.3</v>
      </c>
      <c r="BG19" s="1213">
        <v>0</v>
      </c>
      <c r="BH19" s="1215">
        <v>0.2</v>
      </c>
      <c r="BI19" s="1213">
        <v>0.3</v>
      </c>
      <c r="BJ19" s="1213">
        <v>0.3</v>
      </c>
      <c r="BK19" s="1214">
        <v>0.3</v>
      </c>
      <c r="BL19" s="1213">
        <v>0.3</v>
      </c>
      <c r="BM19" s="1213">
        <v>0</v>
      </c>
      <c r="BO19" s="1207">
        <v>1.3</v>
      </c>
      <c r="BP19" s="1211" t="s">
        <v>794</v>
      </c>
      <c r="BQ19" s="829" t="s">
        <v>605</v>
      </c>
      <c r="BR19" s="1213">
        <v>0.2</v>
      </c>
      <c r="BS19" s="1213">
        <v>0.2</v>
      </c>
      <c r="BT19" s="1213">
        <v>0.2</v>
      </c>
      <c r="BU19" s="1213">
        <v>0.2</v>
      </c>
      <c r="BV19" s="1213">
        <v>0.2</v>
      </c>
      <c r="BW19" s="1213">
        <v>0.2</v>
      </c>
      <c r="BX19" s="1213">
        <v>0</v>
      </c>
      <c r="BY19" s="1569">
        <v>0.2</v>
      </c>
      <c r="BZ19" s="1213">
        <v>0.2</v>
      </c>
      <c r="CA19" s="1213">
        <v>0.2</v>
      </c>
      <c r="CB19" s="1214">
        <v>0.2</v>
      </c>
      <c r="CC19" s="1213">
        <v>0.2</v>
      </c>
      <c r="CD19" s="1213">
        <v>0</v>
      </c>
      <c r="CE19" s="1469"/>
      <c r="CG19" s="1207">
        <v>1.3</v>
      </c>
      <c r="CH19" s="1211" t="s">
        <v>794</v>
      </c>
      <c r="CI19" s="829" t="s">
        <v>605</v>
      </c>
      <c r="CJ19" s="1678">
        <v>0.33</v>
      </c>
      <c r="CK19" s="1678">
        <v>0.33</v>
      </c>
      <c r="CL19" s="1678">
        <v>0.33</v>
      </c>
      <c r="CM19" s="1678">
        <v>0.33</v>
      </c>
      <c r="CN19" s="1678">
        <v>0.33</v>
      </c>
      <c r="CO19" s="1678">
        <v>0.33</v>
      </c>
      <c r="CP19" s="1689">
        <f t="shared" si="25"/>
        <v>0</v>
      </c>
      <c r="CQ19" s="1678">
        <v>0.33</v>
      </c>
      <c r="CR19" s="1678">
        <v>0.33</v>
      </c>
      <c r="CS19" s="1678">
        <v>0.33</v>
      </c>
      <c r="CT19" s="1678">
        <v>0.33</v>
      </c>
      <c r="CU19" s="1678">
        <v>0.33</v>
      </c>
      <c r="CV19" s="1689">
        <f t="shared" si="15"/>
        <v>0</v>
      </c>
      <c r="CX19" s="1207">
        <v>1.3</v>
      </c>
      <c r="CY19" s="1211" t="s">
        <v>794</v>
      </c>
      <c r="CZ19" s="829" t="s">
        <v>605</v>
      </c>
      <c r="DA19" s="1814">
        <v>0</v>
      </c>
      <c r="DB19" s="1678"/>
      <c r="DC19" s="1678"/>
      <c r="DD19" s="1678"/>
      <c r="DE19" s="1678"/>
      <c r="DF19" s="1678"/>
      <c r="DG19" s="1678"/>
      <c r="DH19" s="1678"/>
      <c r="DI19" s="1678"/>
      <c r="DJ19" s="1678"/>
      <c r="DK19" s="1678"/>
      <c r="DL19" s="1678"/>
      <c r="DM19" s="1678"/>
    </row>
    <row r="20" spans="2:117">
      <c r="B20" s="1186">
        <f t="shared" si="0"/>
        <v>2</v>
      </c>
      <c r="C20" s="1198" t="str">
        <f t="shared" si="1"/>
        <v>温熱環境</v>
      </c>
      <c r="D20" s="1194">
        <f>IF(I$9=0,0,G20/I$9)</f>
        <v>0.35</v>
      </c>
      <c r="E20" s="1195">
        <f>IF(J$9=0,0,H20/J$9)</f>
        <v>0</v>
      </c>
      <c r="G20" s="1195">
        <f t="shared" si="2"/>
        <v>0.35</v>
      </c>
      <c r="H20" s="1195">
        <f t="shared" si="3"/>
        <v>0</v>
      </c>
      <c r="I20" s="1195">
        <f>G21+G30+G31+G32</f>
        <v>1</v>
      </c>
      <c r="J20" s="1195">
        <f>H21+H30+H31+H32</f>
        <v>0</v>
      </c>
      <c r="K20" s="1195">
        <f>IF(L20&gt;0,1,IF(スコア!Q20=0,0,1))</f>
        <v>1</v>
      </c>
      <c r="L20" s="1195">
        <f>IF(スコア!S20=0,0,1)</f>
        <v>0</v>
      </c>
      <c r="M20" s="1195">
        <f t="shared" si="4"/>
        <v>0.35</v>
      </c>
      <c r="N20" s="1195">
        <f t="shared" si="5"/>
        <v>0</v>
      </c>
      <c r="P20" s="1197">
        <f t="shared" si="6"/>
        <v>2</v>
      </c>
      <c r="Q20" s="1197" t="str">
        <f t="shared" si="7"/>
        <v xml:space="preserve"> Q1</v>
      </c>
      <c r="R20" s="1198" t="str">
        <f t="shared" si="8"/>
        <v>温熱環境</v>
      </c>
      <c r="S20" s="1744">
        <f t="shared" si="16"/>
        <v>0.35</v>
      </c>
      <c r="T20" s="1744">
        <f t="shared" si="9"/>
        <v>0.35</v>
      </c>
      <c r="U20" s="1744">
        <f t="shared" si="9"/>
        <v>0.35</v>
      </c>
      <c r="V20" s="1744">
        <f t="shared" si="9"/>
        <v>0.35</v>
      </c>
      <c r="W20" s="1744">
        <f t="shared" si="9"/>
        <v>0.35</v>
      </c>
      <c r="X20" s="1744">
        <f t="shared" si="9"/>
        <v>0.35</v>
      </c>
      <c r="Y20" s="1744">
        <f t="shared" si="9"/>
        <v>0.35</v>
      </c>
      <c r="Z20" s="1750">
        <f t="shared" si="9"/>
        <v>0.35</v>
      </c>
      <c r="AA20" s="1744">
        <f t="shared" si="17"/>
        <v>0.35</v>
      </c>
      <c r="AB20" s="1744">
        <f t="shared" si="10"/>
        <v>0.35</v>
      </c>
      <c r="AC20" s="1746">
        <f t="shared" si="11"/>
        <v>0</v>
      </c>
      <c r="AD20" s="1744">
        <f t="shared" si="12"/>
        <v>0</v>
      </c>
      <c r="AE20" s="1744">
        <f t="shared" si="18"/>
        <v>0</v>
      </c>
      <c r="AG20" s="1197">
        <v>2</v>
      </c>
      <c r="AH20" s="1201" t="s">
        <v>793</v>
      </c>
      <c r="AI20" s="1198" t="s">
        <v>786</v>
      </c>
      <c r="AJ20" s="1199">
        <v>0.35</v>
      </c>
      <c r="AK20" s="1199">
        <v>0.35</v>
      </c>
      <c r="AL20" s="1199">
        <v>0.35</v>
      </c>
      <c r="AM20" s="1199">
        <v>0.35</v>
      </c>
      <c r="AN20" s="1199">
        <v>0.35</v>
      </c>
      <c r="AO20" s="1199">
        <v>0.35</v>
      </c>
      <c r="AP20" s="1199">
        <v>0.35</v>
      </c>
      <c r="AQ20" s="1199">
        <v>0.44</v>
      </c>
      <c r="AR20" s="1199">
        <v>0.35</v>
      </c>
      <c r="AS20" s="1202">
        <v>0.35</v>
      </c>
      <c r="AT20" s="1203"/>
      <c r="AU20" s="1202"/>
      <c r="AV20" s="1202"/>
      <c r="AX20" s="1197">
        <v>2</v>
      </c>
      <c r="AY20" s="1201" t="s">
        <v>793</v>
      </c>
      <c r="AZ20" s="1198" t="s">
        <v>786</v>
      </c>
      <c r="BA20" s="1202">
        <v>0.35</v>
      </c>
      <c r="BB20" s="1202">
        <v>0.35</v>
      </c>
      <c r="BC20" s="1202">
        <v>0.35</v>
      </c>
      <c r="BD20" s="1202">
        <v>0.35</v>
      </c>
      <c r="BE20" s="1202">
        <v>0.35</v>
      </c>
      <c r="BF20" s="1202">
        <v>0.35</v>
      </c>
      <c r="BG20" s="1202">
        <v>0.35</v>
      </c>
      <c r="BH20" s="1222">
        <v>0.44</v>
      </c>
      <c r="BI20" s="1202">
        <v>0.35</v>
      </c>
      <c r="BJ20" s="1202">
        <v>0.35</v>
      </c>
      <c r="BK20" s="1203"/>
      <c r="BL20" s="1202"/>
      <c r="BM20" s="1202"/>
      <c r="BO20" s="1197">
        <v>2</v>
      </c>
      <c r="BP20" s="1201" t="s">
        <v>793</v>
      </c>
      <c r="BQ20" s="1198" t="s">
        <v>786</v>
      </c>
      <c r="BR20" s="1202">
        <v>0.35</v>
      </c>
      <c r="BS20" s="1202">
        <v>0.35</v>
      </c>
      <c r="BT20" s="1202">
        <v>0.35</v>
      </c>
      <c r="BU20" s="1202">
        <v>0.35</v>
      </c>
      <c r="BV20" s="1202">
        <v>0.35</v>
      </c>
      <c r="BW20" s="1202">
        <v>0.35</v>
      </c>
      <c r="BX20" s="1202">
        <v>0.35</v>
      </c>
      <c r="BY20" s="1570">
        <v>0.35</v>
      </c>
      <c r="BZ20" s="1202">
        <v>0.35</v>
      </c>
      <c r="CA20" s="1202">
        <v>0.35</v>
      </c>
      <c r="CB20" s="1203"/>
      <c r="CC20" s="1202"/>
      <c r="CD20" s="1202"/>
      <c r="CE20" s="1468"/>
      <c r="CG20" s="1197">
        <v>2</v>
      </c>
      <c r="CH20" s="1201" t="s">
        <v>793</v>
      </c>
      <c r="CI20" s="1198" t="s">
        <v>786</v>
      </c>
      <c r="CJ20" s="1686">
        <f t="shared" si="19"/>
        <v>0.35</v>
      </c>
      <c r="CK20" s="1686">
        <f t="shared" si="20"/>
        <v>0.35</v>
      </c>
      <c r="CL20" s="1686">
        <f t="shared" si="21"/>
        <v>0.35</v>
      </c>
      <c r="CM20" s="1686">
        <f t="shared" si="22"/>
        <v>0.35</v>
      </c>
      <c r="CN20" s="1686">
        <f t="shared" si="23"/>
        <v>0.35</v>
      </c>
      <c r="CO20" s="1686">
        <f t="shared" si="24"/>
        <v>0.35</v>
      </c>
      <c r="CP20" s="1686">
        <f t="shared" si="25"/>
        <v>0.35</v>
      </c>
      <c r="CQ20" s="1693">
        <f t="shared" si="26"/>
        <v>0.35</v>
      </c>
      <c r="CR20" s="1686">
        <f t="shared" si="27"/>
        <v>0.35</v>
      </c>
      <c r="CS20" s="1686">
        <f t="shared" si="28"/>
        <v>0.35</v>
      </c>
      <c r="CT20" s="1688">
        <f t="shared" si="13"/>
        <v>0</v>
      </c>
      <c r="CU20" s="1686">
        <f t="shared" si="14"/>
        <v>0</v>
      </c>
      <c r="CV20" s="1686">
        <f t="shared" si="15"/>
        <v>0</v>
      </c>
      <c r="CX20" s="1197">
        <v>2</v>
      </c>
      <c r="CY20" s="1201" t="s">
        <v>793</v>
      </c>
      <c r="CZ20" s="1198" t="s">
        <v>786</v>
      </c>
      <c r="DA20" s="1676">
        <f t="shared" si="29"/>
        <v>0.35</v>
      </c>
      <c r="DB20" s="1676"/>
      <c r="DC20" s="1676"/>
      <c r="DD20" s="1676"/>
      <c r="DE20" s="1676"/>
      <c r="DF20" s="1676"/>
      <c r="DG20" s="1676"/>
      <c r="DH20" s="1796"/>
      <c r="DI20" s="1676"/>
      <c r="DJ20" s="1676"/>
      <c r="DK20" s="1677"/>
      <c r="DL20" s="1676"/>
      <c r="DM20" s="1676"/>
    </row>
    <row r="21" spans="2:117">
      <c r="B21" s="1186">
        <f t="shared" si="0"/>
        <v>2.1</v>
      </c>
      <c r="C21" s="1208" t="str">
        <f t="shared" si="1"/>
        <v>室温制御</v>
      </c>
      <c r="D21" s="1205">
        <f>IF(I$20=0,0,G21/I$20)</f>
        <v>0.5</v>
      </c>
      <c r="E21" s="1206">
        <f>IF(J$20=0,0,H21/J$20)</f>
        <v>0</v>
      </c>
      <c r="G21" s="1206">
        <f t="shared" si="2"/>
        <v>0.5</v>
      </c>
      <c r="H21" s="1206">
        <f t="shared" si="3"/>
        <v>0</v>
      </c>
      <c r="I21" s="1206">
        <f>SUM(G22:G29)</f>
        <v>1</v>
      </c>
      <c r="J21" s="1206">
        <f>SUM(H22:H29)</f>
        <v>0</v>
      </c>
      <c r="K21" s="1206">
        <f>IF(スコア!Q21=0,0,1)</f>
        <v>1</v>
      </c>
      <c r="L21" s="1206">
        <f>IF(スコア!S21=0,0,1)</f>
        <v>0</v>
      </c>
      <c r="M21" s="1206">
        <f t="shared" si="4"/>
        <v>0.5</v>
      </c>
      <c r="N21" s="1206">
        <f t="shared" si="5"/>
        <v>0</v>
      </c>
      <c r="P21" s="1207">
        <f t="shared" si="6"/>
        <v>2.1</v>
      </c>
      <c r="Q21" s="1207" t="str">
        <f t="shared" si="7"/>
        <v xml:space="preserve"> Q1 2</v>
      </c>
      <c r="R21" s="1208" t="str">
        <f t="shared" si="8"/>
        <v>室温制御</v>
      </c>
      <c r="S21" s="1747">
        <f t="shared" si="16"/>
        <v>0.5</v>
      </c>
      <c r="T21" s="1747">
        <f t="shared" si="9"/>
        <v>0.5</v>
      </c>
      <c r="U21" s="1747">
        <f t="shared" si="9"/>
        <v>0.5</v>
      </c>
      <c r="V21" s="1747">
        <f t="shared" si="9"/>
        <v>0.5</v>
      </c>
      <c r="W21" s="1747">
        <f t="shared" si="9"/>
        <v>0.5</v>
      </c>
      <c r="X21" s="1747">
        <f t="shared" si="9"/>
        <v>0.5</v>
      </c>
      <c r="Y21" s="1747">
        <f t="shared" si="9"/>
        <v>0.5</v>
      </c>
      <c r="Z21" s="1751">
        <f t="shared" si="9"/>
        <v>0.5</v>
      </c>
      <c r="AA21" s="1747">
        <f t="shared" si="17"/>
        <v>0.5</v>
      </c>
      <c r="AB21" s="1747">
        <f t="shared" si="10"/>
        <v>0.5</v>
      </c>
      <c r="AC21" s="1748">
        <f t="shared" si="11"/>
        <v>0.5</v>
      </c>
      <c r="AD21" s="1747">
        <f t="shared" si="12"/>
        <v>0.5</v>
      </c>
      <c r="AE21" s="1747">
        <f t="shared" si="18"/>
        <v>0.5</v>
      </c>
      <c r="AG21" s="1207">
        <v>2.1</v>
      </c>
      <c r="AH21" s="1211" t="s">
        <v>801</v>
      </c>
      <c r="AI21" s="1208" t="s">
        <v>607</v>
      </c>
      <c r="AJ21" s="1209">
        <v>0.5</v>
      </c>
      <c r="AK21" s="1209">
        <v>0.5</v>
      </c>
      <c r="AL21" s="1209">
        <v>0.5</v>
      </c>
      <c r="AM21" s="1209">
        <v>0.5</v>
      </c>
      <c r="AN21" s="1209">
        <v>0.5</v>
      </c>
      <c r="AO21" s="1209">
        <v>0.5</v>
      </c>
      <c r="AP21" s="1209">
        <v>0.5</v>
      </c>
      <c r="AQ21" s="1209">
        <v>0.5</v>
      </c>
      <c r="AR21" s="1209">
        <v>0.5</v>
      </c>
      <c r="AS21" s="1213">
        <v>0.5</v>
      </c>
      <c r="AT21" s="1214">
        <v>1</v>
      </c>
      <c r="AU21" s="1213">
        <v>1</v>
      </c>
      <c r="AV21" s="1213">
        <v>1</v>
      </c>
      <c r="AX21" s="1207">
        <v>2.1</v>
      </c>
      <c r="AY21" s="1211" t="s">
        <v>801</v>
      </c>
      <c r="AZ21" s="1208" t="s">
        <v>607</v>
      </c>
      <c r="BA21" s="1213">
        <v>0.5</v>
      </c>
      <c r="BB21" s="1213">
        <v>0.5</v>
      </c>
      <c r="BC21" s="1213">
        <v>0.5</v>
      </c>
      <c r="BD21" s="1213">
        <v>0.5</v>
      </c>
      <c r="BE21" s="1213">
        <v>0.5</v>
      </c>
      <c r="BF21" s="1213">
        <v>0.5</v>
      </c>
      <c r="BG21" s="1213">
        <v>0.5</v>
      </c>
      <c r="BH21" s="1215">
        <v>0.5</v>
      </c>
      <c r="BI21" s="1213">
        <v>0.5</v>
      </c>
      <c r="BJ21" s="1213">
        <v>0.5</v>
      </c>
      <c r="BK21" s="1214">
        <v>0.5</v>
      </c>
      <c r="BL21" s="1213">
        <v>0.5</v>
      </c>
      <c r="BM21" s="1213">
        <v>0.5</v>
      </c>
      <c r="BO21" s="1207">
        <v>2.1</v>
      </c>
      <c r="BP21" s="1211" t="s">
        <v>801</v>
      </c>
      <c r="BQ21" s="1208" t="s">
        <v>607</v>
      </c>
      <c r="BR21" s="1213">
        <v>0.5</v>
      </c>
      <c r="BS21" s="1213">
        <v>0.5</v>
      </c>
      <c r="BT21" s="1213">
        <v>0.5</v>
      </c>
      <c r="BU21" s="1213">
        <v>0.5</v>
      </c>
      <c r="BV21" s="1213">
        <v>0.5</v>
      </c>
      <c r="BW21" s="1213">
        <v>0.5</v>
      </c>
      <c r="BX21" s="1213">
        <v>0.5</v>
      </c>
      <c r="BY21" s="1571">
        <v>0.5</v>
      </c>
      <c r="BZ21" s="1213">
        <v>0.5</v>
      </c>
      <c r="CA21" s="1213">
        <v>0.5</v>
      </c>
      <c r="CB21" s="1214">
        <v>0.5</v>
      </c>
      <c r="CC21" s="1213">
        <v>0.5</v>
      </c>
      <c r="CD21" s="1213">
        <v>0.5</v>
      </c>
      <c r="CE21" s="1469"/>
      <c r="CG21" s="1207">
        <v>2.1</v>
      </c>
      <c r="CH21" s="1211" t="s">
        <v>801</v>
      </c>
      <c r="CI21" s="1208" t="s">
        <v>607</v>
      </c>
      <c r="CJ21" s="1689">
        <f t="shared" si="19"/>
        <v>0.5</v>
      </c>
      <c r="CK21" s="1689">
        <f t="shared" si="20"/>
        <v>0.5</v>
      </c>
      <c r="CL21" s="1689">
        <f t="shared" si="21"/>
        <v>0.5</v>
      </c>
      <c r="CM21" s="1689">
        <f t="shared" si="22"/>
        <v>0.5</v>
      </c>
      <c r="CN21" s="1689">
        <f t="shared" si="23"/>
        <v>0.5</v>
      </c>
      <c r="CO21" s="1689">
        <f t="shared" si="24"/>
        <v>0.5</v>
      </c>
      <c r="CP21" s="1689">
        <f t="shared" si="25"/>
        <v>0.5</v>
      </c>
      <c r="CQ21" s="1694">
        <f t="shared" si="26"/>
        <v>0.5</v>
      </c>
      <c r="CR21" s="1689">
        <f t="shared" si="27"/>
        <v>0.5</v>
      </c>
      <c r="CS21" s="1689">
        <f t="shared" si="28"/>
        <v>0.5</v>
      </c>
      <c r="CT21" s="1691">
        <f t="shared" si="13"/>
        <v>0.5</v>
      </c>
      <c r="CU21" s="1689">
        <f t="shared" si="14"/>
        <v>0.5</v>
      </c>
      <c r="CV21" s="1689">
        <f t="shared" si="15"/>
        <v>0.5</v>
      </c>
      <c r="CX21" s="1207">
        <v>2.1</v>
      </c>
      <c r="CY21" s="1211" t="s">
        <v>801</v>
      </c>
      <c r="CZ21" s="1208" t="s">
        <v>607</v>
      </c>
      <c r="DA21" s="1678">
        <f t="shared" si="29"/>
        <v>0.5</v>
      </c>
      <c r="DB21" s="1678"/>
      <c r="DC21" s="1678"/>
      <c r="DD21" s="1678"/>
      <c r="DE21" s="1678"/>
      <c r="DF21" s="1678"/>
      <c r="DG21" s="1678"/>
      <c r="DH21" s="1797"/>
      <c r="DI21" s="1678"/>
      <c r="DJ21" s="1678"/>
      <c r="DK21" s="1795"/>
      <c r="DL21" s="1678"/>
      <c r="DM21" s="1678"/>
    </row>
    <row r="22" spans="2:117">
      <c r="B22" s="1186" t="str">
        <f t="shared" si="0"/>
        <v>2.1.1</v>
      </c>
      <c r="C22" s="1208" t="str">
        <f t="shared" si="1"/>
        <v>室温</v>
      </c>
      <c r="D22" s="1196">
        <f>IF(I$21&gt;0,G22/I$21,0)</f>
        <v>0.37499999999999994</v>
      </c>
      <c r="E22" s="1206">
        <f t="shared" ref="D22:E29" si="31">IF(J$21&gt;0,H22/J$21,0)</f>
        <v>0</v>
      </c>
      <c r="G22" s="1206">
        <f t="shared" si="2"/>
        <v>0.37499999999999994</v>
      </c>
      <c r="H22" s="1206">
        <f t="shared" si="3"/>
        <v>0</v>
      </c>
      <c r="I22" s="1206"/>
      <c r="J22" s="1206"/>
      <c r="K22" s="1206">
        <f>IF(スコア!Q22=0,0,1)</f>
        <v>1</v>
      </c>
      <c r="L22" s="1206">
        <f>IF(スコア!S22=0,0,1)</f>
        <v>1</v>
      </c>
      <c r="M22" s="1206">
        <f t="shared" si="4"/>
        <v>0.37499999999999994</v>
      </c>
      <c r="N22" s="1206">
        <f t="shared" si="5"/>
        <v>0</v>
      </c>
      <c r="P22" s="1207" t="str">
        <f t="shared" si="6"/>
        <v>2.1.1</v>
      </c>
      <c r="Q22" s="1207" t="str">
        <f t="shared" si="7"/>
        <v xml:space="preserve"> Q1 2.1</v>
      </c>
      <c r="R22" s="1208" t="str">
        <f t="shared" si="8"/>
        <v>室温</v>
      </c>
      <c r="S22" s="1747">
        <f t="shared" si="16"/>
        <v>0.37499999999999994</v>
      </c>
      <c r="T22" s="1747">
        <f t="shared" si="9"/>
        <v>0.6</v>
      </c>
      <c r="U22" s="1747">
        <f t="shared" si="9"/>
        <v>0.49999999999999989</v>
      </c>
      <c r="V22" s="1747">
        <f t="shared" si="9"/>
        <v>0.49999999999999989</v>
      </c>
      <c r="W22" s="1747">
        <f t="shared" si="9"/>
        <v>0.37499999999999994</v>
      </c>
      <c r="X22" s="1747">
        <f t="shared" si="9"/>
        <v>0.37499999999999994</v>
      </c>
      <c r="Y22" s="1747">
        <f t="shared" si="9"/>
        <v>0.625</v>
      </c>
      <c r="Z22" s="1751">
        <f t="shared" si="9"/>
        <v>0.37499999999999994</v>
      </c>
      <c r="AA22" s="1747">
        <f t="shared" si="17"/>
        <v>0.37499999999999994</v>
      </c>
      <c r="AB22" s="1747">
        <f t="shared" si="10"/>
        <v>0.6</v>
      </c>
      <c r="AC22" s="1748">
        <f t="shared" si="11"/>
        <v>0.57142857142857151</v>
      </c>
      <c r="AD22" s="1747">
        <f t="shared" si="12"/>
        <v>0.57142857142857151</v>
      </c>
      <c r="AE22" s="1747">
        <f t="shared" si="18"/>
        <v>0.625</v>
      </c>
      <c r="AG22" s="1207" t="s">
        <v>212</v>
      </c>
      <c r="AH22" s="1211" t="s">
        <v>413</v>
      </c>
      <c r="AI22" s="1208" t="s">
        <v>414</v>
      </c>
      <c r="AJ22" s="1209">
        <v>0.3</v>
      </c>
      <c r="AK22" s="1209">
        <v>0.3</v>
      </c>
      <c r="AL22" s="1209">
        <v>0.3</v>
      </c>
      <c r="AM22" s="1209">
        <v>0.3</v>
      </c>
      <c r="AN22" s="1209">
        <v>0.3</v>
      </c>
      <c r="AO22" s="1209">
        <v>0.3</v>
      </c>
      <c r="AP22" s="1209">
        <v>0.5</v>
      </c>
      <c r="AQ22" s="1223">
        <v>0.3</v>
      </c>
      <c r="AR22" s="1209">
        <v>0.3</v>
      </c>
      <c r="AS22" s="1213">
        <v>0.3</v>
      </c>
      <c r="AT22" s="1214"/>
      <c r="AU22" s="1213"/>
      <c r="AV22" s="1213"/>
      <c r="AX22" s="1207" t="s">
        <v>212</v>
      </c>
      <c r="AY22" s="1211" t="s">
        <v>413</v>
      </c>
      <c r="AZ22" s="1208" t="s">
        <v>761</v>
      </c>
      <c r="BA22" s="1213">
        <v>0.3</v>
      </c>
      <c r="BB22" s="1213">
        <v>0.6</v>
      </c>
      <c r="BC22" s="1213">
        <v>0.3</v>
      </c>
      <c r="BD22" s="1213">
        <v>0.3</v>
      </c>
      <c r="BE22" s="1213">
        <v>0.3</v>
      </c>
      <c r="BF22" s="1213">
        <v>0.3</v>
      </c>
      <c r="BG22" s="1213">
        <v>0.6</v>
      </c>
      <c r="BH22" s="1215">
        <v>0.3</v>
      </c>
      <c r="BI22" s="1213">
        <v>0.3</v>
      </c>
      <c r="BJ22" s="1213">
        <v>0.6</v>
      </c>
      <c r="BK22" s="1214">
        <v>0.6</v>
      </c>
      <c r="BL22" s="1213">
        <v>0.6</v>
      </c>
      <c r="BM22" s="1213">
        <v>0.6</v>
      </c>
      <c r="BO22" s="1207" t="s">
        <v>212</v>
      </c>
      <c r="BP22" s="1211" t="s">
        <v>413</v>
      </c>
      <c r="BQ22" s="1208" t="s">
        <v>761</v>
      </c>
      <c r="BR22" s="1815">
        <f>0.3/(0.3+0.2+0.3)</f>
        <v>0.37499999999999994</v>
      </c>
      <c r="BS22" s="1815">
        <f>0.3/(0.3+0.2)</f>
        <v>0.6</v>
      </c>
      <c r="BT22" s="1815">
        <f>0.3/(0.3+0.1+0.2)</f>
        <v>0.49999999999999989</v>
      </c>
      <c r="BU22" s="1815">
        <f>0.3/(0.3+0.1+0.2)</f>
        <v>0.49999999999999989</v>
      </c>
      <c r="BV22" s="1815">
        <f>0.3/(0.3+0.2+0.3)</f>
        <v>0.37499999999999994</v>
      </c>
      <c r="BW22" s="1815">
        <f>0.3/(0.3+0.2+0.3)</f>
        <v>0.37499999999999994</v>
      </c>
      <c r="BX22" s="1815">
        <f>0.5/(0.5+0.3)</f>
        <v>0.625</v>
      </c>
      <c r="BY22" s="1815">
        <f>0.3/(0.3+0.2+0.3)</f>
        <v>0.37499999999999994</v>
      </c>
      <c r="BZ22" s="1815">
        <f>0.3/(0.3+0.2+0.3)</f>
        <v>0.37499999999999994</v>
      </c>
      <c r="CA22" s="1815">
        <f>0.3/(0.3+0.2)</f>
        <v>0.6</v>
      </c>
      <c r="CB22" s="1815">
        <f>0.4/(0.4+0.3)</f>
        <v>0.57142857142857151</v>
      </c>
      <c r="CC22" s="1815">
        <f>0.4/(0.4+0.3)</f>
        <v>0.57142857142857151</v>
      </c>
      <c r="CD22" s="1815">
        <f>0.5/(0.5+0.3)</f>
        <v>0.625</v>
      </c>
      <c r="CE22" s="1469"/>
      <c r="CG22" s="1207" t="s">
        <v>212</v>
      </c>
      <c r="CH22" s="1211" t="s">
        <v>413</v>
      </c>
      <c r="CI22" s="1208" t="s">
        <v>761</v>
      </c>
      <c r="CJ22" s="1689">
        <f t="shared" si="19"/>
        <v>0.37499999999999994</v>
      </c>
      <c r="CK22" s="1689">
        <f t="shared" si="20"/>
        <v>0.6</v>
      </c>
      <c r="CL22" s="1689">
        <f t="shared" si="21"/>
        <v>0.49999999999999989</v>
      </c>
      <c r="CM22" s="1689">
        <f t="shared" si="22"/>
        <v>0.49999999999999989</v>
      </c>
      <c r="CN22" s="1689">
        <f t="shared" si="23"/>
        <v>0.37499999999999994</v>
      </c>
      <c r="CO22" s="1689">
        <f t="shared" si="24"/>
        <v>0.37499999999999994</v>
      </c>
      <c r="CP22" s="1689">
        <f t="shared" si="25"/>
        <v>0.625</v>
      </c>
      <c r="CQ22" s="1694">
        <f t="shared" si="26"/>
        <v>0.37499999999999994</v>
      </c>
      <c r="CR22" s="1689">
        <f t="shared" si="27"/>
        <v>0.37499999999999994</v>
      </c>
      <c r="CS22" s="1689">
        <f t="shared" si="28"/>
        <v>0.6</v>
      </c>
      <c r="CT22" s="1691">
        <f t="shared" si="13"/>
        <v>0.57142857142857151</v>
      </c>
      <c r="CU22" s="1689">
        <f t="shared" si="14"/>
        <v>0.57142857142857151</v>
      </c>
      <c r="CV22" s="1689">
        <f t="shared" si="15"/>
        <v>0.625</v>
      </c>
      <c r="CX22" s="1207" t="s">
        <v>212</v>
      </c>
      <c r="CY22" s="1211" t="s">
        <v>413</v>
      </c>
      <c r="CZ22" s="1208" t="s">
        <v>761</v>
      </c>
      <c r="DA22" s="1678">
        <f t="shared" si="29"/>
        <v>0.37499999999999994</v>
      </c>
      <c r="DB22" s="1678"/>
      <c r="DC22" s="1678"/>
      <c r="DD22" s="1678"/>
      <c r="DE22" s="1678"/>
      <c r="DF22" s="1678"/>
      <c r="DG22" s="1678"/>
      <c r="DH22" s="1797"/>
      <c r="DI22" s="1678"/>
      <c r="DJ22" s="1678"/>
      <c r="DK22" s="1795"/>
      <c r="DL22" s="1678"/>
      <c r="DM22" s="1678"/>
    </row>
    <row r="23" spans="2:117" hidden="1">
      <c r="B23" s="1186" t="str">
        <f t="shared" si="0"/>
        <v>2.1.2</v>
      </c>
      <c r="C23" s="1208">
        <f t="shared" si="1"/>
        <v>0</v>
      </c>
      <c r="D23" s="1196">
        <f t="shared" si="31"/>
        <v>0</v>
      </c>
      <c r="E23" s="1206">
        <f t="shared" si="31"/>
        <v>0</v>
      </c>
      <c r="G23" s="1206">
        <f t="shared" si="2"/>
        <v>0</v>
      </c>
      <c r="H23" s="1206">
        <f t="shared" si="3"/>
        <v>0</v>
      </c>
      <c r="I23" s="1206"/>
      <c r="J23" s="1206"/>
      <c r="K23" s="1206">
        <f>IF(スコア!Q23=0,0,1)</f>
        <v>0</v>
      </c>
      <c r="L23" s="1206">
        <f>IF(スコア!S23=0,0,1)</f>
        <v>0</v>
      </c>
      <c r="M23" s="1206">
        <f t="shared" si="4"/>
        <v>0</v>
      </c>
      <c r="N23" s="1206">
        <f t="shared" si="5"/>
        <v>0</v>
      </c>
      <c r="P23" s="1207" t="str">
        <f t="shared" si="6"/>
        <v>2.1.2</v>
      </c>
      <c r="Q23" s="1207" t="str">
        <f t="shared" si="7"/>
        <v xml:space="preserve"> Q1 2.1</v>
      </c>
      <c r="R23" s="1208">
        <f t="shared" si="8"/>
        <v>0</v>
      </c>
      <c r="S23" s="1752">
        <f t="shared" si="16"/>
        <v>0</v>
      </c>
      <c r="T23" s="1747">
        <f t="shared" si="9"/>
        <v>0</v>
      </c>
      <c r="U23" s="1747">
        <f t="shared" si="9"/>
        <v>0</v>
      </c>
      <c r="V23" s="1747">
        <f t="shared" si="9"/>
        <v>0</v>
      </c>
      <c r="W23" s="1747">
        <f t="shared" si="9"/>
        <v>0</v>
      </c>
      <c r="X23" s="1747">
        <f t="shared" si="9"/>
        <v>0</v>
      </c>
      <c r="Y23" s="1747">
        <f t="shared" si="9"/>
        <v>0</v>
      </c>
      <c r="Z23" s="1751">
        <f t="shared" si="9"/>
        <v>0</v>
      </c>
      <c r="AA23" s="1752">
        <f t="shared" si="17"/>
        <v>0</v>
      </c>
      <c r="AB23" s="1747">
        <f t="shared" si="10"/>
        <v>0</v>
      </c>
      <c r="AC23" s="1748">
        <f t="shared" si="11"/>
        <v>0</v>
      </c>
      <c r="AD23" s="1747">
        <f t="shared" si="12"/>
        <v>0</v>
      </c>
      <c r="AE23" s="1747">
        <f t="shared" si="18"/>
        <v>0</v>
      </c>
      <c r="AG23" s="1207" t="s">
        <v>415</v>
      </c>
      <c r="AH23" s="1211" t="s">
        <v>413</v>
      </c>
      <c r="AI23" s="1208" t="s">
        <v>416</v>
      </c>
      <c r="AJ23" s="1218"/>
      <c r="AK23" s="1218">
        <v>0.2</v>
      </c>
      <c r="AL23" s="1218">
        <v>0.2</v>
      </c>
      <c r="AM23" s="1218">
        <v>0.2</v>
      </c>
      <c r="AN23" s="1218"/>
      <c r="AO23" s="1218"/>
      <c r="AP23" s="1218"/>
      <c r="AQ23" s="1224">
        <v>0.3</v>
      </c>
      <c r="AR23" s="1218"/>
      <c r="AS23" s="1213">
        <v>0.2</v>
      </c>
      <c r="AT23" s="1214"/>
      <c r="AU23" s="1213"/>
      <c r="AV23" s="1213"/>
      <c r="AX23" s="1207" t="s">
        <v>415</v>
      </c>
      <c r="AY23" s="1211" t="s">
        <v>413</v>
      </c>
      <c r="AZ23" s="1208" t="s">
        <v>416</v>
      </c>
      <c r="BA23" s="1225"/>
      <c r="BB23" s="1213"/>
      <c r="BC23" s="1213"/>
      <c r="BD23" s="1213"/>
      <c r="BE23" s="1213"/>
      <c r="BF23" s="1213"/>
      <c r="BG23" s="1213"/>
      <c r="BH23" s="1215"/>
      <c r="BI23" s="1225"/>
      <c r="BJ23" s="1213"/>
      <c r="BK23" s="1214"/>
      <c r="BL23" s="1213"/>
      <c r="BM23" s="1213"/>
      <c r="BO23" s="1207" t="s">
        <v>415</v>
      </c>
      <c r="BP23" s="1211" t="s">
        <v>413</v>
      </c>
      <c r="BQ23" s="1208"/>
      <c r="BR23" s="1225"/>
      <c r="BS23" s="1213"/>
      <c r="BT23" s="1213"/>
      <c r="BU23" s="1213"/>
      <c r="BV23" s="1225"/>
      <c r="BW23" s="1225"/>
      <c r="BX23" s="1213"/>
      <c r="BY23" s="1225"/>
      <c r="BZ23" s="1225"/>
      <c r="CA23" s="1213"/>
      <c r="CB23" s="1214"/>
      <c r="CC23" s="1214"/>
      <c r="CD23" s="1213"/>
      <c r="CE23" s="1469"/>
      <c r="CG23" s="1207" t="s">
        <v>415</v>
      </c>
      <c r="CH23" s="1211" t="s">
        <v>413</v>
      </c>
      <c r="CI23" s="1208"/>
      <c r="CJ23" s="1695">
        <f t="shared" si="19"/>
        <v>0</v>
      </c>
      <c r="CK23" s="1689">
        <f t="shared" si="20"/>
        <v>0</v>
      </c>
      <c r="CL23" s="1689">
        <f t="shared" si="21"/>
        <v>0</v>
      </c>
      <c r="CM23" s="1689">
        <f t="shared" si="22"/>
        <v>0</v>
      </c>
      <c r="CN23" s="1689">
        <f t="shared" si="23"/>
        <v>0</v>
      </c>
      <c r="CO23" s="1689">
        <f t="shared" si="24"/>
        <v>0</v>
      </c>
      <c r="CP23" s="1689">
        <f t="shared" si="25"/>
        <v>0</v>
      </c>
      <c r="CQ23" s="1694">
        <f t="shared" si="26"/>
        <v>0</v>
      </c>
      <c r="CR23" s="1695">
        <f t="shared" si="27"/>
        <v>0</v>
      </c>
      <c r="CS23" s="1689">
        <f t="shared" si="28"/>
        <v>0</v>
      </c>
      <c r="CT23" s="1691">
        <f t="shared" si="13"/>
        <v>0</v>
      </c>
      <c r="CU23" s="1689">
        <f t="shared" si="14"/>
        <v>0</v>
      </c>
      <c r="CV23" s="1689">
        <f t="shared" si="15"/>
        <v>0</v>
      </c>
      <c r="CX23" s="1207" t="s">
        <v>415</v>
      </c>
      <c r="CY23" s="1211" t="s">
        <v>413</v>
      </c>
      <c r="CZ23" s="1208"/>
      <c r="DA23" s="1678">
        <f t="shared" si="29"/>
        <v>0</v>
      </c>
      <c r="DB23" s="1678"/>
      <c r="DC23" s="1678"/>
      <c r="DD23" s="1678"/>
      <c r="DE23" s="1678"/>
      <c r="DF23" s="1678"/>
      <c r="DG23" s="1678"/>
      <c r="DH23" s="1797"/>
      <c r="DI23" s="1798"/>
      <c r="DJ23" s="1678"/>
      <c r="DK23" s="1795"/>
      <c r="DL23" s="1678"/>
      <c r="DM23" s="1678"/>
    </row>
    <row r="24" spans="2:117">
      <c r="B24" s="1186" t="str">
        <f t="shared" si="0"/>
        <v>2.1.3</v>
      </c>
      <c r="C24" s="1208" t="str">
        <f t="shared" si="1"/>
        <v>外皮性能</v>
      </c>
      <c r="D24" s="1196">
        <f t="shared" si="31"/>
        <v>0.25</v>
      </c>
      <c r="E24" s="1206">
        <f t="shared" si="31"/>
        <v>0</v>
      </c>
      <c r="G24" s="1206">
        <f t="shared" si="2"/>
        <v>0.25</v>
      </c>
      <c r="H24" s="1206">
        <f t="shared" si="3"/>
        <v>0</v>
      </c>
      <c r="I24" s="1206"/>
      <c r="J24" s="1206"/>
      <c r="K24" s="1206">
        <f>IF(スコア!Q24=0,0,1)</f>
        <v>1</v>
      </c>
      <c r="L24" s="1206">
        <f>IF(スコア!S24=0,0,1)</f>
        <v>1</v>
      </c>
      <c r="M24" s="1206">
        <f t="shared" si="4"/>
        <v>0.25</v>
      </c>
      <c r="N24" s="1206">
        <f t="shared" si="5"/>
        <v>0</v>
      </c>
      <c r="P24" s="1207" t="str">
        <f t="shared" si="6"/>
        <v>2.1.3</v>
      </c>
      <c r="Q24" s="1207" t="str">
        <f t="shared" si="7"/>
        <v xml:space="preserve"> Q1 2.1</v>
      </c>
      <c r="R24" s="1208" t="str">
        <f t="shared" si="8"/>
        <v>外皮性能</v>
      </c>
      <c r="S24" s="1747">
        <f t="shared" si="16"/>
        <v>0.25</v>
      </c>
      <c r="T24" s="1747">
        <f t="shared" si="9"/>
        <v>0.4</v>
      </c>
      <c r="U24" s="1747">
        <f t="shared" si="9"/>
        <v>0.16666666666666666</v>
      </c>
      <c r="V24" s="1747">
        <f t="shared" si="9"/>
        <v>0.16666666666666666</v>
      </c>
      <c r="W24" s="1747">
        <f t="shared" si="9"/>
        <v>0.25</v>
      </c>
      <c r="X24" s="1747">
        <f t="shared" si="9"/>
        <v>0.25</v>
      </c>
      <c r="Y24" s="1747">
        <f t="shared" si="9"/>
        <v>0.37499999999999994</v>
      </c>
      <c r="Z24" s="1751">
        <f t="shared" si="9"/>
        <v>0.25</v>
      </c>
      <c r="AA24" s="1747">
        <f t="shared" si="17"/>
        <v>0.25</v>
      </c>
      <c r="AB24" s="1747">
        <f t="shared" si="10"/>
        <v>0.4</v>
      </c>
      <c r="AC24" s="1748">
        <f t="shared" si="11"/>
        <v>0.4285714285714286</v>
      </c>
      <c r="AD24" s="1747">
        <f t="shared" si="12"/>
        <v>0.4285714285714286</v>
      </c>
      <c r="AE24" s="1747">
        <f t="shared" si="18"/>
        <v>0.37499999999999994</v>
      </c>
      <c r="AG24" s="1207" t="s">
        <v>417</v>
      </c>
      <c r="AH24" s="1211" t="s">
        <v>413</v>
      </c>
      <c r="AI24" s="1208" t="s">
        <v>418</v>
      </c>
      <c r="AJ24" s="1209">
        <v>0.2</v>
      </c>
      <c r="AK24" s="1209">
        <v>0.2</v>
      </c>
      <c r="AL24" s="1209">
        <v>0.1</v>
      </c>
      <c r="AM24" s="1209">
        <v>0.1</v>
      </c>
      <c r="AN24" s="1209">
        <v>0.2</v>
      </c>
      <c r="AO24" s="1209">
        <v>0.2</v>
      </c>
      <c r="AP24" s="1209">
        <v>0.3</v>
      </c>
      <c r="AQ24" s="1223">
        <v>0.1</v>
      </c>
      <c r="AR24" s="1209">
        <v>0.2</v>
      </c>
      <c r="AS24" s="1213">
        <v>0.2</v>
      </c>
      <c r="AT24" s="1214">
        <v>0.5</v>
      </c>
      <c r="AU24" s="1213">
        <v>0.5</v>
      </c>
      <c r="AV24" s="1213">
        <v>0.6</v>
      </c>
      <c r="AX24" s="1207" t="s">
        <v>417</v>
      </c>
      <c r="AY24" s="1211" t="s">
        <v>413</v>
      </c>
      <c r="AZ24" s="1208" t="s">
        <v>418</v>
      </c>
      <c r="BA24" s="1213">
        <v>0.2</v>
      </c>
      <c r="BB24" s="1213">
        <v>0.4</v>
      </c>
      <c r="BC24" s="1213">
        <v>0.2</v>
      </c>
      <c r="BD24" s="1213">
        <v>0.2</v>
      </c>
      <c r="BE24" s="1213">
        <v>0.2</v>
      </c>
      <c r="BF24" s="1213">
        <v>0.2</v>
      </c>
      <c r="BG24" s="1213">
        <v>0.4</v>
      </c>
      <c r="BH24" s="1215">
        <v>0.2</v>
      </c>
      <c r="BI24" s="1213">
        <v>0.2</v>
      </c>
      <c r="BJ24" s="1213">
        <v>0.4</v>
      </c>
      <c r="BK24" s="1214">
        <v>0.4</v>
      </c>
      <c r="BL24" s="1213">
        <v>0.4</v>
      </c>
      <c r="BM24" s="1213">
        <v>0.4</v>
      </c>
      <c r="BO24" s="1207" t="s">
        <v>417</v>
      </c>
      <c r="BP24" s="1211" t="s">
        <v>413</v>
      </c>
      <c r="BQ24" s="1208" t="s">
        <v>418</v>
      </c>
      <c r="BR24" s="1815">
        <f>0.2/(0.3+0.2+0.3)</f>
        <v>0.25</v>
      </c>
      <c r="BS24" s="1815">
        <f>0.2/(0.3+0.2)</f>
        <v>0.4</v>
      </c>
      <c r="BT24" s="1815">
        <f>0.1/(0.3+0.1+0.2)</f>
        <v>0.16666666666666666</v>
      </c>
      <c r="BU24" s="1815">
        <f>0.1/(0.3+0.1+0.2)</f>
        <v>0.16666666666666666</v>
      </c>
      <c r="BV24" s="1815">
        <f>0.2/(0.3+0.2+0.3)</f>
        <v>0.25</v>
      </c>
      <c r="BW24" s="1815">
        <f>0.2/(0.3+0.2+0.3)</f>
        <v>0.25</v>
      </c>
      <c r="BX24" s="1815">
        <f>0.3/(0.5+0.3)</f>
        <v>0.37499999999999994</v>
      </c>
      <c r="BY24" s="1815">
        <f>0.2/(0.3+0.2+0.3)</f>
        <v>0.25</v>
      </c>
      <c r="BZ24" s="1815">
        <f>0.2/(0.3+0.2+0.3)</f>
        <v>0.25</v>
      </c>
      <c r="CA24" s="1815">
        <f>0.2/(0.3+0.2)</f>
        <v>0.4</v>
      </c>
      <c r="CB24" s="1815">
        <f>0.3/(0.4+0.3)</f>
        <v>0.4285714285714286</v>
      </c>
      <c r="CC24" s="1815">
        <f>0.3/(0.4+0.3)</f>
        <v>0.4285714285714286</v>
      </c>
      <c r="CD24" s="1815">
        <f>0.3/(0.5+0.3)</f>
        <v>0.37499999999999994</v>
      </c>
      <c r="CE24" s="1469"/>
      <c r="CG24" s="1207" t="s">
        <v>417</v>
      </c>
      <c r="CH24" s="1211" t="s">
        <v>413</v>
      </c>
      <c r="CI24" s="1208" t="s">
        <v>418</v>
      </c>
      <c r="CJ24" s="1689">
        <f t="shared" si="19"/>
        <v>0.25</v>
      </c>
      <c r="CK24" s="1689">
        <f t="shared" si="20"/>
        <v>0.4</v>
      </c>
      <c r="CL24" s="1689">
        <f t="shared" si="21"/>
        <v>0.16666666666666666</v>
      </c>
      <c r="CM24" s="1689">
        <f t="shared" si="22"/>
        <v>0.16666666666666666</v>
      </c>
      <c r="CN24" s="1689">
        <f t="shared" si="23"/>
        <v>0.25</v>
      </c>
      <c r="CO24" s="1689">
        <f t="shared" si="24"/>
        <v>0.25</v>
      </c>
      <c r="CP24" s="1689">
        <f t="shared" si="25"/>
        <v>0.37499999999999994</v>
      </c>
      <c r="CQ24" s="1694">
        <f t="shared" si="26"/>
        <v>0.25</v>
      </c>
      <c r="CR24" s="1689">
        <f t="shared" si="27"/>
        <v>0.25</v>
      </c>
      <c r="CS24" s="1689">
        <f t="shared" si="28"/>
        <v>0.4</v>
      </c>
      <c r="CT24" s="1691">
        <f t="shared" si="13"/>
        <v>0.4285714285714286</v>
      </c>
      <c r="CU24" s="1689">
        <f t="shared" si="14"/>
        <v>0.4285714285714286</v>
      </c>
      <c r="CV24" s="1689">
        <f t="shared" si="15"/>
        <v>0.37499999999999994</v>
      </c>
      <c r="CX24" s="1207" t="s">
        <v>417</v>
      </c>
      <c r="CY24" s="1211" t="s">
        <v>413</v>
      </c>
      <c r="CZ24" s="1208" t="s">
        <v>418</v>
      </c>
      <c r="DA24" s="1678">
        <f t="shared" si="29"/>
        <v>0.25</v>
      </c>
      <c r="DB24" s="1678"/>
      <c r="DC24" s="1678"/>
      <c r="DD24" s="1678"/>
      <c r="DE24" s="1678"/>
      <c r="DF24" s="1678"/>
      <c r="DG24" s="1678"/>
      <c r="DH24" s="1797"/>
      <c r="DI24" s="1678"/>
      <c r="DJ24" s="1678"/>
      <c r="DK24" s="1795"/>
      <c r="DL24" s="1678"/>
      <c r="DM24" s="1678"/>
    </row>
    <row r="25" spans="2:117">
      <c r="B25" s="1186" t="str">
        <f t="shared" si="0"/>
        <v>2.1.4</v>
      </c>
      <c r="C25" s="1208" t="str">
        <f t="shared" si="1"/>
        <v>ゾーン別制御性</v>
      </c>
      <c r="D25" s="1196">
        <f t="shared" si="31"/>
        <v>0.37499999999999994</v>
      </c>
      <c r="E25" s="1206">
        <f t="shared" si="31"/>
        <v>0</v>
      </c>
      <c r="G25" s="1206">
        <f t="shared" si="2"/>
        <v>0.37499999999999994</v>
      </c>
      <c r="H25" s="1206">
        <f t="shared" si="3"/>
        <v>0</v>
      </c>
      <c r="I25" s="1206"/>
      <c r="J25" s="1206"/>
      <c r="K25" s="1206">
        <f>IF(スコア!Q25=0,0,1)</f>
        <v>1</v>
      </c>
      <c r="L25" s="1206">
        <f>IF(スコア!S25=0,0,1)</f>
        <v>0</v>
      </c>
      <c r="M25" s="1206">
        <f t="shared" si="4"/>
        <v>0.37499999999999994</v>
      </c>
      <c r="N25" s="1206">
        <f t="shared" si="5"/>
        <v>0</v>
      </c>
      <c r="P25" s="1207" t="str">
        <f t="shared" si="6"/>
        <v>2.1.4</v>
      </c>
      <c r="Q25" s="1207" t="str">
        <f t="shared" si="7"/>
        <v xml:space="preserve"> Q1 2.1</v>
      </c>
      <c r="R25" s="1208" t="str">
        <f t="shared" si="8"/>
        <v>ゾーン別制御性</v>
      </c>
      <c r="S25" s="1747">
        <f t="shared" si="16"/>
        <v>0.37499999999999994</v>
      </c>
      <c r="T25" s="1747">
        <f t="shared" ref="T25:T63" si="32">IF($P$3=1,BB25,IF($P$3=2,BS25,IF($P$3=3,CK25,IF($P$3=4,DB25,AK25))))</f>
        <v>0</v>
      </c>
      <c r="U25" s="1747">
        <f t="shared" ref="U25:U63" si="33">IF($P$3=1,BC25,IF($P$3=2,BT25,IF($P$3=3,CL25,IF($P$3=4,DC25,AL25))))</f>
        <v>0.33333333333333331</v>
      </c>
      <c r="V25" s="1747">
        <f t="shared" ref="V25:V63" si="34">IF($P$3=1,BD25,IF($P$3=2,BU25,IF($P$3=3,CM25,IF($P$3=4,DD25,AM25))))</f>
        <v>0.33333333333333331</v>
      </c>
      <c r="W25" s="1747">
        <f t="shared" ref="W25:W63" si="35">IF($P$3=1,BE25,IF($P$3=2,BV25,IF($P$3=3,CN25,IF($P$3=4,DE25,AN25))))</f>
        <v>0.37499999999999994</v>
      </c>
      <c r="X25" s="1747">
        <f t="shared" ref="X25:X63" si="36">IF($P$3=1,BF25,IF($P$3=2,BW25,IF($P$3=3,CO25,IF($P$3=4,DF25,AO25))))</f>
        <v>0.37499999999999994</v>
      </c>
      <c r="Y25" s="1747">
        <f t="shared" ref="Y25:Y63" si="37">IF($P$3=1,BG25,IF($P$3=2,BX25,IF($P$3=3,CP25,IF($P$3=4,DG25,AP25))))</f>
        <v>0</v>
      </c>
      <c r="Z25" s="1751">
        <f t="shared" ref="Z25:Z63" si="38">IF($P$3=1,BH25,IF($P$3=2,BY25,IF($P$3=3,CQ25,IF($P$3=4,DH25,AQ25))))</f>
        <v>0.37499999999999994</v>
      </c>
      <c r="AA25" s="1747">
        <f t="shared" si="17"/>
        <v>0.37499999999999994</v>
      </c>
      <c r="AB25" s="1747">
        <f t="shared" si="10"/>
        <v>0</v>
      </c>
      <c r="AC25" s="1748">
        <f t="shared" si="11"/>
        <v>0</v>
      </c>
      <c r="AD25" s="1747">
        <f t="shared" si="12"/>
        <v>0</v>
      </c>
      <c r="AE25" s="1747">
        <f t="shared" si="18"/>
        <v>0</v>
      </c>
      <c r="AG25" s="1207" t="s">
        <v>2119</v>
      </c>
      <c r="AH25" s="1211" t="s">
        <v>413</v>
      </c>
      <c r="AI25" s="1208" t="s">
        <v>2120</v>
      </c>
      <c r="AJ25" s="1209">
        <v>0.3</v>
      </c>
      <c r="AK25" s="1209"/>
      <c r="AL25" s="1209">
        <v>0.2</v>
      </c>
      <c r="AM25" s="1209">
        <v>0.2</v>
      </c>
      <c r="AN25" s="1209">
        <v>0.3</v>
      </c>
      <c r="AO25" s="1209">
        <v>0.3</v>
      </c>
      <c r="AP25" s="1209"/>
      <c r="AQ25" s="1223">
        <v>0.2</v>
      </c>
      <c r="AR25" s="1209">
        <v>0.3</v>
      </c>
      <c r="AS25" s="1213">
        <v>0</v>
      </c>
      <c r="AT25" s="1214"/>
      <c r="AU25" s="1213"/>
      <c r="AV25" s="1213"/>
      <c r="AX25" s="1207" t="s">
        <v>2119</v>
      </c>
      <c r="AY25" s="1211" t="s">
        <v>413</v>
      </c>
      <c r="AZ25" s="1208" t="s">
        <v>2120</v>
      </c>
      <c r="BA25" s="1213">
        <v>0.5</v>
      </c>
      <c r="BB25" s="1213"/>
      <c r="BC25" s="1213">
        <v>0.5</v>
      </c>
      <c r="BD25" s="1213">
        <v>0.5</v>
      </c>
      <c r="BE25" s="1213">
        <v>0.5</v>
      </c>
      <c r="BF25" s="1213">
        <v>0.5</v>
      </c>
      <c r="BG25" s="1213"/>
      <c r="BH25" s="1215">
        <v>0.5</v>
      </c>
      <c r="BI25" s="1213">
        <v>0.5</v>
      </c>
      <c r="BJ25" s="1213"/>
      <c r="BK25" s="1214"/>
      <c r="BL25" s="1213"/>
      <c r="BM25" s="1213"/>
      <c r="BO25" s="1207" t="s">
        <v>2119</v>
      </c>
      <c r="BP25" s="1211" t="s">
        <v>413</v>
      </c>
      <c r="BQ25" s="1208" t="s">
        <v>2120</v>
      </c>
      <c r="BR25" s="1815">
        <f>0.3/(0.3+0.2+0.3)</f>
        <v>0.37499999999999994</v>
      </c>
      <c r="BS25" s="1213"/>
      <c r="BT25" s="1815">
        <f>0.2/(0.3+0.1+0.2)</f>
        <v>0.33333333333333331</v>
      </c>
      <c r="BU25" s="1815">
        <f>0.2/(0.3+0.1+0.2)</f>
        <v>0.33333333333333331</v>
      </c>
      <c r="BV25" s="1815">
        <f>0.3/(0.3+0.2+0.3)</f>
        <v>0.37499999999999994</v>
      </c>
      <c r="BW25" s="1815">
        <f>0.3/(0.3+0.2+0.3)</f>
        <v>0.37499999999999994</v>
      </c>
      <c r="BX25" s="1213"/>
      <c r="BY25" s="1815">
        <f>0.3/(0.3+0.2+0.3)</f>
        <v>0.37499999999999994</v>
      </c>
      <c r="BZ25" s="1815">
        <f>0.3/(0.3+0.2+0.3)</f>
        <v>0.37499999999999994</v>
      </c>
      <c r="CA25" s="1213"/>
      <c r="CB25" s="1214"/>
      <c r="CC25" s="1213"/>
      <c r="CD25" s="1213"/>
      <c r="CE25" s="1469"/>
      <c r="CG25" s="1207" t="s">
        <v>2119</v>
      </c>
      <c r="CH25" s="1211" t="s">
        <v>413</v>
      </c>
      <c r="CI25" s="1208" t="s">
        <v>2120</v>
      </c>
      <c r="CJ25" s="1689">
        <f t="shared" si="19"/>
        <v>0.37499999999999994</v>
      </c>
      <c r="CK25" s="1689">
        <f t="shared" si="20"/>
        <v>0</v>
      </c>
      <c r="CL25" s="1689">
        <f t="shared" si="21"/>
        <v>0.33333333333333331</v>
      </c>
      <c r="CM25" s="1689">
        <f t="shared" si="22"/>
        <v>0.33333333333333331</v>
      </c>
      <c r="CN25" s="1689">
        <f t="shared" si="23"/>
        <v>0.37499999999999994</v>
      </c>
      <c r="CO25" s="1689">
        <f t="shared" si="24"/>
        <v>0.37499999999999994</v>
      </c>
      <c r="CP25" s="1689">
        <f t="shared" si="25"/>
        <v>0</v>
      </c>
      <c r="CQ25" s="1694">
        <f t="shared" si="26"/>
        <v>0.37499999999999994</v>
      </c>
      <c r="CR25" s="1689">
        <f t="shared" si="27"/>
        <v>0.37499999999999994</v>
      </c>
      <c r="CS25" s="1689">
        <f t="shared" si="28"/>
        <v>0</v>
      </c>
      <c r="CT25" s="1691">
        <f t="shared" si="13"/>
        <v>0</v>
      </c>
      <c r="CU25" s="1689">
        <f t="shared" si="14"/>
        <v>0</v>
      </c>
      <c r="CV25" s="1689">
        <f t="shared" si="15"/>
        <v>0</v>
      </c>
      <c r="CX25" s="1207" t="s">
        <v>2119</v>
      </c>
      <c r="CY25" s="1211" t="s">
        <v>413</v>
      </c>
      <c r="CZ25" s="1208" t="s">
        <v>2120</v>
      </c>
      <c r="DA25" s="1678">
        <f t="shared" si="29"/>
        <v>0.37499999999999994</v>
      </c>
      <c r="DB25" s="1678"/>
      <c r="DC25" s="1678"/>
      <c r="DD25" s="1678"/>
      <c r="DE25" s="1678"/>
      <c r="DF25" s="1678"/>
      <c r="DG25" s="1678"/>
      <c r="DH25" s="1797"/>
      <c r="DI25" s="1678"/>
      <c r="DJ25" s="1678"/>
      <c r="DK25" s="1795"/>
      <c r="DL25" s="1678"/>
      <c r="DM25" s="1678"/>
    </row>
    <row r="26" spans="2:117" hidden="1">
      <c r="B26" s="1186" t="str">
        <f t="shared" si="0"/>
        <v>2.1.5</v>
      </c>
      <c r="C26" s="1208">
        <f t="shared" si="1"/>
        <v>0</v>
      </c>
      <c r="D26" s="1196">
        <f t="shared" si="31"/>
        <v>0</v>
      </c>
      <c r="E26" s="1206">
        <f t="shared" si="31"/>
        <v>0</v>
      </c>
      <c r="G26" s="1206">
        <f t="shared" si="2"/>
        <v>0</v>
      </c>
      <c r="H26" s="1206">
        <f t="shared" si="3"/>
        <v>0</v>
      </c>
      <c r="I26" s="1206"/>
      <c r="J26" s="1206"/>
      <c r="K26" s="1206">
        <f>IF(スコア!Q26=0,0,1)</f>
        <v>0</v>
      </c>
      <c r="L26" s="1206">
        <f>IF(スコア!S26=0,0,1)</f>
        <v>0</v>
      </c>
      <c r="M26" s="1206">
        <f t="shared" si="4"/>
        <v>0</v>
      </c>
      <c r="N26" s="1206">
        <f t="shared" si="5"/>
        <v>0</v>
      </c>
      <c r="P26" s="1207" t="str">
        <f t="shared" si="6"/>
        <v>2.1.5</v>
      </c>
      <c r="Q26" s="1207" t="str">
        <f t="shared" si="7"/>
        <v xml:space="preserve"> Q1 2.1</v>
      </c>
      <c r="R26" s="1208">
        <f t="shared" si="8"/>
        <v>0</v>
      </c>
      <c r="S26" s="1747">
        <f t="shared" si="16"/>
        <v>0</v>
      </c>
      <c r="T26" s="1747">
        <f t="shared" si="32"/>
        <v>0</v>
      </c>
      <c r="U26" s="1747">
        <f t="shared" si="33"/>
        <v>0</v>
      </c>
      <c r="V26" s="1747">
        <f t="shared" si="34"/>
        <v>0</v>
      </c>
      <c r="W26" s="1747">
        <f t="shared" si="35"/>
        <v>0</v>
      </c>
      <c r="X26" s="1747">
        <f t="shared" si="36"/>
        <v>0</v>
      </c>
      <c r="Y26" s="1747">
        <f t="shared" si="37"/>
        <v>0</v>
      </c>
      <c r="Z26" s="1751">
        <f t="shared" si="38"/>
        <v>0</v>
      </c>
      <c r="AA26" s="1747">
        <f t="shared" si="17"/>
        <v>0</v>
      </c>
      <c r="AB26" s="1747">
        <f t="shared" si="10"/>
        <v>0</v>
      </c>
      <c r="AC26" s="1748">
        <f t="shared" si="11"/>
        <v>0</v>
      </c>
      <c r="AD26" s="1747">
        <f t="shared" si="12"/>
        <v>0</v>
      </c>
      <c r="AE26" s="1747">
        <f t="shared" si="18"/>
        <v>0</v>
      </c>
      <c r="AG26" s="1207" t="s">
        <v>2121</v>
      </c>
      <c r="AH26" s="1211" t="s">
        <v>413</v>
      </c>
      <c r="AI26" s="1208" t="s">
        <v>2122</v>
      </c>
      <c r="AJ26" s="1218">
        <v>0.1</v>
      </c>
      <c r="AK26" s="1218">
        <v>0.1</v>
      </c>
      <c r="AL26" s="1218">
        <v>0.1</v>
      </c>
      <c r="AM26" s="1218">
        <v>0.1</v>
      </c>
      <c r="AN26" s="1218">
        <v>0.1</v>
      </c>
      <c r="AO26" s="1218">
        <v>0.1</v>
      </c>
      <c r="AP26" s="1218">
        <v>0.2</v>
      </c>
      <c r="AQ26" s="1224">
        <v>0.1</v>
      </c>
      <c r="AR26" s="1218">
        <v>0.1</v>
      </c>
      <c r="AS26" s="1213">
        <v>0.1</v>
      </c>
      <c r="AT26" s="1214">
        <v>0.3</v>
      </c>
      <c r="AU26" s="1213">
        <v>0.3</v>
      </c>
      <c r="AV26" s="1213"/>
      <c r="AX26" s="1207" t="s">
        <v>2121</v>
      </c>
      <c r="AY26" s="1211" t="s">
        <v>413</v>
      </c>
      <c r="AZ26" s="1208" t="s">
        <v>2122</v>
      </c>
      <c r="BA26" s="1213"/>
      <c r="BB26" s="1213"/>
      <c r="BC26" s="1213"/>
      <c r="BD26" s="1213"/>
      <c r="BE26" s="1213"/>
      <c r="BF26" s="1213"/>
      <c r="BG26" s="1213"/>
      <c r="BH26" s="1215"/>
      <c r="BI26" s="1213"/>
      <c r="BJ26" s="1213"/>
      <c r="BK26" s="1214"/>
      <c r="BL26" s="1213"/>
      <c r="BM26" s="1213"/>
      <c r="BO26" s="1207" t="s">
        <v>2121</v>
      </c>
      <c r="BP26" s="1211" t="s">
        <v>413</v>
      </c>
      <c r="BQ26" s="1208"/>
      <c r="BR26" s="1213"/>
      <c r="BS26" s="1213"/>
      <c r="BT26" s="1213"/>
      <c r="BU26" s="1213"/>
      <c r="BV26" s="1213"/>
      <c r="BW26" s="1213"/>
      <c r="BX26" s="1213"/>
      <c r="BY26" s="1571"/>
      <c r="BZ26" s="1213"/>
      <c r="CA26" s="1213"/>
      <c r="CB26" s="1214"/>
      <c r="CC26" s="1213"/>
      <c r="CD26" s="1213"/>
      <c r="CE26" s="1469"/>
      <c r="CG26" s="1207" t="s">
        <v>2121</v>
      </c>
      <c r="CH26" s="1211" t="s">
        <v>413</v>
      </c>
      <c r="CI26" s="1208"/>
      <c r="CJ26" s="1689">
        <f t="shared" si="19"/>
        <v>0</v>
      </c>
      <c r="CK26" s="1689">
        <f t="shared" si="20"/>
        <v>0</v>
      </c>
      <c r="CL26" s="1689">
        <f t="shared" si="21"/>
        <v>0</v>
      </c>
      <c r="CM26" s="1689">
        <f t="shared" si="22"/>
        <v>0</v>
      </c>
      <c r="CN26" s="1689">
        <f t="shared" si="23"/>
        <v>0</v>
      </c>
      <c r="CO26" s="1689">
        <f t="shared" si="24"/>
        <v>0</v>
      </c>
      <c r="CP26" s="1689">
        <f t="shared" si="25"/>
        <v>0</v>
      </c>
      <c r="CQ26" s="1694">
        <f t="shared" si="26"/>
        <v>0</v>
      </c>
      <c r="CR26" s="1689">
        <f t="shared" si="27"/>
        <v>0</v>
      </c>
      <c r="CS26" s="1689">
        <f t="shared" si="28"/>
        <v>0</v>
      </c>
      <c r="CT26" s="1691">
        <f t="shared" si="13"/>
        <v>0</v>
      </c>
      <c r="CU26" s="1689">
        <f t="shared" si="14"/>
        <v>0</v>
      </c>
      <c r="CV26" s="1689">
        <f t="shared" si="15"/>
        <v>0</v>
      </c>
      <c r="CX26" s="1207" t="s">
        <v>2121</v>
      </c>
      <c r="CY26" s="1211" t="s">
        <v>413</v>
      </c>
      <c r="CZ26" s="1208"/>
      <c r="DA26" s="1678">
        <f t="shared" si="29"/>
        <v>0</v>
      </c>
      <c r="DB26" s="1678"/>
      <c r="DC26" s="1678"/>
      <c r="DD26" s="1678"/>
      <c r="DE26" s="1678"/>
      <c r="DF26" s="1678"/>
      <c r="DG26" s="1678"/>
      <c r="DH26" s="1797"/>
      <c r="DI26" s="1678"/>
      <c r="DJ26" s="1678"/>
      <c r="DK26" s="1795"/>
      <c r="DL26" s="1678"/>
      <c r="DM26" s="1678"/>
    </row>
    <row r="27" spans="2:117" hidden="1">
      <c r="B27" s="1186" t="str">
        <f t="shared" si="0"/>
        <v>2.1.6</v>
      </c>
      <c r="C27" s="1208">
        <f t="shared" si="1"/>
        <v>0</v>
      </c>
      <c r="D27" s="1196">
        <f t="shared" si="31"/>
        <v>0</v>
      </c>
      <c r="E27" s="1206">
        <f t="shared" si="31"/>
        <v>0</v>
      </c>
      <c r="G27" s="1206">
        <f t="shared" si="2"/>
        <v>0</v>
      </c>
      <c r="H27" s="1206">
        <f t="shared" si="3"/>
        <v>0</v>
      </c>
      <c r="I27" s="1206"/>
      <c r="J27" s="1206"/>
      <c r="K27" s="1206">
        <f>IF(スコア!Q27=0,0,1)</f>
        <v>0</v>
      </c>
      <c r="L27" s="1206">
        <f>IF(スコア!S27=0,0,1)</f>
        <v>0</v>
      </c>
      <c r="M27" s="1206">
        <f t="shared" si="4"/>
        <v>0</v>
      </c>
      <c r="N27" s="1206">
        <f t="shared" si="5"/>
        <v>0</v>
      </c>
      <c r="P27" s="1207" t="str">
        <f t="shared" si="6"/>
        <v>2.1.6</v>
      </c>
      <c r="Q27" s="1207" t="str">
        <f t="shared" si="7"/>
        <v xml:space="preserve"> Q1 2.1</v>
      </c>
      <c r="R27" s="1208">
        <f t="shared" si="8"/>
        <v>0</v>
      </c>
      <c r="S27" s="1747">
        <f t="shared" si="16"/>
        <v>0</v>
      </c>
      <c r="T27" s="1747">
        <f t="shared" si="32"/>
        <v>0</v>
      </c>
      <c r="U27" s="1747">
        <f t="shared" si="33"/>
        <v>0</v>
      </c>
      <c r="V27" s="1747">
        <f t="shared" si="34"/>
        <v>0</v>
      </c>
      <c r="W27" s="1747">
        <f t="shared" si="35"/>
        <v>0</v>
      </c>
      <c r="X27" s="1747">
        <f t="shared" si="36"/>
        <v>0</v>
      </c>
      <c r="Y27" s="1747">
        <f t="shared" si="37"/>
        <v>0</v>
      </c>
      <c r="Z27" s="1751">
        <f t="shared" si="38"/>
        <v>0</v>
      </c>
      <c r="AA27" s="1747">
        <f t="shared" si="17"/>
        <v>0</v>
      </c>
      <c r="AB27" s="1747">
        <f t="shared" si="10"/>
        <v>0</v>
      </c>
      <c r="AC27" s="1748">
        <f t="shared" si="11"/>
        <v>0</v>
      </c>
      <c r="AD27" s="1747">
        <f t="shared" si="12"/>
        <v>0</v>
      </c>
      <c r="AE27" s="1747">
        <f t="shared" si="18"/>
        <v>0</v>
      </c>
      <c r="AG27" s="1207" t="s">
        <v>2123</v>
      </c>
      <c r="AH27" s="1211" t="s">
        <v>413</v>
      </c>
      <c r="AI27" s="1208" t="s">
        <v>2124</v>
      </c>
      <c r="AJ27" s="1218"/>
      <c r="AK27" s="1218"/>
      <c r="AL27" s="1218"/>
      <c r="AM27" s="1218"/>
      <c r="AN27" s="1218"/>
      <c r="AO27" s="1218"/>
      <c r="AP27" s="1218"/>
      <c r="AQ27" s="1224"/>
      <c r="AR27" s="1218"/>
      <c r="AS27" s="1213">
        <v>0</v>
      </c>
      <c r="AT27" s="1214">
        <v>0.2</v>
      </c>
      <c r="AU27" s="1213">
        <v>0.2</v>
      </c>
      <c r="AV27" s="1213">
        <v>0.4</v>
      </c>
      <c r="AX27" s="1207" t="s">
        <v>2123</v>
      </c>
      <c r="AY27" s="1211" t="s">
        <v>413</v>
      </c>
      <c r="AZ27" s="1208" t="s">
        <v>2124</v>
      </c>
      <c r="BA27" s="1213"/>
      <c r="BB27" s="1213"/>
      <c r="BC27" s="1213"/>
      <c r="BD27" s="1213"/>
      <c r="BE27" s="1213"/>
      <c r="BF27" s="1213"/>
      <c r="BG27" s="1213"/>
      <c r="BH27" s="1215"/>
      <c r="BI27" s="1213"/>
      <c r="BJ27" s="1213"/>
      <c r="BK27" s="1214"/>
      <c r="BL27" s="1213"/>
      <c r="BM27" s="1213"/>
      <c r="BO27" s="1207" t="s">
        <v>2123</v>
      </c>
      <c r="BP27" s="1211" t="s">
        <v>413</v>
      </c>
      <c r="BQ27" s="1208"/>
      <c r="BR27" s="1213"/>
      <c r="BS27" s="1213"/>
      <c r="BT27" s="1213"/>
      <c r="BU27" s="1213"/>
      <c r="BV27" s="1213"/>
      <c r="BW27" s="1213"/>
      <c r="BX27" s="1213"/>
      <c r="BY27" s="1571"/>
      <c r="BZ27" s="1213"/>
      <c r="CA27" s="1213"/>
      <c r="CB27" s="1214"/>
      <c r="CC27" s="1213"/>
      <c r="CD27" s="1213"/>
      <c r="CE27" s="1469"/>
      <c r="CG27" s="1207" t="s">
        <v>2123</v>
      </c>
      <c r="CH27" s="1211" t="s">
        <v>413</v>
      </c>
      <c r="CI27" s="1208"/>
      <c r="CJ27" s="1689">
        <f t="shared" si="19"/>
        <v>0</v>
      </c>
      <c r="CK27" s="1689">
        <f t="shared" si="20"/>
        <v>0</v>
      </c>
      <c r="CL27" s="1689">
        <f t="shared" si="21"/>
        <v>0</v>
      </c>
      <c r="CM27" s="1689">
        <f t="shared" si="22"/>
        <v>0</v>
      </c>
      <c r="CN27" s="1689">
        <f t="shared" si="23"/>
        <v>0</v>
      </c>
      <c r="CO27" s="1689">
        <f t="shared" si="24"/>
        <v>0</v>
      </c>
      <c r="CP27" s="1689">
        <f t="shared" si="25"/>
        <v>0</v>
      </c>
      <c r="CQ27" s="1694">
        <f t="shared" si="26"/>
        <v>0</v>
      </c>
      <c r="CR27" s="1689">
        <f t="shared" si="27"/>
        <v>0</v>
      </c>
      <c r="CS27" s="1689">
        <f t="shared" si="28"/>
        <v>0</v>
      </c>
      <c r="CT27" s="1691">
        <f t="shared" si="13"/>
        <v>0</v>
      </c>
      <c r="CU27" s="1689">
        <f t="shared" si="14"/>
        <v>0</v>
      </c>
      <c r="CV27" s="1689">
        <f t="shared" si="15"/>
        <v>0</v>
      </c>
      <c r="CX27" s="1207" t="s">
        <v>2123</v>
      </c>
      <c r="CY27" s="1211" t="s">
        <v>413</v>
      </c>
      <c r="CZ27" s="1208"/>
      <c r="DA27" s="1678">
        <f t="shared" si="29"/>
        <v>0</v>
      </c>
      <c r="DB27" s="1678"/>
      <c r="DC27" s="1678"/>
      <c r="DD27" s="1678"/>
      <c r="DE27" s="1678"/>
      <c r="DF27" s="1678"/>
      <c r="DG27" s="1678"/>
      <c r="DH27" s="1797"/>
      <c r="DI27" s="1678"/>
      <c r="DJ27" s="1678"/>
      <c r="DK27" s="1795"/>
      <c r="DL27" s="1678"/>
      <c r="DM27" s="1678"/>
    </row>
    <row r="28" spans="2:117" hidden="1">
      <c r="B28" s="1186" t="str">
        <f t="shared" si="0"/>
        <v>2.1.7</v>
      </c>
      <c r="C28" s="1208">
        <f t="shared" si="1"/>
        <v>0</v>
      </c>
      <c r="D28" s="1196">
        <f t="shared" si="31"/>
        <v>0</v>
      </c>
      <c r="E28" s="1206">
        <f t="shared" si="31"/>
        <v>0</v>
      </c>
      <c r="G28" s="1206">
        <f t="shared" si="2"/>
        <v>0</v>
      </c>
      <c r="H28" s="1206">
        <f t="shared" si="3"/>
        <v>0</v>
      </c>
      <c r="I28" s="1206"/>
      <c r="J28" s="1206"/>
      <c r="K28" s="1206">
        <f>IF(スコア!Q28=0,0,1)</f>
        <v>0</v>
      </c>
      <c r="L28" s="1206">
        <f>IF(スコア!S28=0,0,1)</f>
        <v>0</v>
      </c>
      <c r="M28" s="1206">
        <f t="shared" si="4"/>
        <v>0</v>
      </c>
      <c r="N28" s="1206">
        <f t="shared" si="5"/>
        <v>0</v>
      </c>
      <c r="P28" s="1207" t="str">
        <f t="shared" si="6"/>
        <v>2.1.7</v>
      </c>
      <c r="Q28" s="1207" t="str">
        <f t="shared" si="7"/>
        <v xml:space="preserve"> Q1 2.1</v>
      </c>
      <c r="R28" s="1208">
        <f t="shared" si="8"/>
        <v>0</v>
      </c>
      <c r="S28" s="1747">
        <f t="shared" si="16"/>
        <v>0</v>
      </c>
      <c r="T28" s="1747">
        <f t="shared" si="32"/>
        <v>0</v>
      </c>
      <c r="U28" s="1747">
        <f t="shared" si="33"/>
        <v>0</v>
      </c>
      <c r="V28" s="1747">
        <f t="shared" si="34"/>
        <v>0</v>
      </c>
      <c r="W28" s="1747">
        <f t="shared" si="35"/>
        <v>0</v>
      </c>
      <c r="X28" s="1747">
        <f t="shared" si="36"/>
        <v>0</v>
      </c>
      <c r="Y28" s="1747">
        <f t="shared" si="37"/>
        <v>0</v>
      </c>
      <c r="Z28" s="1751">
        <f t="shared" si="38"/>
        <v>0</v>
      </c>
      <c r="AA28" s="1747">
        <f t="shared" si="17"/>
        <v>0</v>
      </c>
      <c r="AB28" s="1747">
        <f t="shared" si="10"/>
        <v>0</v>
      </c>
      <c r="AC28" s="1748">
        <f t="shared" si="11"/>
        <v>0</v>
      </c>
      <c r="AD28" s="1747">
        <f t="shared" si="12"/>
        <v>0</v>
      </c>
      <c r="AE28" s="1747">
        <f t="shared" si="18"/>
        <v>0</v>
      </c>
      <c r="AG28" s="1207" t="s">
        <v>2125</v>
      </c>
      <c r="AH28" s="1211" t="s">
        <v>413</v>
      </c>
      <c r="AI28" s="1208" t="s">
        <v>2126</v>
      </c>
      <c r="AJ28" s="1218">
        <v>0.1</v>
      </c>
      <c r="AK28" s="1218">
        <v>0.2</v>
      </c>
      <c r="AL28" s="1218"/>
      <c r="AM28" s="1218"/>
      <c r="AN28" s="1218">
        <v>0.1</v>
      </c>
      <c r="AO28" s="1218">
        <v>0.1</v>
      </c>
      <c r="AP28" s="1218"/>
      <c r="AQ28" s="1224"/>
      <c r="AR28" s="1218">
        <v>0.1</v>
      </c>
      <c r="AS28" s="1213">
        <v>0.2</v>
      </c>
      <c r="AT28" s="1214"/>
      <c r="AU28" s="1213"/>
      <c r="AV28" s="1213"/>
      <c r="AX28" s="1207" t="s">
        <v>2125</v>
      </c>
      <c r="AY28" s="1211" t="s">
        <v>413</v>
      </c>
      <c r="AZ28" s="1208" t="s">
        <v>2126</v>
      </c>
      <c r="BA28" s="1213"/>
      <c r="BB28" s="1213"/>
      <c r="BC28" s="1213"/>
      <c r="BD28" s="1213"/>
      <c r="BE28" s="1213"/>
      <c r="BF28" s="1213"/>
      <c r="BG28" s="1213"/>
      <c r="BH28" s="1215"/>
      <c r="BI28" s="1213"/>
      <c r="BJ28" s="1213"/>
      <c r="BK28" s="1214"/>
      <c r="BL28" s="1213"/>
      <c r="BM28" s="1213"/>
      <c r="BO28" s="1207" t="s">
        <v>2125</v>
      </c>
      <c r="BP28" s="1211" t="s">
        <v>413</v>
      </c>
      <c r="BQ28" s="1208"/>
      <c r="BR28" s="1213"/>
      <c r="BS28" s="1213"/>
      <c r="BT28" s="1213"/>
      <c r="BU28" s="1213"/>
      <c r="BV28" s="1213"/>
      <c r="BW28" s="1213"/>
      <c r="BX28" s="1213"/>
      <c r="BY28" s="1571"/>
      <c r="BZ28" s="1213"/>
      <c r="CA28" s="1213"/>
      <c r="CB28" s="1214"/>
      <c r="CC28" s="1213"/>
      <c r="CD28" s="1213"/>
      <c r="CE28" s="1469"/>
      <c r="CG28" s="1207" t="s">
        <v>2125</v>
      </c>
      <c r="CH28" s="1211" t="s">
        <v>413</v>
      </c>
      <c r="CI28" s="1208"/>
      <c r="CJ28" s="1689">
        <f t="shared" si="19"/>
        <v>0</v>
      </c>
      <c r="CK28" s="1689">
        <f t="shared" si="20"/>
        <v>0</v>
      </c>
      <c r="CL28" s="1689">
        <f t="shared" si="21"/>
        <v>0</v>
      </c>
      <c r="CM28" s="1689">
        <f t="shared" si="22"/>
        <v>0</v>
      </c>
      <c r="CN28" s="1689">
        <f t="shared" si="23"/>
        <v>0</v>
      </c>
      <c r="CO28" s="1689">
        <f t="shared" si="24"/>
        <v>0</v>
      </c>
      <c r="CP28" s="1689">
        <f t="shared" si="25"/>
        <v>0</v>
      </c>
      <c r="CQ28" s="1694">
        <f t="shared" si="26"/>
        <v>0</v>
      </c>
      <c r="CR28" s="1689">
        <f t="shared" si="27"/>
        <v>0</v>
      </c>
      <c r="CS28" s="1689">
        <f t="shared" si="28"/>
        <v>0</v>
      </c>
      <c r="CT28" s="1691">
        <f t="shared" si="13"/>
        <v>0</v>
      </c>
      <c r="CU28" s="1689">
        <f t="shared" si="14"/>
        <v>0</v>
      </c>
      <c r="CV28" s="1689">
        <f t="shared" si="15"/>
        <v>0</v>
      </c>
      <c r="CX28" s="1207" t="s">
        <v>2125</v>
      </c>
      <c r="CY28" s="1211" t="s">
        <v>413</v>
      </c>
      <c r="CZ28" s="1208"/>
      <c r="DA28" s="1678">
        <f t="shared" si="29"/>
        <v>0</v>
      </c>
      <c r="DB28" s="1678"/>
      <c r="DC28" s="1678"/>
      <c r="DD28" s="1678"/>
      <c r="DE28" s="1678"/>
      <c r="DF28" s="1678"/>
      <c r="DG28" s="1678"/>
      <c r="DH28" s="1797"/>
      <c r="DI28" s="1678"/>
      <c r="DJ28" s="1678"/>
      <c r="DK28" s="1795"/>
      <c r="DL28" s="1678"/>
      <c r="DM28" s="1678"/>
    </row>
    <row r="29" spans="2:117" hidden="1">
      <c r="B29" s="1186" t="str">
        <f t="shared" si="0"/>
        <v>2.1.8</v>
      </c>
      <c r="C29" s="1208">
        <f t="shared" si="1"/>
        <v>0</v>
      </c>
      <c r="D29" s="1196">
        <f t="shared" si="31"/>
        <v>0</v>
      </c>
      <c r="E29" s="1206">
        <f t="shared" si="31"/>
        <v>0</v>
      </c>
      <c r="G29" s="1206">
        <f t="shared" si="2"/>
        <v>0</v>
      </c>
      <c r="H29" s="1206">
        <f t="shared" si="3"/>
        <v>0</v>
      </c>
      <c r="I29" s="1206"/>
      <c r="J29" s="1206"/>
      <c r="K29" s="1206">
        <f>IF(スコア!Q29=0,0,1)</f>
        <v>0</v>
      </c>
      <c r="L29" s="1206">
        <f>IF(スコア!S29=0,0,1)</f>
        <v>0</v>
      </c>
      <c r="M29" s="1206">
        <f t="shared" si="4"/>
        <v>0</v>
      </c>
      <c r="N29" s="1206">
        <f t="shared" si="5"/>
        <v>0</v>
      </c>
      <c r="P29" s="1207" t="str">
        <f t="shared" si="6"/>
        <v>2.1.8</v>
      </c>
      <c r="Q29" s="1207" t="str">
        <f t="shared" si="7"/>
        <v xml:space="preserve"> Q1 2.1</v>
      </c>
      <c r="R29" s="1208">
        <f t="shared" si="8"/>
        <v>0</v>
      </c>
      <c r="S29" s="1747">
        <f t="shared" si="16"/>
        <v>0</v>
      </c>
      <c r="T29" s="1747">
        <f t="shared" si="32"/>
        <v>0</v>
      </c>
      <c r="U29" s="1747">
        <f t="shared" si="33"/>
        <v>0</v>
      </c>
      <c r="V29" s="1747">
        <f t="shared" si="34"/>
        <v>0</v>
      </c>
      <c r="W29" s="1747">
        <f t="shared" si="35"/>
        <v>0</v>
      </c>
      <c r="X29" s="1747">
        <f t="shared" si="36"/>
        <v>0</v>
      </c>
      <c r="Y29" s="1747">
        <f t="shared" si="37"/>
        <v>0</v>
      </c>
      <c r="Z29" s="1751">
        <f t="shared" si="38"/>
        <v>0</v>
      </c>
      <c r="AA29" s="1747">
        <f t="shared" si="17"/>
        <v>0</v>
      </c>
      <c r="AB29" s="1747">
        <f t="shared" si="10"/>
        <v>0</v>
      </c>
      <c r="AC29" s="1748">
        <f t="shared" si="11"/>
        <v>0</v>
      </c>
      <c r="AD29" s="1747">
        <f t="shared" si="12"/>
        <v>0</v>
      </c>
      <c r="AE29" s="1747">
        <f t="shared" si="18"/>
        <v>0</v>
      </c>
      <c r="AG29" s="1207" t="s">
        <v>2127</v>
      </c>
      <c r="AH29" s="1211" t="s">
        <v>413</v>
      </c>
      <c r="AI29" s="1208" t="s">
        <v>2128</v>
      </c>
      <c r="AJ29" s="1218"/>
      <c r="AK29" s="1218"/>
      <c r="AL29" s="1218">
        <v>0.1</v>
      </c>
      <c r="AM29" s="1218">
        <v>0.1</v>
      </c>
      <c r="AN29" s="1218"/>
      <c r="AO29" s="1218"/>
      <c r="AP29" s="1218"/>
      <c r="AQ29" s="1224"/>
      <c r="AR29" s="1218"/>
      <c r="AS29" s="1213">
        <v>0</v>
      </c>
      <c r="AT29" s="1214"/>
      <c r="AU29" s="1213"/>
      <c r="AV29" s="1213"/>
      <c r="AX29" s="1207" t="s">
        <v>2127</v>
      </c>
      <c r="AY29" s="1211" t="s">
        <v>413</v>
      </c>
      <c r="AZ29" s="1208" t="s">
        <v>2128</v>
      </c>
      <c r="BA29" s="1213"/>
      <c r="BB29" s="1213"/>
      <c r="BC29" s="1213"/>
      <c r="BD29" s="1213"/>
      <c r="BE29" s="1213"/>
      <c r="BF29" s="1213"/>
      <c r="BG29" s="1213"/>
      <c r="BH29" s="1215"/>
      <c r="BI29" s="1213"/>
      <c r="BJ29" s="1213"/>
      <c r="BK29" s="1214"/>
      <c r="BL29" s="1213"/>
      <c r="BM29" s="1213"/>
      <c r="BO29" s="1207" t="s">
        <v>2127</v>
      </c>
      <c r="BP29" s="1211" t="s">
        <v>413</v>
      </c>
      <c r="BQ29" s="1208"/>
      <c r="BR29" s="1213"/>
      <c r="BS29" s="1213"/>
      <c r="BT29" s="1213"/>
      <c r="BU29" s="1213"/>
      <c r="BV29" s="1213"/>
      <c r="BW29" s="1213"/>
      <c r="BX29" s="1213"/>
      <c r="BY29" s="1571"/>
      <c r="BZ29" s="1213"/>
      <c r="CA29" s="1213"/>
      <c r="CB29" s="1214"/>
      <c r="CC29" s="1213"/>
      <c r="CD29" s="1213"/>
      <c r="CE29" s="1469"/>
      <c r="CG29" s="1207" t="s">
        <v>2127</v>
      </c>
      <c r="CH29" s="1211" t="s">
        <v>413</v>
      </c>
      <c r="CI29" s="1208"/>
      <c r="CJ29" s="1689">
        <f t="shared" si="19"/>
        <v>0</v>
      </c>
      <c r="CK29" s="1689">
        <f t="shared" si="20"/>
        <v>0</v>
      </c>
      <c r="CL29" s="1689">
        <f t="shared" si="21"/>
        <v>0</v>
      </c>
      <c r="CM29" s="1689">
        <f t="shared" si="22"/>
        <v>0</v>
      </c>
      <c r="CN29" s="1689">
        <f t="shared" si="23"/>
        <v>0</v>
      </c>
      <c r="CO29" s="1689">
        <f t="shared" si="24"/>
        <v>0</v>
      </c>
      <c r="CP29" s="1689">
        <f t="shared" si="25"/>
        <v>0</v>
      </c>
      <c r="CQ29" s="1694">
        <f t="shared" si="26"/>
        <v>0</v>
      </c>
      <c r="CR29" s="1689">
        <f t="shared" si="27"/>
        <v>0</v>
      </c>
      <c r="CS29" s="1689">
        <f t="shared" si="28"/>
        <v>0</v>
      </c>
      <c r="CT29" s="1691">
        <f t="shared" si="13"/>
        <v>0</v>
      </c>
      <c r="CU29" s="1689">
        <f t="shared" si="14"/>
        <v>0</v>
      </c>
      <c r="CV29" s="1689">
        <f t="shared" si="15"/>
        <v>0</v>
      </c>
      <c r="CX29" s="1207" t="s">
        <v>2127</v>
      </c>
      <c r="CY29" s="1211" t="s">
        <v>413</v>
      </c>
      <c r="CZ29" s="1208"/>
      <c r="DA29" s="1678">
        <f t="shared" si="29"/>
        <v>0</v>
      </c>
      <c r="DB29" s="1678"/>
      <c r="DC29" s="1678"/>
      <c r="DD29" s="1678"/>
      <c r="DE29" s="1678"/>
      <c r="DF29" s="1678"/>
      <c r="DG29" s="1678"/>
      <c r="DH29" s="1797"/>
      <c r="DI29" s="1678"/>
      <c r="DJ29" s="1678"/>
      <c r="DK29" s="1795"/>
      <c r="DL29" s="1678"/>
      <c r="DM29" s="1678"/>
    </row>
    <row r="30" spans="2:117">
      <c r="B30" s="1186">
        <f t="shared" si="0"/>
        <v>2.2000000000000002</v>
      </c>
      <c r="C30" s="1208" t="str">
        <f t="shared" si="1"/>
        <v>湿度制御</v>
      </c>
      <c r="D30" s="1205">
        <f t="shared" ref="D30:E32" si="39">IF(I$20=0,0,G30/I$20)</f>
        <v>0.2</v>
      </c>
      <c r="E30" s="1206">
        <f t="shared" si="39"/>
        <v>0</v>
      </c>
      <c r="G30" s="1206">
        <f t="shared" si="2"/>
        <v>0.2</v>
      </c>
      <c r="H30" s="1206">
        <f t="shared" si="3"/>
        <v>0</v>
      </c>
      <c r="I30" s="1206"/>
      <c r="J30" s="1206"/>
      <c r="K30" s="1206">
        <f>IF(スコア!Q30=0,0,1)</f>
        <v>1</v>
      </c>
      <c r="L30" s="1206">
        <f>IF(スコア!S30=0,0,1)</f>
        <v>1</v>
      </c>
      <c r="M30" s="1206">
        <f t="shared" si="4"/>
        <v>0.2</v>
      </c>
      <c r="N30" s="1206">
        <f t="shared" si="5"/>
        <v>0</v>
      </c>
      <c r="P30" s="1207">
        <f t="shared" si="6"/>
        <v>2.2000000000000002</v>
      </c>
      <c r="Q30" s="1207" t="str">
        <f t="shared" si="7"/>
        <v xml:space="preserve"> Q1 2</v>
      </c>
      <c r="R30" s="1208" t="str">
        <f t="shared" si="8"/>
        <v>湿度制御</v>
      </c>
      <c r="S30" s="1747">
        <f t="shared" si="16"/>
        <v>0.2</v>
      </c>
      <c r="T30" s="1747">
        <f t="shared" si="32"/>
        <v>0.2</v>
      </c>
      <c r="U30" s="1747">
        <f t="shared" si="33"/>
        <v>0.2</v>
      </c>
      <c r="V30" s="1747">
        <f t="shared" si="34"/>
        <v>0.2</v>
      </c>
      <c r="W30" s="1747">
        <f t="shared" si="35"/>
        <v>0.2</v>
      </c>
      <c r="X30" s="1747">
        <f t="shared" si="36"/>
        <v>0.2</v>
      </c>
      <c r="Y30" s="1747">
        <f t="shared" si="37"/>
        <v>0.2</v>
      </c>
      <c r="Z30" s="1751">
        <f t="shared" si="38"/>
        <v>0.2</v>
      </c>
      <c r="AA30" s="1747">
        <f t="shared" si="17"/>
        <v>0.2</v>
      </c>
      <c r="AB30" s="1747">
        <f t="shared" si="10"/>
        <v>0.2</v>
      </c>
      <c r="AC30" s="1748">
        <f t="shared" si="11"/>
        <v>0.2</v>
      </c>
      <c r="AD30" s="1747">
        <f t="shared" si="12"/>
        <v>0.2</v>
      </c>
      <c r="AE30" s="1747">
        <f t="shared" si="18"/>
        <v>0.2</v>
      </c>
      <c r="AG30" s="1207">
        <v>2.2000000000000002</v>
      </c>
      <c r="AH30" s="1211" t="s">
        <v>801</v>
      </c>
      <c r="AI30" s="1208" t="s">
        <v>219</v>
      </c>
      <c r="AJ30" s="1209">
        <v>0.2</v>
      </c>
      <c r="AK30" s="1209">
        <v>0.2</v>
      </c>
      <c r="AL30" s="1209">
        <v>0.2</v>
      </c>
      <c r="AM30" s="1209">
        <v>0.2</v>
      </c>
      <c r="AN30" s="1209">
        <v>0.2</v>
      </c>
      <c r="AO30" s="1209">
        <v>0.2</v>
      </c>
      <c r="AP30" s="1209">
        <v>0.2</v>
      </c>
      <c r="AQ30" s="1223">
        <v>0.2</v>
      </c>
      <c r="AR30" s="1209">
        <v>0.2</v>
      </c>
      <c r="AS30" s="1213">
        <v>0.2</v>
      </c>
      <c r="AT30" s="1214"/>
      <c r="AU30" s="1213"/>
      <c r="AV30" s="1213"/>
      <c r="AX30" s="1207">
        <v>2.2000000000000002</v>
      </c>
      <c r="AY30" s="1211" t="s">
        <v>801</v>
      </c>
      <c r="AZ30" s="1208" t="s">
        <v>219</v>
      </c>
      <c r="BA30" s="1213">
        <v>0.2</v>
      </c>
      <c r="BB30" s="1213">
        <v>0.2</v>
      </c>
      <c r="BC30" s="1213">
        <v>0.2</v>
      </c>
      <c r="BD30" s="1213">
        <v>0.2</v>
      </c>
      <c r="BE30" s="1213">
        <v>0.2</v>
      </c>
      <c r="BF30" s="1213">
        <v>0.2</v>
      </c>
      <c r="BG30" s="1213">
        <v>0.2</v>
      </c>
      <c r="BH30" s="1215">
        <v>0.2</v>
      </c>
      <c r="BI30" s="1213">
        <v>0.2</v>
      </c>
      <c r="BJ30" s="1213">
        <v>0.2</v>
      </c>
      <c r="BK30" s="1214">
        <v>0.2</v>
      </c>
      <c r="BL30" s="1213">
        <v>0.2</v>
      </c>
      <c r="BM30" s="1213">
        <v>0.2</v>
      </c>
      <c r="BO30" s="1207">
        <v>2.2000000000000002</v>
      </c>
      <c r="BP30" s="1211" t="s">
        <v>801</v>
      </c>
      <c r="BQ30" s="1208" t="s">
        <v>219</v>
      </c>
      <c r="BR30" s="1213">
        <v>0.2</v>
      </c>
      <c r="BS30" s="1213">
        <v>0.2</v>
      </c>
      <c r="BT30" s="1213">
        <v>0.2</v>
      </c>
      <c r="BU30" s="1213">
        <v>0.2</v>
      </c>
      <c r="BV30" s="1213">
        <v>0.2</v>
      </c>
      <c r="BW30" s="1213">
        <v>0.2</v>
      </c>
      <c r="BX30" s="1213">
        <v>0.2</v>
      </c>
      <c r="BY30" s="1571">
        <v>0.2</v>
      </c>
      <c r="BZ30" s="1213">
        <v>0.2</v>
      </c>
      <c r="CA30" s="1213">
        <v>0.2</v>
      </c>
      <c r="CB30" s="1214">
        <v>0.2</v>
      </c>
      <c r="CC30" s="1213">
        <v>0.2</v>
      </c>
      <c r="CD30" s="1213">
        <v>0.2</v>
      </c>
      <c r="CE30" s="1469"/>
      <c r="CG30" s="1207">
        <v>2.2000000000000002</v>
      </c>
      <c r="CH30" s="1211" t="s">
        <v>801</v>
      </c>
      <c r="CI30" s="1208" t="s">
        <v>219</v>
      </c>
      <c r="CJ30" s="1689">
        <f t="shared" si="19"/>
        <v>0.2</v>
      </c>
      <c r="CK30" s="1689">
        <f t="shared" si="20"/>
        <v>0.2</v>
      </c>
      <c r="CL30" s="1689">
        <f t="shared" si="21"/>
        <v>0.2</v>
      </c>
      <c r="CM30" s="1689">
        <f t="shared" si="22"/>
        <v>0.2</v>
      </c>
      <c r="CN30" s="1689">
        <f t="shared" si="23"/>
        <v>0.2</v>
      </c>
      <c r="CO30" s="1689">
        <f t="shared" si="24"/>
        <v>0.2</v>
      </c>
      <c r="CP30" s="1689">
        <f t="shared" si="25"/>
        <v>0.2</v>
      </c>
      <c r="CQ30" s="1694">
        <f t="shared" si="26"/>
        <v>0.2</v>
      </c>
      <c r="CR30" s="1689">
        <f t="shared" si="27"/>
        <v>0.2</v>
      </c>
      <c r="CS30" s="1689">
        <f t="shared" si="28"/>
        <v>0.2</v>
      </c>
      <c r="CT30" s="1691">
        <f t="shared" si="13"/>
        <v>0.2</v>
      </c>
      <c r="CU30" s="1689">
        <f t="shared" si="14"/>
        <v>0.2</v>
      </c>
      <c r="CV30" s="1689">
        <f t="shared" si="15"/>
        <v>0.2</v>
      </c>
      <c r="CX30" s="1207">
        <v>2.2000000000000002</v>
      </c>
      <c r="CY30" s="1211" t="s">
        <v>801</v>
      </c>
      <c r="CZ30" s="1208" t="s">
        <v>219</v>
      </c>
      <c r="DA30" s="1678">
        <f t="shared" si="29"/>
        <v>0.2</v>
      </c>
      <c r="DB30" s="1678"/>
      <c r="DC30" s="1678"/>
      <c r="DD30" s="1678"/>
      <c r="DE30" s="1678"/>
      <c r="DF30" s="1678"/>
      <c r="DG30" s="1678"/>
      <c r="DH30" s="1797"/>
      <c r="DI30" s="1678"/>
      <c r="DJ30" s="1678"/>
      <c r="DK30" s="1795"/>
      <c r="DL30" s="1678"/>
      <c r="DM30" s="1678"/>
    </row>
    <row r="31" spans="2:117">
      <c r="B31" s="1186">
        <f t="shared" si="0"/>
        <v>2.2999999999999998</v>
      </c>
      <c r="C31" s="1208" t="str">
        <f t="shared" si="1"/>
        <v>空調方式（新築）</v>
      </c>
      <c r="D31" s="1205">
        <f t="shared" si="39"/>
        <v>0.3</v>
      </c>
      <c r="E31" s="1206">
        <f t="shared" si="39"/>
        <v>0</v>
      </c>
      <c r="G31" s="1206">
        <f t="shared" si="2"/>
        <v>0.3</v>
      </c>
      <c r="H31" s="1206">
        <f t="shared" si="3"/>
        <v>0</v>
      </c>
      <c r="I31" s="1206"/>
      <c r="J31" s="1206"/>
      <c r="K31" s="1206">
        <f>IF(スコア!Q31=0,0,1)</f>
        <v>1</v>
      </c>
      <c r="L31" s="1206">
        <f>IF(スコア!S31=0,0,1)</f>
        <v>1</v>
      </c>
      <c r="M31" s="1206">
        <f t="shared" si="4"/>
        <v>0.3</v>
      </c>
      <c r="N31" s="1206">
        <f t="shared" si="5"/>
        <v>0</v>
      </c>
      <c r="P31" s="1207">
        <f t="shared" si="6"/>
        <v>2.2999999999999998</v>
      </c>
      <c r="Q31" s="1207" t="str">
        <f t="shared" si="7"/>
        <v xml:space="preserve"> Q1 2</v>
      </c>
      <c r="R31" s="1208" t="str">
        <f t="shared" si="8"/>
        <v>空調方式（新築）</v>
      </c>
      <c r="S31" s="1747">
        <f t="shared" si="16"/>
        <v>0.3</v>
      </c>
      <c r="T31" s="1747">
        <f t="shared" si="32"/>
        <v>0.3</v>
      </c>
      <c r="U31" s="1747">
        <f t="shared" si="33"/>
        <v>0.3</v>
      </c>
      <c r="V31" s="1747">
        <f t="shared" si="34"/>
        <v>0.3</v>
      </c>
      <c r="W31" s="1747">
        <f t="shared" si="35"/>
        <v>0.3</v>
      </c>
      <c r="X31" s="1747">
        <f t="shared" si="36"/>
        <v>0.3</v>
      </c>
      <c r="Y31" s="1747">
        <f t="shared" si="37"/>
        <v>0.3</v>
      </c>
      <c r="Z31" s="1751">
        <f t="shared" si="38"/>
        <v>0.3</v>
      </c>
      <c r="AA31" s="1747">
        <f t="shared" si="17"/>
        <v>0.3</v>
      </c>
      <c r="AB31" s="1747">
        <f t="shared" si="10"/>
        <v>0.3</v>
      </c>
      <c r="AC31" s="1748">
        <f t="shared" si="11"/>
        <v>0.3</v>
      </c>
      <c r="AD31" s="1747">
        <f t="shared" si="12"/>
        <v>0.3</v>
      </c>
      <c r="AE31" s="1747">
        <f t="shared" si="18"/>
        <v>0.3</v>
      </c>
      <c r="AG31" s="1207">
        <v>2.2999999999999998</v>
      </c>
      <c r="AH31" s="1211" t="s">
        <v>801</v>
      </c>
      <c r="AI31" s="1208"/>
      <c r="AJ31" s="1209"/>
      <c r="AK31" s="1209"/>
      <c r="AL31" s="1209"/>
      <c r="AM31" s="1209"/>
      <c r="AN31" s="1209"/>
      <c r="AO31" s="1209"/>
      <c r="AP31" s="1209"/>
      <c r="AQ31" s="1223"/>
      <c r="AR31" s="1209"/>
      <c r="AS31" s="1226"/>
      <c r="AT31" s="1214"/>
      <c r="AU31" s="1213"/>
      <c r="AV31" s="1213"/>
      <c r="AX31" s="1207">
        <v>2.2999999999999998</v>
      </c>
      <c r="AY31" s="1211" t="s">
        <v>801</v>
      </c>
      <c r="AZ31" s="1208" t="s">
        <v>220</v>
      </c>
      <c r="BA31" s="1213">
        <v>0.3</v>
      </c>
      <c r="BB31" s="1213">
        <v>0.3</v>
      </c>
      <c r="BC31" s="1213">
        <v>0.3</v>
      </c>
      <c r="BD31" s="1213">
        <v>0.3</v>
      </c>
      <c r="BE31" s="1213">
        <v>0.3</v>
      </c>
      <c r="BF31" s="1213">
        <v>0.3</v>
      </c>
      <c r="BG31" s="1213">
        <v>0.3</v>
      </c>
      <c r="BH31" s="1215">
        <v>0.3</v>
      </c>
      <c r="BI31" s="1213">
        <v>0.3</v>
      </c>
      <c r="BJ31" s="1213">
        <v>0.3</v>
      </c>
      <c r="BK31" s="1214">
        <v>0.3</v>
      </c>
      <c r="BL31" s="1213">
        <v>0.3</v>
      </c>
      <c r="BM31" s="1213">
        <v>0.3</v>
      </c>
      <c r="BO31" s="1207">
        <v>2.2999999999999998</v>
      </c>
      <c r="BP31" s="1211" t="s">
        <v>801</v>
      </c>
      <c r="BQ31" s="1208" t="s">
        <v>2947</v>
      </c>
      <c r="BR31" s="1213">
        <v>0.3</v>
      </c>
      <c r="BS31" s="1213">
        <v>0.3</v>
      </c>
      <c r="BT31" s="1213">
        <v>0.3</v>
      </c>
      <c r="BU31" s="1213">
        <v>0.3</v>
      </c>
      <c r="BV31" s="1213">
        <v>0.3</v>
      </c>
      <c r="BW31" s="1213">
        <v>0.3</v>
      </c>
      <c r="BX31" s="1213">
        <v>0.3</v>
      </c>
      <c r="BY31" s="1571">
        <v>0.3</v>
      </c>
      <c r="BZ31" s="1213">
        <v>0.3</v>
      </c>
      <c r="CA31" s="1213">
        <v>0.3</v>
      </c>
      <c r="CB31" s="1214">
        <v>0.3</v>
      </c>
      <c r="CC31" s="1213">
        <v>0.3</v>
      </c>
      <c r="CD31" s="1213">
        <v>0.3</v>
      </c>
      <c r="CE31" s="1469"/>
      <c r="CG31" s="1207">
        <v>2.2999999999999998</v>
      </c>
      <c r="CH31" s="1211" t="s">
        <v>801</v>
      </c>
      <c r="CI31" s="1208" t="s">
        <v>220</v>
      </c>
      <c r="CJ31" s="1689">
        <f t="shared" si="19"/>
        <v>0.3</v>
      </c>
      <c r="CK31" s="1689">
        <f t="shared" si="20"/>
        <v>0.3</v>
      </c>
      <c r="CL31" s="1689">
        <f t="shared" si="21"/>
        <v>0.3</v>
      </c>
      <c r="CM31" s="1689">
        <f t="shared" si="22"/>
        <v>0.3</v>
      </c>
      <c r="CN31" s="1689">
        <f t="shared" si="23"/>
        <v>0.3</v>
      </c>
      <c r="CO31" s="1689">
        <f t="shared" si="24"/>
        <v>0.3</v>
      </c>
      <c r="CP31" s="1689">
        <f t="shared" si="25"/>
        <v>0.3</v>
      </c>
      <c r="CQ31" s="1694">
        <f t="shared" si="26"/>
        <v>0.3</v>
      </c>
      <c r="CR31" s="1689">
        <f t="shared" si="27"/>
        <v>0.3</v>
      </c>
      <c r="CS31" s="1689">
        <f t="shared" si="28"/>
        <v>0.3</v>
      </c>
      <c r="CT31" s="1691">
        <f t="shared" si="13"/>
        <v>0.3</v>
      </c>
      <c r="CU31" s="1689">
        <f t="shared" si="14"/>
        <v>0.3</v>
      </c>
      <c r="CV31" s="1689">
        <f t="shared" si="15"/>
        <v>0.3</v>
      </c>
      <c r="CX31" s="1207">
        <v>2.2999999999999998</v>
      </c>
      <c r="CY31" s="1211" t="s">
        <v>801</v>
      </c>
      <c r="CZ31" s="1208" t="s">
        <v>220</v>
      </c>
      <c r="DA31" s="1678">
        <f t="shared" si="29"/>
        <v>0.3</v>
      </c>
      <c r="DB31" s="1678"/>
      <c r="DC31" s="1678"/>
      <c r="DD31" s="1678"/>
      <c r="DE31" s="1678"/>
      <c r="DF31" s="1678"/>
      <c r="DG31" s="1678"/>
      <c r="DH31" s="1797"/>
      <c r="DI31" s="1678"/>
      <c r="DJ31" s="1678"/>
      <c r="DK31" s="1795"/>
      <c r="DL31" s="1678"/>
      <c r="DM31" s="1678"/>
    </row>
    <row r="32" spans="2:117" hidden="1">
      <c r="B32" s="1186">
        <f t="shared" ref="B32" si="40">P32</f>
        <v>2.2999999999999998</v>
      </c>
      <c r="C32" s="1208">
        <f t="shared" si="1"/>
        <v>0</v>
      </c>
      <c r="D32" s="1205">
        <f t="shared" si="39"/>
        <v>0</v>
      </c>
      <c r="E32" s="1206">
        <f t="shared" si="39"/>
        <v>0</v>
      </c>
      <c r="G32" s="1206">
        <f t="shared" ref="G32" si="41">K32*M32</f>
        <v>0</v>
      </c>
      <c r="H32" s="1206">
        <f t="shared" ref="H32" si="42">L32*N32</f>
        <v>0</v>
      </c>
      <c r="I32" s="1206">
        <f>SUM(G33:G34)</f>
        <v>0</v>
      </c>
      <c r="J32" s="1206">
        <f>SUM(H33:H34)</f>
        <v>0</v>
      </c>
      <c r="K32" s="1206">
        <f>IF(スコア!Q32=0,0,1)</f>
        <v>0</v>
      </c>
      <c r="L32" s="1206">
        <f>IF(スコア!S32=0,0,1)</f>
        <v>0</v>
      </c>
      <c r="M32" s="1206">
        <f t="shared" ref="M32" si="43">SUMPRODUCT($S$7:$AB$7,S32:AB32)</f>
        <v>0</v>
      </c>
      <c r="N32" s="1206">
        <f t="shared" ref="N32" si="44">(AC$7*AC32)+(AD$7*AD32)+(AE$7*AE32)</f>
        <v>0</v>
      </c>
      <c r="P32" s="1207">
        <f t="shared" ref="P32" si="45">IF($P$3=1,AX32,IF($P$3=2,BO32,IF($P$3=3,CG32,IF($P$3=4,CX32,AG32))))</f>
        <v>2.2999999999999998</v>
      </c>
      <c r="Q32" s="1207" t="str">
        <f t="shared" ref="Q32" si="46">IF($P$3=1,AY32,IF($P$3=2,BP32,IF($P$3=3,CH32,IF($P$3=4,CY32,AH32))))</f>
        <v xml:space="preserve"> Q1 2</v>
      </c>
      <c r="R32" s="1208">
        <f t="shared" ref="R32" si="47">IF($P$3=1,AZ32,IF($P$3=2,BQ32,IF($P$3=3,CI32,IF($P$3=4,CZ32,AI32))))</f>
        <v>0</v>
      </c>
      <c r="S32" s="1747">
        <f t="shared" ref="S32" si="48">IF($P$3=1,BA32,IF($P$3=2,BR32,IF($P$3=3,CJ32,IF($P$3=4,DA32,AJ32))))</f>
        <v>0</v>
      </c>
      <c r="T32" s="1747">
        <f t="shared" ref="T32" si="49">IF($P$3=1,BB32,IF($P$3=2,BS32,IF($P$3=3,CK32,IF($P$3=4,DB32,AK32))))</f>
        <v>0</v>
      </c>
      <c r="U32" s="1747">
        <f t="shared" ref="U32" si="50">IF($P$3=1,BC32,IF($P$3=2,BT32,IF($P$3=3,CL32,IF($P$3=4,DC32,AL32))))</f>
        <v>0</v>
      </c>
      <c r="V32" s="1747">
        <f t="shared" ref="V32" si="51">IF($P$3=1,BD32,IF($P$3=2,BU32,IF($P$3=3,CM32,IF($P$3=4,DD32,AM32))))</f>
        <v>0</v>
      </c>
      <c r="W32" s="1747">
        <f t="shared" ref="W32" si="52">IF($P$3=1,BE32,IF($P$3=2,BV32,IF($P$3=3,CN32,IF($P$3=4,DE32,AN32))))</f>
        <v>0</v>
      </c>
      <c r="X32" s="1747">
        <f t="shared" ref="X32" si="53">IF($P$3=1,BF32,IF($P$3=2,BW32,IF($P$3=3,CO32,IF($P$3=4,DF32,AO32))))</f>
        <v>0</v>
      </c>
      <c r="Y32" s="1747">
        <f t="shared" ref="Y32" si="54">IF($P$3=1,BG32,IF($P$3=2,BX32,IF($P$3=3,CP32,IF($P$3=4,DG32,AP32))))</f>
        <v>0</v>
      </c>
      <c r="Z32" s="1751">
        <f t="shared" ref="Z32" si="55">IF($P$3=1,BH32,IF($P$3=2,BY32,IF($P$3=3,CQ32,IF($P$3=4,DH32,AQ32))))</f>
        <v>0</v>
      </c>
      <c r="AA32" s="1747">
        <f t="shared" ref="AA32" si="56">IF($P$3=1,BI32,IF($P$3=2,BZ32,IF($P$3=3,CR32,IF($P$3=4,DI32,AR32))))</f>
        <v>0</v>
      </c>
      <c r="AB32" s="1747">
        <f t="shared" ref="AB32" si="57">IF($P$3=1,BJ32,IF($P$3=2,CA32,IF($P$3=3,CS32,IF($P$3=4,DJ32,AS32))))</f>
        <v>0</v>
      </c>
      <c r="AC32" s="1748">
        <f t="shared" ref="AC32" si="58">IF($P$3=1,BK32,IF($P$3=2,CB32,IF($P$3=3,CT32,IF($P$3=4,DK32,AT32))))</f>
        <v>0</v>
      </c>
      <c r="AD32" s="1747">
        <f t="shared" ref="AD32" si="59">IF($P$3=1,BL32,IF($P$3=2,CC32,IF($P$3=3,CU32,IF($P$3=4,DL32,AU32))))</f>
        <v>0</v>
      </c>
      <c r="AE32" s="1747">
        <f t="shared" ref="AE32" si="60">IF($P$3=1,BM32,IF($P$3=2,CD32,IF($P$3=3,CV32,IF($P$3=4,DM32,AV32))))</f>
        <v>0</v>
      </c>
      <c r="AG32" s="1207">
        <v>2.2999999999999998</v>
      </c>
      <c r="AH32" s="1211" t="s">
        <v>801</v>
      </c>
      <c r="AI32" s="1208" t="s">
        <v>2948</v>
      </c>
      <c r="AJ32" s="1209">
        <v>0.3</v>
      </c>
      <c r="AK32" s="1209">
        <v>0.3</v>
      </c>
      <c r="AL32" s="1209">
        <v>0.3</v>
      </c>
      <c r="AM32" s="1209">
        <v>0.3</v>
      </c>
      <c r="AN32" s="1209">
        <v>0.3</v>
      </c>
      <c r="AO32" s="1209">
        <v>0.3</v>
      </c>
      <c r="AP32" s="1209">
        <v>0.3</v>
      </c>
      <c r="AQ32" s="1223">
        <v>0.3</v>
      </c>
      <c r="AR32" s="1209">
        <v>0.3</v>
      </c>
      <c r="AS32" s="1226">
        <v>0.3</v>
      </c>
      <c r="AT32" s="1214"/>
      <c r="AU32" s="1213"/>
      <c r="AV32" s="1213"/>
      <c r="AX32" s="1207">
        <v>2.2999999999999998</v>
      </c>
      <c r="AY32" s="1211" t="s">
        <v>801</v>
      </c>
      <c r="AZ32" s="1208" t="s">
        <v>220</v>
      </c>
      <c r="BA32" s="1213">
        <v>0.3</v>
      </c>
      <c r="BB32" s="1213">
        <v>0.3</v>
      </c>
      <c r="BC32" s="1213">
        <v>0.3</v>
      </c>
      <c r="BD32" s="1213">
        <v>0.3</v>
      </c>
      <c r="BE32" s="1213">
        <v>0.3</v>
      </c>
      <c r="BF32" s="1213">
        <v>0.3</v>
      </c>
      <c r="BG32" s="1213">
        <v>0.3</v>
      </c>
      <c r="BH32" s="1215">
        <v>0.3</v>
      </c>
      <c r="BI32" s="1213">
        <v>0.3</v>
      </c>
      <c r="BJ32" s="1213">
        <v>0.3</v>
      </c>
      <c r="BK32" s="1214">
        <v>0.3</v>
      </c>
      <c r="BL32" s="1213">
        <v>0.3</v>
      </c>
      <c r="BM32" s="1213">
        <v>0.3</v>
      </c>
      <c r="BO32" s="1207">
        <v>2.2999999999999998</v>
      </c>
      <c r="BP32" s="1211" t="s">
        <v>801</v>
      </c>
      <c r="BQ32" s="1208"/>
      <c r="BR32" s="1213"/>
      <c r="BS32" s="1213"/>
      <c r="BT32" s="1213"/>
      <c r="BU32" s="1213"/>
      <c r="BV32" s="1213"/>
      <c r="BW32" s="1213"/>
      <c r="BX32" s="1213"/>
      <c r="BY32" s="1571"/>
      <c r="BZ32" s="1213"/>
      <c r="CA32" s="1213"/>
      <c r="CB32" s="1214"/>
      <c r="CC32" s="1213"/>
      <c r="CD32" s="1213"/>
      <c r="CE32" s="1469"/>
      <c r="CG32" s="1207">
        <v>2.2999999999999998</v>
      </c>
      <c r="CH32" s="1211" t="s">
        <v>801</v>
      </c>
      <c r="CI32" s="1208"/>
      <c r="CJ32" s="1689"/>
      <c r="CK32" s="1689"/>
      <c r="CL32" s="1689"/>
      <c r="CM32" s="1689"/>
      <c r="CN32" s="1689"/>
      <c r="CO32" s="1689"/>
      <c r="CP32" s="1689"/>
      <c r="CQ32" s="1694"/>
      <c r="CR32" s="1689"/>
      <c r="CS32" s="1689"/>
      <c r="CT32" s="1691"/>
      <c r="CU32" s="1689"/>
      <c r="CV32" s="1689"/>
      <c r="CX32" s="1207">
        <v>2.2999999999999998</v>
      </c>
      <c r="CY32" s="1211" t="s">
        <v>801</v>
      </c>
      <c r="CZ32" s="1208"/>
      <c r="DA32" s="1678">
        <f t="shared" ref="DA32" si="61">BR32</f>
        <v>0</v>
      </c>
      <c r="DB32" s="1678"/>
      <c r="DC32" s="1678"/>
      <c r="DD32" s="1678"/>
      <c r="DE32" s="1678"/>
      <c r="DF32" s="1678"/>
      <c r="DG32" s="1678"/>
      <c r="DH32" s="1797"/>
      <c r="DI32" s="1678"/>
      <c r="DJ32" s="1678"/>
      <c r="DK32" s="1795"/>
      <c r="DL32" s="1678"/>
      <c r="DM32" s="1678"/>
    </row>
    <row r="33" spans="2:117" s="1523" customFormat="1" hidden="1">
      <c r="B33" s="1186" t="str">
        <f t="shared" si="0"/>
        <v>2.3.1</v>
      </c>
      <c r="C33" s="1208">
        <f t="shared" si="1"/>
        <v>0</v>
      </c>
      <c r="D33" s="1196">
        <f>IF(I$32&gt;0,G33/I$32,0)</f>
        <v>0</v>
      </c>
      <c r="E33" s="1196">
        <f>IF(J$32&gt;0,H33/J$32,0)</f>
        <v>0</v>
      </c>
      <c r="G33" s="1206">
        <f t="shared" si="2"/>
        <v>0</v>
      </c>
      <c r="H33" s="1206">
        <f t="shared" si="3"/>
        <v>0</v>
      </c>
      <c r="I33" s="1206"/>
      <c r="J33" s="1206"/>
      <c r="K33" s="1206">
        <f>IF(スコア!Q33=0,0,1)</f>
        <v>0</v>
      </c>
      <c r="L33" s="1206">
        <f>IF(スコア!S33=0,0,1)</f>
        <v>0</v>
      </c>
      <c r="M33" s="1206">
        <f t="shared" si="4"/>
        <v>0</v>
      </c>
      <c r="N33" s="1206">
        <f t="shared" si="5"/>
        <v>0</v>
      </c>
      <c r="P33" s="1207" t="str">
        <f t="shared" si="6"/>
        <v>2.3.1</v>
      </c>
      <c r="Q33" s="1207" t="str">
        <f t="shared" si="7"/>
        <v xml:space="preserve"> Q1 2.3</v>
      </c>
      <c r="R33" s="1208">
        <f t="shared" si="8"/>
        <v>0</v>
      </c>
      <c r="S33" s="1747">
        <f t="shared" si="16"/>
        <v>0</v>
      </c>
      <c r="T33" s="1747">
        <f t="shared" si="32"/>
        <v>0</v>
      </c>
      <c r="U33" s="1747">
        <f t="shared" si="33"/>
        <v>0</v>
      </c>
      <c r="V33" s="1747">
        <f t="shared" si="34"/>
        <v>0</v>
      </c>
      <c r="W33" s="1747">
        <f t="shared" si="35"/>
        <v>0</v>
      </c>
      <c r="X33" s="1747">
        <f t="shared" si="36"/>
        <v>0</v>
      </c>
      <c r="Y33" s="1747">
        <f t="shared" si="37"/>
        <v>0</v>
      </c>
      <c r="Z33" s="1749">
        <f t="shared" si="38"/>
        <v>0</v>
      </c>
      <c r="AA33" s="1747">
        <f t="shared" si="17"/>
        <v>0</v>
      </c>
      <c r="AB33" s="1747">
        <f t="shared" si="10"/>
        <v>0</v>
      </c>
      <c r="AC33" s="1748">
        <f t="shared" si="11"/>
        <v>0</v>
      </c>
      <c r="AD33" s="1747">
        <f t="shared" si="12"/>
        <v>0</v>
      </c>
      <c r="AE33" s="1747">
        <f t="shared" si="18"/>
        <v>0</v>
      </c>
      <c r="AG33" s="1207" t="s">
        <v>213</v>
      </c>
      <c r="AH33" s="1211" t="s">
        <v>2129</v>
      </c>
      <c r="AI33" s="1208" t="s">
        <v>221</v>
      </c>
      <c r="AJ33" s="1209">
        <v>0.5</v>
      </c>
      <c r="AK33" s="1209">
        <v>0.5</v>
      </c>
      <c r="AL33" s="1209">
        <v>0.5</v>
      </c>
      <c r="AM33" s="1209">
        <v>0.5</v>
      </c>
      <c r="AN33" s="1209">
        <v>0.5</v>
      </c>
      <c r="AO33" s="1209">
        <v>0.5</v>
      </c>
      <c r="AP33" s="1209">
        <v>0.5</v>
      </c>
      <c r="AQ33" s="1223">
        <v>0.5</v>
      </c>
      <c r="AR33" s="1209">
        <v>0.5</v>
      </c>
      <c r="AS33" s="1226">
        <v>0.5</v>
      </c>
      <c r="AT33" s="1214"/>
      <c r="AU33" s="1214"/>
      <c r="AV33" s="1214"/>
      <c r="AX33" s="1207" t="s">
        <v>214</v>
      </c>
      <c r="AY33" s="1211" t="s">
        <v>2129</v>
      </c>
      <c r="AZ33" s="1208" t="s">
        <v>221</v>
      </c>
      <c r="BA33" s="1213"/>
      <c r="BB33" s="1213"/>
      <c r="BC33" s="1213"/>
      <c r="BD33" s="1213"/>
      <c r="BE33" s="1213"/>
      <c r="BF33" s="1213"/>
      <c r="BG33" s="1213"/>
      <c r="BH33" s="1220"/>
      <c r="BI33" s="1213"/>
      <c r="BJ33" s="1213"/>
      <c r="BK33" s="1214"/>
      <c r="BL33" s="1213"/>
      <c r="BM33" s="1213"/>
      <c r="BO33" s="1207" t="s">
        <v>214</v>
      </c>
      <c r="BP33" s="1211" t="s">
        <v>2129</v>
      </c>
      <c r="BQ33" s="1208"/>
      <c r="BR33" s="1241"/>
      <c r="BS33" s="1241"/>
      <c r="BT33" s="1241"/>
      <c r="BU33" s="1241"/>
      <c r="BV33" s="1241"/>
      <c r="BW33" s="1241"/>
      <c r="BX33" s="1241"/>
      <c r="BY33" s="1576">
        <v>0</v>
      </c>
      <c r="BZ33" s="1241"/>
      <c r="CA33" s="1241"/>
      <c r="CB33" s="1243"/>
      <c r="CC33" s="1241"/>
      <c r="CD33" s="1241"/>
      <c r="CE33" s="1836"/>
      <c r="CG33" s="1207" t="s">
        <v>213</v>
      </c>
      <c r="CH33" s="1211" t="s">
        <v>2129</v>
      </c>
      <c r="CI33" s="1208"/>
      <c r="CJ33" s="1689"/>
      <c r="CK33" s="1689"/>
      <c r="CL33" s="1689"/>
      <c r="CM33" s="1689"/>
      <c r="CN33" s="1689"/>
      <c r="CO33" s="1689"/>
      <c r="CP33" s="1689"/>
      <c r="CQ33" s="1692"/>
      <c r="CR33" s="1689"/>
      <c r="CS33" s="1689"/>
      <c r="CT33" s="1691"/>
      <c r="CU33" s="1689"/>
      <c r="CV33" s="1689"/>
      <c r="CX33" s="1207" t="s">
        <v>213</v>
      </c>
      <c r="CY33" s="1211" t="s">
        <v>2129</v>
      </c>
      <c r="CZ33" s="1208"/>
      <c r="DA33" s="1678">
        <f t="shared" si="29"/>
        <v>0</v>
      </c>
      <c r="DB33" s="1678"/>
      <c r="DC33" s="1678"/>
      <c r="DD33" s="1678"/>
      <c r="DE33" s="1678"/>
      <c r="DF33" s="1678"/>
      <c r="DG33" s="1678"/>
      <c r="DH33" s="1802"/>
      <c r="DI33" s="1678"/>
      <c r="DJ33" s="1678"/>
      <c r="DK33" s="1795"/>
      <c r="DL33" s="1678"/>
      <c r="DM33" s="1678"/>
    </row>
    <row r="34" spans="2:117" s="1523" customFormat="1" hidden="1">
      <c r="B34" s="1186" t="str">
        <f t="shared" si="0"/>
        <v>2.3.2</v>
      </c>
      <c r="C34" s="1208">
        <f t="shared" si="1"/>
        <v>0</v>
      </c>
      <c r="D34" s="1196">
        <f>IF(I$32&gt;0,G34/I$32,0)</f>
        <v>0</v>
      </c>
      <c r="E34" s="1196">
        <f>IF(J$32&gt;0,H34/J$32,0)</f>
        <v>0</v>
      </c>
      <c r="G34" s="1206">
        <f t="shared" si="2"/>
        <v>0</v>
      </c>
      <c r="H34" s="1206">
        <f t="shared" si="3"/>
        <v>0</v>
      </c>
      <c r="I34" s="1206"/>
      <c r="J34" s="1206"/>
      <c r="K34" s="1206">
        <f>IF(スコア!Q34=0,0,1)</f>
        <v>0</v>
      </c>
      <c r="L34" s="1206">
        <f>IF(スコア!S34=0,0,1)</f>
        <v>0</v>
      </c>
      <c r="M34" s="1206">
        <f t="shared" si="4"/>
        <v>0</v>
      </c>
      <c r="N34" s="1206">
        <f t="shared" si="5"/>
        <v>0</v>
      </c>
      <c r="P34" s="1207" t="str">
        <f t="shared" si="6"/>
        <v>2.3.2</v>
      </c>
      <c r="Q34" s="1207" t="str">
        <f t="shared" si="7"/>
        <v xml:space="preserve"> Q1 2.3</v>
      </c>
      <c r="R34" s="1208">
        <f t="shared" si="8"/>
        <v>0</v>
      </c>
      <c r="S34" s="1747">
        <f t="shared" si="16"/>
        <v>0</v>
      </c>
      <c r="T34" s="1747">
        <f t="shared" si="32"/>
        <v>0</v>
      </c>
      <c r="U34" s="1747">
        <f t="shared" si="33"/>
        <v>0</v>
      </c>
      <c r="V34" s="1747">
        <f t="shared" si="34"/>
        <v>0</v>
      </c>
      <c r="W34" s="1747">
        <f t="shared" si="35"/>
        <v>0</v>
      </c>
      <c r="X34" s="1747">
        <f t="shared" si="36"/>
        <v>0</v>
      </c>
      <c r="Y34" s="1747">
        <f t="shared" si="37"/>
        <v>0</v>
      </c>
      <c r="Z34" s="1749">
        <f t="shared" si="38"/>
        <v>0</v>
      </c>
      <c r="AA34" s="1747">
        <f t="shared" si="17"/>
        <v>0</v>
      </c>
      <c r="AB34" s="1747">
        <f t="shared" si="10"/>
        <v>0</v>
      </c>
      <c r="AC34" s="1748">
        <f t="shared" si="11"/>
        <v>0</v>
      </c>
      <c r="AD34" s="1747">
        <f t="shared" si="12"/>
        <v>0</v>
      </c>
      <c r="AE34" s="1747">
        <f t="shared" si="18"/>
        <v>0</v>
      </c>
      <c r="AG34" s="1207" t="s">
        <v>215</v>
      </c>
      <c r="AH34" s="1211" t="s">
        <v>2129</v>
      </c>
      <c r="AI34" s="1208" t="s">
        <v>1532</v>
      </c>
      <c r="AJ34" s="1209">
        <v>0.5</v>
      </c>
      <c r="AK34" s="1209">
        <v>0.5</v>
      </c>
      <c r="AL34" s="1209">
        <v>0.5</v>
      </c>
      <c r="AM34" s="1209">
        <v>0.5</v>
      </c>
      <c r="AN34" s="1209">
        <v>0.5</v>
      </c>
      <c r="AO34" s="1209">
        <v>0.5</v>
      </c>
      <c r="AP34" s="1209">
        <v>0.5</v>
      </c>
      <c r="AQ34" s="1209">
        <v>0.5</v>
      </c>
      <c r="AR34" s="1209">
        <v>0.5</v>
      </c>
      <c r="AS34" s="1226">
        <v>0.5</v>
      </c>
      <c r="AT34" s="1214"/>
      <c r="AU34" s="1214"/>
      <c r="AV34" s="1214"/>
      <c r="AX34" s="1207" t="s">
        <v>216</v>
      </c>
      <c r="AY34" s="1211" t="s">
        <v>2129</v>
      </c>
      <c r="AZ34" s="1208" t="s">
        <v>1532</v>
      </c>
      <c r="BA34" s="1213"/>
      <c r="BB34" s="1213"/>
      <c r="BC34" s="1213"/>
      <c r="BD34" s="1213"/>
      <c r="BE34" s="1213"/>
      <c r="BF34" s="1213"/>
      <c r="BG34" s="1213"/>
      <c r="BH34" s="1220"/>
      <c r="BI34" s="1213"/>
      <c r="BJ34" s="1213"/>
      <c r="BK34" s="1214"/>
      <c r="BL34" s="1213"/>
      <c r="BM34" s="1213"/>
      <c r="BO34" s="1207" t="s">
        <v>216</v>
      </c>
      <c r="BP34" s="1211" t="s">
        <v>2129</v>
      </c>
      <c r="BQ34" s="1208"/>
      <c r="BR34" s="1241"/>
      <c r="BS34" s="1241"/>
      <c r="BT34" s="1241"/>
      <c r="BU34" s="1241"/>
      <c r="BV34" s="1241"/>
      <c r="BW34" s="1241"/>
      <c r="BX34" s="1241"/>
      <c r="BY34" s="1576">
        <v>0</v>
      </c>
      <c r="BZ34" s="1241"/>
      <c r="CA34" s="1241"/>
      <c r="CB34" s="1243"/>
      <c r="CC34" s="1241"/>
      <c r="CD34" s="1241"/>
      <c r="CE34" s="1836"/>
      <c r="CG34" s="1207" t="s">
        <v>215</v>
      </c>
      <c r="CH34" s="1211" t="s">
        <v>2129</v>
      </c>
      <c r="CI34" s="1208"/>
      <c r="CJ34" s="1689"/>
      <c r="CK34" s="1689"/>
      <c r="CL34" s="1689"/>
      <c r="CM34" s="1689"/>
      <c r="CN34" s="1689"/>
      <c r="CO34" s="1689"/>
      <c r="CP34" s="1689"/>
      <c r="CQ34" s="1692"/>
      <c r="CR34" s="1689"/>
      <c r="CS34" s="1689"/>
      <c r="CT34" s="1691"/>
      <c r="CU34" s="1689"/>
      <c r="CV34" s="1689"/>
      <c r="CX34" s="1207" t="s">
        <v>215</v>
      </c>
      <c r="CY34" s="1211" t="s">
        <v>2129</v>
      </c>
      <c r="CZ34" s="1208"/>
      <c r="DA34" s="1678">
        <f t="shared" si="29"/>
        <v>0</v>
      </c>
      <c r="DB34" s="1678"/>
      <c r="DC34" s="1678"/>
      <c r="DD34" s="1678"/>
      <c r="DE34" s="1678"/>
      <c r="DF34" s="1678"/>
      <c r="DG34" s="1678"/>
      <c r="DH34" s="1802"/>
      <c r="DI34" s="1678"/>
      <c r="DJ34" s="1678"/>
      <c r="DK34" s="1795"/>
      <c r="DL34" s="1678"/>
      <c r="DM34" s="1678"/>
    </row>
    <row r="35" spans="2:117">
      <c r="B35" s="1186">
        <f t="shared" si="0"/>
        <v>3</v>
      </c>
      <c r="C35" s="1198" t="str">
        <f t="shared" si="1"/>
        <v>光・視環境</v>
      </c>
      <c r="D35" s="1194">
        <f>IF(I$9=0,0,G35/I$9)</f>
        <v>0.25</v>
      </c>
      <c r="E35" s="1195">
        <f>IF(J$9=0,0,H35/J$9)</f>
        <v>0</v>
      </c>
      <c r="G35" s="1195">
        <f t="shared" si="2"/>
        <v>0.25</v>
      </c>
      <c r="H35" s="1195">
        <f t="shared" si="3"/>
        <v>0</v>
      </c>
      <c r="I35" s="1195">
        <f>G36+G40+G44+G47</f>
        <v>1</v>
      </c>
      <c r="J35" s="1195">
        <f>H36+H40+H44+H47</f>
        <v>0</v>
      </c>
      <c r="K35" s="1195">
        <f>IF(L35&gt;0,1,IF(スコア!Q35=0,0,1))</f>
        <v>1</v>
      </c>
      <c r="L35" s="1195">
        <f>IF(スコア!S35=0,0,1)</f>
        <v>0</v>
      </c>
      <c r="M35" s="1195">
        <f t="shared" si="4"/>
        <v>0.25</v>
      </c>
      <c r="N35" s="1195">
        <f t="shared" si="5"/>
        <v>0</v>
      </c>
      <c r="P35" s="1197">
        <f t="shared" si="6"/>
        <v>3</v>
      </c>
      <c r="Q35" s="1197" t="str">
        <f t="shared" si="7"/>
        <v xml:space="preserve"> Q1</v>
      </c>
      <c r="R35" s="1198" t="str">
        <f t="shared" si="8"/>
        <v>光・視環境</v>
      </c>
      <c r="S35" s="1744">
        <f t="shared" si="16"/>
        <v>0.25</v>
      </c>
      <c r="T35" s="1744">
        <f t="shared" si="32"/>
        <v>0.25</v>
      </c>
      <c r="U35" s="1744">
        <f t="shared" si="33"/>
        <v>0.25</v>
      </c>
      <c r="V35" s="1744">
        <f t="shared" si="34"/>
        <v>0.25</v>
      </c>
      <c r="W35" s="1744">
        <f t="shared" si="35"/>
        <v>0.25</v>
      </c>
      <c r="X35" s="1744">
        <f t="shared" si="36"/>
        <v>0.25</v>
      </c>
      <c r="Y35" s="1744">
        <f t="shared" si="37"/>
        <v>0.25</v>
      </c>
      <c r="Z35" s="1750">
        <f t="shared" si="38"/>
        <v>0.25</v>
      </c>
      <c r="AA35" s="1744">
        <f t="shared" si="17"/>
        <v>0.25</v>
      </c>
      <c r="AB35" s="1744">
        <f t="shared" si="10"/>
        <v>0.25</v>
      </c>
      <c r="AC35" s="1746">
        <f t="shared" si="11"/>
        <v>0</v>
      </c>
      <c r="AD35" s="1744">
        <f t="shared" si="12"/>
        <v>0</v>
      </c>
      <c r="AE35" s="1744">
        <f t="shared" si="18"/>
        <v>0</v>
      </c>
      <c r="AG35" s="1197">
        <v>3</v>
      </c>
      <c r="AH35" s="1201" t="s">
        <v>793</v>
      </c>
      <c r="AI35" s="1198" t="s">
        <v>788</v>
      </c>
      <c r="AJ35" s="1199">
        <v>0.25</v>
      </c>
      <c r="AK35" s="1199">
        <v>0.25</v>
      </c>
      <c r="AL35" s="1199">
        <v>0.25</v>
      </c>
      <c r="AM35" s="1199">
        <v>0.25</v>
      </c>
      <c r="AN35" s="1199">
        <v>0.25</v>
      </c>
      <c r="AO35" s="1199">
        <v>0.25</v>
      </c>
      <c r="AP35" s="1199">
        <v>0.25</v>
      </c>
      <c r="AQ35" s="1221">
        <v>0</v>
      </c>
      <c r="AR35" s="1199">
        <v>0.25</v>
      </c>
      <c r="AS35" s="1202">
        <v>0.25</v>
      </c>
      <c r="AT35" s="1203"/>
      <c r="AU35" s="1202"/>
      <c r="AV35" s="1202"/>
      <c r="AX35" s="1197">
        <v>3</v>
      </c>
      <c r="AY35" s="1201" t="s">
        <v>793</v>
      </c>
      <c r="AZ35" s="1198" t="s">
        <v>788</v>
      </c>
      <c r="BA35" s="1202">
        <v>0.25</v>
      </c>
      <c r="BB35" s="1202">
        <v>0.25</v>
      </c>
      <c r="BC35" s="1202">
        <v>0.25</v>
      </c>
      <c r="BD35" s="1202">
        <v>0.25</v>
      </c>
      <c r="BE35" s="1202">
        <v>0.25</v>
      </c>
      <c r="BF35" s="1202">
        <v>0.25</v>
      </c>
      <c r="BG35" s="1202">
        <v>0.25</v>
      </c>
      <c r="BH35" s="1222"/>
      <c r="BI35" s="1202">
        <v>0.25</v>
      </c>
      <c r="BJ35" s="1202">
        <v>0.25</v>
      </c>
      <c r="BK35" s="1203"/>
      <c r="BL35" s="1202"/>
      <c r="BM35" s="1202"/>
      <c r="BO35" s="1197">
        <v>3</v>
      </c>
      <c r="BP35" s="1201" t="s">
        <v>793</v>
      </c>
      <c r="BQ35" s="1198" t="s">
        <v>788</v>
      </c>
      <c r="BR35" s="1202">
        <v>0.25</v>
      </c>
      <c r="BS35" s="1202">
        <v>0.25</v>
      </c>
      <c r="BT35" s="1202">
        <v>0.25</v>
      </c>
      <c r="BU35" s="1202">
        <v>0.25</v>
      </c>
      <c r="BV35" s="1202">
        <v>0.25</v>
      </c>
      <c r="BW35" s="1202">
        <v>0.25</v>
      </c>
      <c r="BX35" s="1202">
        <v>0.25</v>
      </c>
      <c r="BY35" s="1570">
        <v>0.25</v>
      </c>
      <c r="BZ35" s="1202">
        <v>0.25</v>
      </c>
      <c r="CA35" s="1202">
        <v>0.25</v>
      </c>
      <c r="CB35" s="1203"/>
      <c r="CC35" s="1202"/>
      <c r="CD35" s="1202"/>
      <c r="CE35" s="1468"/>
      <c r="CG35" s="1197">
        <v>3</v>
      </c>
      <c r="CH35" s="1201" t="s">
        <v>793</v>
      </c>
      <c r="CI35" s="1198" t="s">
        <v>788</v>
      </c>
      <c r="CJ35" s="1686">
        <f t="shared" si="19"/>
        <v>0.25</v>
      </c>
      <c r="CK35" s="1686">
        <f t="shared" si="20"/>
        <v>0.25</v>
      </c>
      <c r="CL35" s="1686">
        <f t="shared" si="21"/>
        <v>0.25</v>
      </c>
      <c r="CM35" s="1686">
        <f t="shared" si="22"/>
        <v>0.25</v>
      </c>
      <c r="CN35" s="1686">
        <f t="shared" si="23"/>
        <v>0.25</v>
      </c>
      <c r="CO35" s="1686">
        <f t="shared" si="24"/>
        <v>0.25</v>
      </c>
      <c r="CP35" s="1686">
        <f t="shared" si="25"/>
        <v>0.25</v>
      </c>
      <c r="CQ35" s="1693">
        <f t="shared" si="26"/>
        <v>0.25</v>
      </c>
      <c r="CR35" s="1686">
        <f t="shared" si="27"/>
        <v>0.25</v>
      </c>
      <c r="CS35" s="1686">
        <f t="shared" si="28"/>
        <v>0.25</v>
      </c>
      <c r="CT35" s="1688">
        <f t="shared" si="13"/>
        <v>0</v>
      </c>
      <c r="CU35" s="1686">
        <f t="shared" si="14"/>
        <v>0</v>
      </c>
      <c r="CV35" s="1686">
        <f t="shared" si="15"/>
        <v>0</v>
      </c>
      <c r="CX35" s="1197">
        <v>3</v>
      </c>
      <c r="CY35" s="1201" t="s">
        <v>793</v>
      </c>
      <c r="CZ35" s="1198" t="s">
        <v>788</v>
      </c>
      <c r="DA35" s="1676">
        <f t="shared" si="29"/>
        <v>0.25</v>
      </c>
      <c r="DB35" s="1676"/>
      <c r="DC35" s="1676"/>
      <c r="DD35" s="1676"/>
      <c r="DE35" s="1676"/>
      <c r="DF35" s="1676"/>
      <c r="DG35" s="1676"/>
      <c r="DH35" s="1796"/>
      <c r="DI35" s="1676"/>
      <c r="DJ35" s="1676"/>
      <c r="DK35" s="1677"/>
      <c r="DL35" s="1676"/>
      <c r="DM35" s="1676"/>
    </row>
    <row r="36" spans="2:117">
      <c r="B36" s="1186">
        <f t="shared" si="0"/>
        <v>3.1</v>
      </c>
      <c r="C36" s="1208" t="str">
        <f t="shared" si="1"/>
        <v>昼光利用</v>
      </c>
      <c r="D36" s="1205">
        <f>IF(I$35=0,0,G36/I$35)</f>
        <v>0.3</v>
      </c>
      <c r="E36" s="1206">
        <f>IF(J$35=0,0,H36/J$35)</f>
        <v>0</v>
      </c>
      <c r="G36" s="1206">
        <f t="shared" si="2"/>
        <v>0.3</v>
      </c>
      <c r="H36" s="1206">
        <f t="shared" si="3"/>
        <v>0</v>
      </c>
      <c r="I36" s="1206">
        <f>SUM(G37:G39)</f>
        <v>1</v>
      </c>
      <c r="J36" s="1206">
        <f>SUM(H37:H39)</f>
        <v>0</v>
      </c>
      <c r="K36" s="1206">
        <f>IF(スコア!Q36=0,0,1)</f>
        <v>1</v>
      </c>
      <c r="L36" s="1206">
        <f>IF(スコア!S36=0,0,1)</f>
        <v>0</v>
      </c>
      <c r="M36" s="1206">
        <f t="shared" si="4"/>
        <v>0.3</v>
      </c>
      <c r="N36" s="1206">
        <f t="shared" si="5"/>
        <v>0</v>
      </c>
      <c r="P36" s="1207">
        <f t="shared" si="6"/>
        <v>3.1</v>
      </c>
      <c r="Q36" s="1207" t="str">
        <f t="shared" si="7"/>
        <v xml:space="preserve"> Q1 3</v>
      </c>
      <c r="R36" s="1208" t="str">
        <f t="shared" si="8"/>
        <v>昼光利用</v>
      </c>
      <c r="S36" s="1747">
        <f t="shared" si="16"/>
        <v>0.3</v>
      </c>
      <c r="T36" s="1747">
        <f t="shared" si="32"/>
        <v>0.3</v>
      </c>
      <c r="U36" s="1747">
        <f t="shared" si="33"/>
        <v>0.5</v>
      </c>
      <c r="V36" s="1747">
        <f t="shared" si="34"/>
        <v>1</v>
      </c>
      <c r="W36" s="1747">
        <f t="shared" si="35"/>
        <v>0.3</v>
      </c>
      <c r="X36" s="1747">
        <f t="shared" si="36"/>
        <v>0.3</v>
      </c>
      <c r="Y36" s="1747">
        <f t="shared" si="37"/>
        <v>0.3</v>
      </c>
      <c r="Z36" s="1751">
        <f t="shared" si="38"/>
        <v>0.3</v>
      </c>
      <c r="AA36" s="1747">
        <f t="shared" si="17"/>
        <v>0.3</v>
      </c>
      <c r="AB36" s="1747">
        <f t="shared" si="10"/>
        <v>0.3</v>
      </c>
      <c r="AC36" s="1748">
        <f t="shared" si="11"/>
        <v>0.3</v>
      </c>
      <c r="AD36" s="1747">
        <f t="shared" si="12"/>
        <v>0.3</v>
      </c>
      <c r="AE36" s="1747">
        <f t="shared" si="18"/>
        <v>0.3</v>
      </c>
      <c r="AG36" s="1207">
        <v>3.1</v>
      </c>
      <c r="AH36" s="1211" t="s">
        <v>2130</v>
      </c>
      <c r="AI36" s="1208" t="s">
        <v>1534</v>
      </c>
      <c r="AJ36" s="1209">
        <v>0.3</v>
      </c>
      <c r="AK36" s="1209">
        <v>0.3</v>
      </c>
      <c r="AL36" s="1209">
        <v>0.5</v>
      </c>
      <c r="AM36" s="1209">
        <v>1</v>
      </c>
      <c r="AN36" s="1209">
        <v>0.3</v>
      </c>
      <c r="AO36" s="1209">
        <v>0.3</v>
      </c>
      <c r="AP36" s="1209">
        <v>0.3</v>
      </c>
      <c r="AQ36" s="1223"/>
      <c r="AR36" s="1209">
        <v>0.3</v>
      </c>
      <c r="AS36" s="1213">
        <v>0.3</v>
      </c>
      <c r="AT36" s="1214">
        <v>0.3</v>
      </c>
      <c r="AU36" s="1213">
        <v>0.3</v>
      </c>
      <c r="AV36" s="1213">
        <v>0.3</v>
      </c>
      <c r="AX36" s="1207">
        <v>3.1</v>
      </c>
      <c r="AY36" s="1211" t="s">
        <v>2130</v>
      </c>
      <c r="AZ36" s="1208" t="s">
        <v>1534</v>
      </c>
      <c r="BA36" s="1213">
        <v>0.3</v>
      </c>
      <c r="BB36" s="1213">
        <v>0.3</v>
      </c>
      <c r="BC36" s="1213">
        <v>0.5</v>
      </c>
      <c r="BD36" s="1213">
        <v>1</v>
      </c>
      <c r="BE36" s="1213">
        <v>0.3</v>
      </c>
      <c r="BF36" s="1213">
        <v>0.3</v>
      </c>
      <c r="BG36" s="1213">
        <v>0.3</v>
      </c>
      <c r="BH36" s="1215"/>
      <c r="BI36" s="1213">
        <v>0.3</v>
      </c>
      <c r="BJ36" s="1213">
        <v>0.3</v>
      </c>
      <c r="BK36" s="1214">
        <v>0.3</v>
      </c>
      <c r="BL36" s="1213">
        <v>0.3</v>
      </c>
      <c r="BM36" s="1213">
        <v>0.3</v>
      </c>
      <c r="BO36" s="1207">
        <v>3.1</v>
      </c>
      <c r="BP36" s="1211" t="s">
        <v>2130</v>
      </c>
      <c r="BQ36" s="1208" t="s">
        <v>1534</v>
      </c>
      <c r="BR36" s="1213">
        <v>0.3</v>
      </c>
      <c r="BS36" s="1213">
        <v>0.3</v>
      </c>
      <c r="BT36" s="1213">
        <v>0.5</v>
      </c>
      <c r="BU36" s="1213">
        <v>1</v>
      </c>
      <c r="BV36" s="1213">
        <v>0.3</v>
      </c>
      <c r="BW36" s="1213">
        <v>0.3</v>
      </c>
      <c r="BX36" s="1213">
        <v>0.3</v>
      </c>
      <c r="BY36" s="1573">
        <v>0.3</v>
      </c>
      <c r="BZ36" s="1213">
        <v>0.3</v>
      </c>
      <c r="CA36" s="1213">
        <v>0.3</v>
      </c>
      <c r="CB36" s="1214">
        <v>0.3</v>
      </c>
      <c r="CC36" s="1213">
        <v>0.3</v>
      </c>
      <c r="CD36" s="1213">
        <v>0.3</v>
      </c>
      <c r="CE36" s="1469"/>
      <c r="CG36" s="1207">
        <v>3.1</v>
      </c>
      <c r="CH36" s="1211" t="s">
        <v>2130</v>
      </c>
      <c r="CI36" s="1208" t="s">
        <v>1534</v>
      </c>
      <c r="CJ36" s="1689">
        <f t="shared" si="19"/>
        <v>0.3</v>
      </c>
      <c r="CK36" s="1689">
        <f t="shared" si="20"/>
        <v>0.3</v>
      </c>
      <c r="CL36" s="1689">
        <f t="shared" si="21"/>
        <v>0.5</v>
      </c>
      <c r="CM36" s="1689">
        <f t="shared" si="22"/>
        <v>1</v>
      </c>
      <c r="CN36" s="1689">
        <f t="shared" si="23"/>
        <v>0.3</v>
      </c>
      <c r="CO36" s="1689">
        <f t="shared" si="24"/>
        <v>0.3</v>
      </c>
      <c r="CP36" s="1689">
        <f t="shared" si="25"/>
        <v>0.3</v>
      </c>
      <c r="CQ36" s="1689">
        <f t="shared" si="25"/>
        <v>0.3</v>
      </c>
      <c r="CR36" s="1689">
        <f t="shared" si="27"/>
        <v>0.3</v>
      </c>
      <c r="CS36" s="1689">
        <f t="shared" si="28"/>
        <v>0.3</v>
      </c>
      <c r="CT36" s="1691">
        <f t="shared" si="13"/>
        <v>0.3</v>
      </c>
      <c r="CU36" s="1689">
        <f t="shared" si="14"/>
        <v>0.3</v>
      </c>
      <c r="CV36" s="1689">
        <f t="shared" si="15"/>
        <v>0.3</v>
      </c>
      <c r="CX36" s="1207">
        <v>3.1</v>
      </c>
      <c r="CY36" s="1211" t="s">
        <v>2130</v>
      </c>
      <c r="CZ36" s="1208" t="s">
        <v>1534</v>
      </c>
      <c r="DA36" s="1678">
        <f t="shared" si="29"/>
        <v>0.3</v>
      </c>
      <c r="DB36" s="1678"/>
      <c r="DC36" s="1678"/>
      <c r="DD36" s="1678"/>
      <c r="DE36" s="1678"/>
      <c r="DF36" s="1678"/>
      <c r="DG36" s="1678"/>
      <c r="DH36" s="1678"/>
      <c r="DI36" s="1678"/>
      <c r="DJ36" s="1678"/>
      <c r="DK36" s="1795"/>
      <c r="DL36" s="1678"/>
      <c r="DM36" s="1678"/>
    </row>
    <row r="37" spans="2:117">
      <c r="B37" s="1186" t="str">
        <f t="shared" si="0"/>
        <v>3.1.1</v>
      </c>
      <c r="C37" s="1208" t="str">
        <f t="shared" si="1"/>
        <v>昼光率</v>
      </c>
      <c r="D37" s="1196">
        <f t="shared" ref="D37:E39" si="62">IF(I$36&gt;0,G37/I$36,0)</f>
        <v>0.6</v>
      </c>
      <c r="E37" s="1206">
        <f t="shared" si="62"/>
        <v>0</v>
      </c>
      <c r="G37" s="1206">
        <f t="shared" si="2"/>
        <v>0.6</v>
      </c>
      <c r="H37" s="1206">
        <f t="shared" si="3"/>
        <v>0</v>
      </c>
      <c r="I37" s="1206"/>
      <c r="J37" s="1206"/>
      <c r="K37" s="1206">
        <f>IF(スコア!Q37=0,0,1)</f>
        <v>1</v>
      </c>
      <c r="L37" s="1206">
        <f>IF(スコア!S37=0,0,1)</f>
        <v>1</v>
      </c>
      <c r="M37" s="1206">
        <f t="shared" si="4"/>
        <v>0.6</v>
      </c>
      <c r="N37" s="1206">
        <f t="shared" si="5"/>
        <v>0</v>
      </c>
      <c r="P37" s="1207" t="str">
        <f t="shared" si="6"/>
        <v>3.1.1</v>
      </c>
      <c r="Q37" s="1207" t="str">
        <f t="shared" si="7"/>
        <v xml:space="preserve"> Q1 3.1</v>
      </c>
      <c r="R37" s="1208" t="str">
        <f t="shared" si="8"/>
        <v>昼光率</v>
      </c>
      <c r="S37" s="1747">
        <f t="shared" si="16"/>
        <v>0.6</v>
      </c>
      <c r="T37" s="1747">
        <f t="shared" si="32"/>
        <v>0.6</v>
      </c>
      <c r="U37" s="1747">
        <f t="shared" si="33"/>
        <v>0</v>
      </c>
      <c r="V37" s="1747">
        <f t="shared" si="34"/>
        <v>0</v>
      </c>
      <c r="W37" s="1747">
        <f t="shared" si="35"/>
        <v>0.6</v>
      </c>
      <c r="X37" s="1747">
        <f t="shared" si="36"/>
        <v>0.6</v>
      </c>
      <c r="Y37" s="1747">
        <f t="shared" si="37"/>
        <v>0.6</v>
      </c>
      <c r="Z37" s="1751">
        <f t="shared" si="38"/>
        <v>0.6</v>
      </c>
      <c r="AA37" s="1747">
        <f t="shared" si="17"/>
        <v>0.6</v>
      </c>
      <c r="AB37" s="1747">
        <f t="shared" si="10"/>
        <v>0.6</v>
      </c>
      <c r="AC37" s="1748">
        <f t="shared" si="11"/>
        <v>0.6</v>
      </c>
      <c r="AD37" s="1747">
        <f t="shared" si="12"/>
        <v>0.6</v>
      </c>
      <c r="AE37" s="1747">
        <f t="shared" si="18"/>
        <v>0.5</v>
      </c>
      <c r="AG37" s="1207" t="s">
        <v>942</v>
      </c>
      <c r="AH37" s="1211" t="s">
        <v>2131</v>
      </c>
      <c r="AI37" s="1208" t="s">
        <v>2132</v>
      </c>
      <c r="AJ37" s="1209">
        <v>0.6</v>
      </c>
      <c r="AK37" s="1209">
        <v>0.6</v>
      </c>
      <c r="AL37" s="1209"/>
      <c r="AM37" s="1209"/>
      <c r="AN37" s="1209">
        <v>0.6</v>
      </c>
      <c r="AO37" s="1209">
        <v>0.6</v>
      </c>
      <c r="AP37" s="1209">
        <v>0.6</v>
      </c>
      <c r="AQ37" s="1223"/>
      <c r="AR37" s="1209">
        <v>0.6</v>
      </c>
      <c r="AS37" s="1213">
        <v>0.6</v>
      </c>
      <c r="AT37" s="1214">
        <v>0.6</v>
      </c>
      <c r="AU37" s="1213">
        <v>0.6</v>
      </c>
      <c r="AV37" s="1213">
        <v>0.5</v>
      </c>
      <c r="AX37" s="1207" t="s">
        <v>942</v>
      </c>
      <c r="AY37" s="1211" t="s">
        <v>2131</v>
      </c>
      <c r="AZ37" s="1208" t="s">
        <v>2132</v>
      </c>
      <c r="BA37" s="1213">
        <v>0.6</v>
      </c>
      <c r="BB37" s="1213">
        <v>0.6</v>
      </c>
      <c r="BC37" s="1213"/>
      <c r="BD37" s="1213"/>
      <c r="BE37" s="1213">
        <v>0.6</v>
      </c>
      <c r="BF37" s="1213">
        <v>0.6</v>
      </c>
      <c r="BG37" s="1213">
        <v>0.6</v>
      </c>
      <c r="BH37" s="1215"/>
      <c r="BI37" s="1213">
        <v>0.6</v>
      </c>
      <c r="BJ37" s="1213">
        <v>0.6</v>
      </c>
      <c r="BK37" s="1214">
        <v>0.6</v>
      </c>
      <c r="BL37" s="1213">
        <v>0.6</v>
      </c>
      <c r="BM37" s="1213">
        <v>0.5</v>
      </c>
      <c r="BO37" s="1207" t="s">
        <v>942</v>
      </c>
      <c r="BP37" s="1211" t="s">
        <v>2131</v>
      </c>
      <c r="BQ37" s="1208" t="s">
        <v>2132</v>
      </c>
      <c r="BR37" s="1213">
        <v>0.6</v>
      </c>
      <c r="BS37" s="1213">
        <v>0.6</v>
      </c>
      <c r="BT37" s="1213"/>
      <c r="BU37" s="1213"/>
      <c r="BV37" s="1213">
        <v>0.6</v>
      </c>
      <c r="BW37" s="1213">
        <v>0.6</v>
      </c>
      <c r="BX37" s="1213">
        <v>0.6</v>
      </c>
      <c r="BY37" s="1571">
        <v>0.6</v>
      </c>
      <c r="BZ37" s="1213">
        <v>0.6</v>
      </c>
      <c r="CA37" s="1213">
        <v>0.6</v>
      </c>
      <c r="CB37" s="1214">
        <v>0.6</v>
      </c>
      <c r="CC37" s="1213">
        <v>0.6</v>
      </c>
      <c r="CD37" s="1213">
        <v>0.5</v>
      </c>
      <c r="CE37" s="1469"/>
      <c r="CG37" s="1207" t="s">
        <v>942</v>
      </c>
      <c r="CH37" s="1211" t="s">
        <v>2131</v>
      </c>
      <c r="CI37" s="1208" t="s">
        <v>2132</v>
      </c>
      <c r="CJ37" s="1689">
        <f t="shared" si="19"/>
        <v>0.6</v>
      </c>
      <c r="CK37" s="1689">
        <f t="shared" si="20"/>
        <v>0.6</v>
      </c>
      <c r="CL37" s="1689">
        <f t="shared" si="21"/>
        <v>0</v>
      </c>
      <c r="CM37" s="1689">
        <f t="shared" si="22"/>
        <v>0</v>
      </c>
      <c r="CN37" s="1689">
        <f t="shared" si="23"/>
        <v>0.6</v>
      </c>
      <c r="CO37" s="1689">
        <f t="shared" si="24"/>
        <v>0.6</v>
      </c>
      <c r="CP37" s="1689">
        <f t="shared" si="25"/>
        <v>0.6</v>
      </c>
      <c r="CQ37" s="1689">
        <f t="shared" si="25"/>
        <v>0.6</v>
      </c>
      <c r="CR37" s="1689">
        <f t="shared" si="27"/>
        <v>0.6</v>
      </c>
      <c r="CS37" s="1689">
        <f t="shared" si="28"/>
        <v>0.6</v>
      </c>
      <c r="CT37" s="1691">
        <f t="shared" si="13"/>
        <v>0.6</v>
      </c>
      <c r="CU37" s="1689">
        <f t="shared" si="14"/>
        <v>0.6</v>
      </c>
      <c r="CV37" s="1689">
        <f t="shared" si="15"/>
        <v>0.5</v>
      </c>
      <c r="CX37" s="1207" t="s">
        <v>942</v>
      </c>
      <c r="CY37" s="1211" t="s">
        <v>2131</v>
      </c>
      <c r="CZ37" s="1208" t="s">
        <v>2132</v>
      </c>
      <c r="DA37" s="1678">
        <f t="shared" si="29"/>
        <v>0.6</v>
      </c>
      <c r="DB37" s="1678"/>
      <c r="DC37" s="1678"/>
      <c r="DD37" s="1678"/>
      <c r="DE37" s="1678"/>
      <c r="DF37" s="1678"/>
      <c r="DG37" s="1678"/>
      <c r="DH37" s="1678"/>
      <c r="DI37" s="1678"/>
      <c r="DJ37" s="1678"/>
      <c r="DK37" s="1795"/>
      <c r="DL37" s="1678"/>
      <c r="DM37" s="1678"/>
    </row>
    <row r="38" spans="2:117">
      <c r="B38" s="1186" t="str">
        <f t="shared" si="0"/>
        <v>3.1.2</v>
      </c>
      <c r="C38" s="1208" t="str">
        <f t="shared" si="1"/>
        <v>方位別開口</v>
      </c>
      <c r="D38" s="1196">
        <f t="shared" si="62"/>
        <v>0</v>
      </c>
      <c r="E38" s="1206">
        <f t="shared" si="62"/>
        <v>0</v>
      </c>
      <c r="G38" s="1206">
        <f t="shared" si="2"/>
        <v>0</v>
      </c>
      <c r="H38" s="1206">
        <f t="shared" si="3"/>
        <v>0</v>
      </c>
      <c r="I38" s="1206"/>
      <c r="J38" s="1206"/>
      <c r="K38" s="1206">
        <f>IF(スコア!Q38=0,0,1)</f>
        <v>0</v>
      </c>
      <c r="L38" s="1206">
        <f>IF(スコア!S38=0,0,1)</f>
        <v>1</v>
      </c>
      <c r="M38" s="1206">
        <f t="shared" si="4"/>
        <v>0</v>
      </c>
      <c r="N38" s="1206">
        <f t="shared" si="5"/>
        <v>0</v>
      </c>
      <c r="P38" s="1207" t="str">
        <f t="shared" si="6"/>
        <v>3.1.2</v>
      </c>
      <c r="Q38" s="1207" t="str">
        <f t="shared" si="7"/>
        <v xml:space="preserve"> Q1 3.1</v>
      </c>
      <c r="R38" s="1208" t="str">
        <f t="shared" si="8"/>
        <v>方位別開口</v>
      </c>
      <c r="S38" s="1747">
        <f t="shared" si="16"/>
        <v>0</v>
      </c>
      <c r="T38" s="1747">
        <f t="shared" si="32"/>
        <v>0</v>
      </c>
      <c r="U38" s="1747">
        <f t="shared" si="33"/>
        <v>0</v>
      </c>
      <c r="V38" s="1747">
        <f t="shared" si="34"/>
        <v>0</v>
      </c>
      <c r="W38" s="1747">
        <f t="shared" si="35"/>
        <v>0</v>
      </c>
      <c r="X38" s="1747">
        <f t="shared" si="36"/>
        <v>0</v>
      </c>
      <c r="Y38" s="1747">
        <f t="shared" si="37"/>
        <v>0</v>
      </c>
      <c r="Z38" s="1751">
        <f t="shared" si="38"/>
        <v>0</v>
      </c>
      <c r="AA38" s="1747">
        <f t="shared" si="17"/>
        <v>0</v>
      </c>
      <c r="AB38" s="1747">
        <f t="shared" si="10"/>
        <v>0</v>
      </c>
      <c r="AC38" s="1748">
        <f t="shared" si="11"/>
        <v>0</v>
      </c>
      <c r="AD38" s="1747">
        <f t="shared" si="12"/>
        <v>0</v>
      </c>
      <c r="AE38" s="1747">
        <f t="shared" si="18"/>
        <v>0.3</v>
      </c>
      <c r="AG38" s="1207" t="s">
        <v>943</v>
      </c>
      <c r="AH38" s="1211" t="s">
        <v>2131</v>
      </c>
      <c r="AI38" s="1208" t="s">
        <v>2133</v>
      </c>
      <c r="AJ38" s="1209"/>
      <c r="AK38" s="1209"/>
      <c r="AL38" s="1209"/>
      <c r="AM38" s="1209"/>
      <c r="AN38" s="1209"/>
      <c r="AO38" s="1209"/>
      <c r="AP38" s="1209"/>
      <c r="AQ38" s="1223"/>
      <c r="AR38" s="1209"/>
      <c r="AS38" s="1213"/>
      <c r="AT38" s="1214"/>
      <c r="AU38" s="1213"/>
      <c r="AV38" s="1213">
        <v>0.3</v>
      </c>
      <c r="AX38" s="1207" t="s">
        <v>943</v>
      </c>
      <c r="AY38" s="1211" t="s">
        <v>2131</v>
      </c>
      <c r="AZ38" s="1208" t="s">
        <v>2133</v>
      </c>
      <c r="BA38" s="1213"/>
      <c r="BB38" s="1213"/>
      <c r="BC38" s="1213"/>
      <c r="BD38" s="1213"/>
      <c r="BE38" s="1213"/>
      <c r="BF38" s="1213"/>
      <c r="BG38" s="1213"/>
      <c r="BH38" s="1215"/>
      <c r="BI38" s="1213"/>
      <c r="BJ38" s="1213"/>
      <c r="BK38" s="1214"/>
      <c r="BL38" s="1213"/>
      <c r="BM38" s="1213">
        <v>0.3</v>
      </c>
      <c r="BO38" s="1207" t="s">
        <v>943</v>
      </c>
      <c r="BP38" s="1211" t="s">
        <v>2131</v>
      </c>
      <c r="BQ38" s="1208" t="s">
        <v>2133</v>
      </c>
      <c r="BR38" s="1213"/>
      <c r="BS38" s="1213"/>
      <c r="BT38" s="1213"/>
      <c r="BU38" s="1213"/>
      <c r="BV38" s="1213"/>
      <c r="BW38" s="1213"/>
      <c r="BX38" s="1213"/>
      <c r="BY38" s="1571"/>
      <c r="BZ38" s="1213"/>
      <c r="CA38" s="1213"/>
      <c r="CB38" s="1214"/>
      <c r="CC38" s="1213"/>
      <c r="CD38" s="1213">
        <v>0.3</v>
      </c>
      <c r="CE38" s="1469"/>
      <c r="CG38" s="1207" t="s">
        <v>943</v>
      </c>
      <c r="CH38" s="1211" t="s">
        <v>2131</v>
      </c>
      <c r="CI38" s="1208" t="s">
        <v>2133</v>
      </c>
      <c r="CJ38" s="1689">
        <f t="shared" si="19"/>
        <v>0</v>
      </c>
      <c r="CK38" s="1689">
        <f t="shared" si="20"/>
        <v>0</v>
      </c>
      <c r="CL38" s="1689">
        <f t="shared" si="21"/>
        <v>0</v>
      </c>
      <c r="CM38" s="1689">
        <f t="shared" si="22"/>
        <v>0</v>
      </c>
      <c r="CN38" s="1689">
        <f t="shared" si="23"/>
        <v>0</v>
      </c>
      <c r="CO38" s="1689">
        <f t="shared" si="24"/>
        <v>0</v>
      </c>
      <c r="CP38" s="1689">
        <f t="shared" si="25"/>
        <v>0</v>
      </c>
      <c r="CQ38" s="1689">
        <f t="shared" si="25"/>
        <v>0</v>
      </c>
      <c r="CR38" s="1689">
        <f t="shared" si="27"/>
        <v>0</v>
      </c>
      <c r="CS38" s="1689">
        <f t="shared" si="28"/>
        <v>0</v>
      </c>
      <c r="CT38" s="1691">
        <f t="shared" si="13"/>
        <v>0</v>
      </c>
      <c r="CU38" s="1689">
        <f t="shared" si="14"/>
        <v>0</v>
      </c>
      <c r="CV38" s="1689">
        <f t="shared" si="15"/>
        <v>0.3</v>
      </c>
      <c r="CX38" s="1207" t="s">
        <v>943</v>
      </c>
      <c r="CY38" s="1211" t="s">
        <v>2131</v>
      </c>
      <c r="CZ38" s="1208" t="s">
        <v>2133</v>
      </c>
      <c r="DA38" s="1678">
        <f t="shared" si="29"/>
        <v>0</v>
      </c>
      <c r="DB38" s="1678"/>
      <c r="DC38" s="1678"/>
      <c r="DD38" s="1678"/>
      <c r="DE38" s="1678"/>
      <c r="DF38" s="1678"/>
      <c r="DG38" s="1678"/>
      <c r="DH38" s="1678"/>
      <c r="DI38" s="1678"/>
      <c r="DJ38" s="1678"/>
      <c r="DK38" s="1795"/>
      <c r="DL38" s="1678"/>
      <c r="DM38" s="1678"/>
    </row>
    <row r="39" spans="2:117">
      <c r="B39" s="1186" t="str">
        <f t="shared" si="0"/>
        <v>3.1.3</v>
      </c>
      <c r="C39" s="1208" t="str">
        <f t="shared" si="1"/>
        <v>昼光利用設備</v>
      </c>
      <c r="D39" s="1196">
        <f t="shared" si="62"/>
        <v>0.4</v>
      </c>
      <c r="E39" s="1206">
        <f t="shared" si="62"/>
        <v>0</v>
      </c>
      <c r="G39" s="1206">
        <f t="shared" si="2"/>
        <v>0.4</v>
      </c>
      <c r="H39" s="1206">
        <f t="shared" si="3"/>
        <v>0</v>
      </c>
      <c r="I39" s="1206"/>
      <c r="J39" s="1206"/>
      <c r="K39" s="1206">
        <f>IF(スコア!Q39=0,0,1)</f>
        <v>1</v>
      </c>
      <c r="L39" s="1206">
        <f>IF(スコア!S39=0,0,1)</f>
        <v>1</v>
      </c>
      <c r="M39" s="1206">
        <f t="shared" si="4"/>
        <v>0.4</v>
      </c>
      <c r="N39" s="1206">
        <f t="shared" si="5"/>
        <v>0</v>
      </c>
      <c r="P39" s="1207" t="str">
        <f t="shared" si="6"/>
        <v>3.1.3</v>
      </c>
      <c r="Q39" s="1207" t="str">
        <f t="shared" si="7"/>
        <v xml:space="preserve"> Q1 3.1</v>
      </c>
      <c r="R39" s="1208" t="str">
        <f t="shared" si="8"/>
        <v>昼光利用設備</v>
      </c>
      <c r="S39" s="1747">
        <f t="shared" si="16"/>
        <v>0.4</v>
      </c>
      <c r="T39" s="1747">
        <f t="shared" si="32"/>
        <v>0.4</v>
      </c>
      <c r="U39" s="1747">
        <f t="shared" si="33"/>
        <v>1</v>
      </c>
      <c r="V39" s="1747">
        <f t="shared" si="34"/>
        <v>1</v>
      </c>
      <c r="W39" s="1747">
        <f t="shared" si="35"/>
        <v>0.4</v>
      </c>
      <c r="X39" s="1747">
        <f t="shared" si="36"/>
        <v>0.4</v>
      </c>
      <c r="Y39" s="1747">
        <f t="shared" si="37"/>
        <v>0.4</v>
      </c>
      <c r="Z39" s="1751">
        <f t="shared" si="38"/>
        <v>0.4</v>
      </c>
      <c r="AA39" s="1747">
        <f t="shared" si="17"/>
        <v>0.4</v>
      </c>
      <c r="AB39" s="1747">
        <f t="shared" si="10"/>
        <v>0.4</v>
      </c>
      <c r="AC39" s="1748">
        <f t="shared" si="11"/>
        <v>0.4</v>
      </c>
      <c r="AD39" s="1747">
        <f t="shared" si="12"/>
        <v>0.4</v>
      </c>
      <c r="AE39" s="1747">
        <f t="shared" si="18"/>
        <v>0.2</v>
      </c>
      <c r="AG39" s="1207" t="s">
        <v>944</v>
      </c>
      <c r="AH39" s="1211" t="s">
        <v>2131</v>
      </c>
      <c r="AI39" s="1208" t="s">
        <v>2134</v>
      </c>
      <c r="AJ39" s="1209">
        <v>0.4</v>
      </c>
      <c r="AK39" s="1209">
        <v>0.4</v>
      </c>
      <c r="AL39" s="1209">
        <v>1</v>
      </c>
      <c r="AM39" s="1209">
        <v>1</v>
      </c>
      <c r="AN39" s="1209">
        <v>0.4</v>
      </c>
      <c r="AO39" s="1209">
        <v>0.4</v>
      </c>
      <c r="AP39" s="1209">
        <v>0.4</v>
      </c>
      <c r="AQ39" s="1223"/>
      <c r="AR39" s="1209">
        <v>0.4</v>
      </c>
      <c r="AS39" s="1213">
        <v>0.4</v>
      </c>
      <c r="AT39" s="1214">
        <v>0.4</v>
      </c>
      <c r="AU39" s="1213">
        <v>0.4</v>
      </c>
      <c r="AV39" s="1213">
        <v>0.2</v>
      </c>
      <c r="AX39" s="1207" t="s">
        <v>944</v>
      </c>
      <c r="AY39" s="1211" t="s">
        <v>2131</v>
      </c>
      <c r="AZ39" s="1208" t="s">
        <v>2134</v>
      </c>
      <c r="BA39" s="1213">
        <v>0.4</v>
      </c>
      <c r="BB39" s="1213">
        <v>0.4</v>
      </c>
      <c r="BC39" s="1213">
        <v>1</v>
      </c>
      <c r="BD39" s="1213">
        <v>1</v>
      </c>
      <c r="BE39" s="1213">
        <v>0.4</v>
      </c>
      <c r="BF39" s="1213">
        <v>0.4</v>
      </c>
      <c r="BG39" s="1213">
        <v>0.4</v>
      </c>
      <c r="BH39" s="1215"/>
      <c r="BI39" s="1213">
        <v>0.4</v>
      </c>
      <c r="BJ39" s="1213">
        <v>0.4</v>
      </c>
      <c r="BK39" s="1214">
        <v>0.4</v>
      </c>
      <c r="BL39" s="1213">
        <v>0.4</v>
      </c>
      <c r="BM39" s="1213">
        <v>0.2</v>
      </c>
      <c r="BO39" s="1207" t="s">
        <v>944</v>
      </c>
      <c r="BP39" s="1211" t="s">
        <v>2131</v>
      </c>
      <c r="BQ39" s="1208" t="s">
        <v>2134</v>
      </c>
      <c r="BR39" s="1213">
        <v>0.4</v>
      </c>
      <c r="BS39" s="1213">
        <v>0.4</v>
      </c>
      <c r="BT39" s="1213">
        <v>1</v>
      </c>
      <c r="BU39" s="1213">
        <v>1</v>
      </c>
      <c r="BV39" s="1213">
        <v>0.4</v>
      </c>
      <c r="BW39" s="1213">
        <v>0.4</v>
      </c>
      <c r="BX39" s="1213">
        <v>0.4</v>
      </c>
      <c r="BY39" s="1571">
        <v>0.4</v>
      </c>
      <c r="BZ39" s="1213">
        <v>0.4</v>
      </c>
      <c r="CA39" s="1213">
        <v>0.4</v>
      </c>
      <c r="CB39" s="1214">
        <v>0.4</v>
      </c>
      <c r="CC39" s="1213">
        <v>0.4</v>
      </c>
      <c r="CD39" s="1213">
        <v>0.2</v>
      </c>
      <c r="CE39" s="1469"/>
      <c r="CG39" s="1207" t="s">
        <v>944</v>
      </c>
      <c r="CH39" s="1211" t="s">
        <v>2131</v>
      </c>
      <c r="CI39" s="1208" t="s">
        <v>2134</v>
      </c>
      <c r="CJ39" s="1689">
        <f t="shared" si="19"/>
        <v>0.4</v>
      </c>
      <c r="CK39" s="1689">
        <f t="shared" si="20"/>
        <v>0.4</v>
      </c>
      <c r="CL39" s="1689">
        <f t="shared" si="21"/>
        <v>1</v>
      </c>
      <c r="CM39" s="1689">
        <f t="shared" si="22"/>
        <v>1</v>
      </c>
      <c r="CN39" s="1689">
        <f t="shared" si="23"/>
        <v>0.4</v>
      </c>
      <c r="CO39" s="1689">
        <f t="shared" si="24"/>
        <v>0.4</v>
      </c>
      <c r="CP39" s="1689">
        <f t="shared" si="25"/>
        <v>0.4</v>
      </c>
      <c r="CQ39" s="1689">
        <f t="shared" si="25"/>
        <v>0.4</v>
      </c>
      <c r="CR39" s="1689">
        <f t="shared" si="27"/>
        <v>0.4</v>
      </c>
      <c r="CS39" s="1689">
        <f t="shared" si="28"/>
        <v>0.4</v>
      </c>
      <c r="CT39" s="1691">
        <f t="shared" si="13"/>
        <v>0.4</v>
      </c>
      <c r="CU39" s="1689">
        <f t="shared" si="14"/>
        <v>0.4</v>
      </c>
      <c r="CV39" s="1689">
        <f t="shared" si="15"/>
        <v>0.2</v>
      </c>
      <c r="CX39" s="1207" t="s">
        <v>944</v>
      </c>
      <c r="CY39" s="1211" t="s">
        <v>2131</v>
      </c>
      <c r="CZ39" s="1208" t="s">
        <v>2134</v>
      </c>
      <c r="DA39" s="1678">
        <f t="shared" si="29"/>
        <v>0.4</v>
      </c>
      <c r="DB39" s="1678"/>
      <c r="DC39" s="1678"/>
      <c r="DD39" s="1678"/>
      <c r="DE39" s="1678"/>
      <c r="DF39" s="1678"/>
      <c r="DG39" s="1678"/>
      <c r="DH39" s="1678"/>
      <c r="DI39" s="1678"/>
      <c r="DJ39" s="1678"/>
      <c r="DK39" s="1795"/>
      <c r="DL39" s="1678"/>
      <c r="DM39" s="1678"/>
    </row>
    <row r="40" spans="2:117">
      <c r="B40" s="1186">
        <f t="shared" si="0"/>
        <v>3.2</v>
      </c>
      <c r="C40" s="1208" t="str">
        <f t="shared" si="1"/>
        <v>グレア対策</v>
      </c>
      <c r="D40" s="1205">
        <f>IF(I$35=0,0,G40/I$35)</f>
        <v>0.3</v>
      </c>
      <c r="E40" s="1206">
        <f>IF(J$35=0,0,H40/J$35)</f>
        <v>0</v>
      </c>
      <c r="G40" s="1206">
        <f t="shared" si="2"/>
        <v>0.3</v>
      </c>
      <c r="H40" s="1206">
        <f t="shared" si="3"/>
        <v>0</v>
      </c>
      <c r="I40" s="1206">
        <f>SUM(G41:G43)</f>
        <v>1</v>
      </c>
      <c r="J40" s="1206">
        <f>SUM(H41:H43)</f>
        <v>0</v>
      </c>
      <c r="K40" s="1206">
        <f>IF(スコア!Q40=0,0,1)</f>
        <v>1</v>
      </c>
      <c r="L40" s="1206">
        <f>IF(スコア!S40=0,0,1)</f>
        <v>0</v>
      </c>
      <c r="M40" s="1206">
        <f t="shared" si="4"/>
        <v>0.3</v>
      </c>
      <c r="N40" s="1206">
        <f t="shared" si="5"/>
        <v>0</v>
      </c>
      <c r="P40" s="1207">
        <f t="shared" si="6"/>
        <v>3.2</v>
      </c>
      <c r="Q40" s="1207" t="str">
        <f t="shared" si="7"/>
        <v xml:space="preserve"> Q1 3</v>
      </c>
      <c r="R40" s="1208" t="str">
        <f t="shared" si="8"/>
        <v>グレア対策</v>
      </c>
      <c r="S40" s="1747">
        <f t="shared" si="16"/>
        <v>0.3</v>
      </c>
      <c r="T40" s="1747">
        <f t="shared" si="32"/>
        <v>0.3</v>
      </c>
      <c r="U40" s="1747">
        <f t="shared" si="33"/>
        <v>0</v>
      </c>
      <c r="V40" s="1747">
        <f t="shared" si="34"/>
        <v>0</v>
      </c>
      <c r="W40" s="1747">
        <f t="shared" si="35"/>
        <v>0.3</v>
      </c>
      <c r="X40" s="1747">
        <f t="shared" si="36"/>
        <v>0.3</v>
      </c>
      <c r="Y40" s="1747">
        <f t="shared" si="37"/>
        <v>0.3</v>
      </c>
      <c r="Z40" s="1751">
        <f t="shared" si="38"/>
        <v>0</v>
      </c>
      <c r="AA40" s="1747">
        <f t="shared" si="17"/>
        <v>0.3</v>
      </c>
      <c r="AB40" s="1747">
        <f t="shared" si="10"/>
        <v>0.3</v>
      </c>
      <c r="AC40" s="1748">
        <f t="shared" si="11"/>
        <v>0.3</v>
      </c>
      <c r="AD40" s="1747">
        <f t="shared" si="12"/>
        <v>0.3</v>
      </c>
      <c r="AE40" s="1747">
        <f t="shared" si="18"/>
        <v>0.3</v>
      </c>
      <c r="AG40" s="1207">
        <v>3.2</v>
      </c>
      <c r="AH40" s="1211" t="s">
        <v>2130</v>
      </c>
      <c r="AI40" s="1208" t="s">
        <v>1538</v>
      </c>
      <c r="AJ40" s="1209">
        <v>0.3</v>
      </c>
      <c r="AK40" s="1209">
        <v>0.3</v>
      </c>
      <c r="AL40" s="1209"/>
      <c r="AM40" s="1209"/>
      <c r="AN40" s="1209">
        <v>0.3</v>
      </c>
      <c r="AO40" s="1209">
        <v>0.3</v>
      </c>
      <c r="AP40" s="1209">
        <v>0.3</v>
      </c>
      <c r="AQ40" s="1223"/>
      <c r="AR40" s="1209">
        <v>0.3</v>
      </c>
      <c r="AS40" s="1213">
        <v>0.3</v>
      </c>
      <c r="AT40" s="1214">
        <v>0.3</v>
      </c>
      <c r="AU40" s="1213">
        <v>0.3</v>
      </c>
      <c r="AV40" s="1213">
        <v>0.3</v>
      </c>
      <c r="AX40" s="1207">
        <v>3.2</v>
      </c>
      <c r="AY40" s="1211" t="s">
        <v>2130</v>
      </c>
      <c r="AZ40" s="1208" t="s">
        <v>1538</v>
      </c>
      <c r="BA40" s="1213">
        <v>0.3</v>
      </c>
      <c r="BB40" s="1213">
        <v>0.3</v>
      </c>
      <c r="BC40" s="1213"/>
      <c r="BD40" s="1213"/>
      <c r="BE40" s="1213">
        <v>0.3</v>
      </c>
      <c r="BF40" s="1213">
        <v>0.3</v>
      </c>
      <c r="BG40" s="1213">
        <v>0.3</v>
      </c>
      <c r="BH40" s="1215"/>
      <c r="BI40" s="1213">
        <v>0.3</v>
      </c>
      <c r="BJ40" s="1213">
        <v>0.3</v>
      </c>
      <c r="BK40" s="1214">
        <v>0.3</v>
      </c>
      <c r="BL40" s="1213">
        <v>0.3</v>
      </c>
      <c r="BM40" s="1213">
        <v>0.3</v>
      </c>
      <c r="BO40" s="1207">
        <v>3.2</v>
      </c>
      <c r="BP40" s="1211" t="s">
        <v>2130</v>
      </c>
      <c r="BQ40" s="1208" t="s">
        <v>1538</v>
      </c>
      <c r="BR40" s="1213">
        <v>0.3</v>
      </c>
      <c r="BS40" s="1213">
        <v>0.3</v>
      </c>
      <c r="BT40" s="1213"/>
      <c r="BU40" s="1213"/>
      <c r="BV40" s="1213">
        <v>0.3</v>
      </c>
      <c r="BW40" s="1213">
        <v>0.3</v>
      </c>
      <c r="BX40" s="1213">
        <v>0.3</v>
      </c>
      <c r="BY40" s="1574"/>
      <c r="BZ40" s="1213">
        <v>0.3</v>
      </c>
      <c r="CA40" s="1213">
        <v>0.3</v>
      </c>
      <c r="CB40" s="1214">
        <v>0.3</v>
      </c>
      <c r="CC40" s="1213">
        <v>0.3</v>
      </c>
      <c r="CD40" s="1213">
        <v>0.3</v>
      </c>
      <c r="CE40" s="1469"/>
      <c r="CG40" s="1207">
        <v>3.2</v>
      </c>
      <c r="CH40" s="1211" t="s">
        <v>2130</v>
      </c>
      <c r="CI40" s="1208" t="s">
        <v>1538</v>
      </c>
      <c r="CJ40" s="1689">
        <f t="shared" si="19"/>
        <v>0.3</v>
      </c>
      <c r="CK40" s="1689">
        <f t="shared" si="20"/>
        <v>0.3</v>
      </c>
      <c r="CL40" s="1689">
        <f t="shared" si="21"/>
        <v>0</v>
      </c>
      <c r="CM40" s="1689">
        <f t="shared" si="22"/>
        <v>0</v>
      </c>
      <c r="CN40" s="1689">
        <f t="shared" si="23"/>
        <v>0.3</v>
      </c>
      <c r="CO40" s="1689">
        <f t="shared" si="24"/>
        <v>0.3</v>
      </c>
      <c r="CP40" s="1689">
        <f t="shared" si="25"/>
        <v>0.3</v>
      </c>
      <c r="CQ40" s="1689">
        <f t="shared" si="25"/>
        <v>0</v>
      </c>
      <c r="CR40" s="1689">
        <f t="shared" si="27"/>
        <v>0.3</v>
      </c>
      <c r="CS40" s="1689">
        <f t="shared" si="28"/>
        <v>0.3</v>
      </c>
      <c r="CT40" s="1691">
        <f t="shared" si="13"/>
        <v>0.3</v>
      </c>
      <c r="CU40" s="1689">
        <f t="shared" si="14"/>
        <v>0.3</v>
      </c>
      <c r="CV40" s="1689">
        <f t="shared" si="15"/>
        <v>0.3</v>
      </c>
      <c r="CX40" s="1207">
        <v>3.2</v>
      </c>
      <c r="CY40" s="1211" t="s">
        <v>2130</v>
      </c>
      <c r="CZ40" s="1208" t="s">
        <v>1538</v>
      </c>
      <c r="DA40" s="1678">
        <f t="shared" si="29"/>
        <v>0.3</v>
      </c>
      <c r="DB40" s="1678"/>
      <c r="DC40" s="1678"/>
      <c r="DD40" s="1678"/>
      <c r="DE40" s="1678"/>
      <c r="DF40" s="1678"/>
      <c r="DG40" s="1678"/>
      <c r="DH40" s="1678"/>
      <c r="DI40" s="1678"/>
      <c r="DJ40" s="1678"/>
      <c r="DK40" s="1795"/>
      <c r="DL40" s="1678"/>
      <c r="DM40" s="1678"/>
    </row>
    <row r="41" spans="2:117" hidden="1">
      <c r="B41" s="1186" t="str">
        <f t="shared" si="0"/>
        <v>3.2.1</v>
      </c>
      <c r="C41" s="1208">
        <f>R41</f>
        <v>0</v>
      </c>
      <c r="D41" s="1196">
        <f t="shared" ref="D41:E43" si="63">IF(I$40&gt;0,G41/I$40,0)</f>
        <v>0</v>
      </c>
      <c r="E41" s="1206">
        <f t="shared" si="63"/>
        <v>0</v>
      </c>
      <c r="G41" s="1206">
        <f t="shared" si="2"/>
        <v>0</v>
      </c>
      <c r="H41" s="1206">
        <f t="shared" si="3"/>
        <v>0</v>
      </c>
      <c r="I41" s="1206"/>
      <c r="J41" s="1206"/>
      <c r="K41" s="1206">
        <f>IF(スコア!Q41=0,0,1)</f>
        <v>0</v>
      </c>
      <c r="L41" s="1206">
        <f>IF(スコア!S41=0,0,1)</f>
        <v>0</v>
      </c>
      <c r="M41" s="1206">
        <f t="shared" si="4"/>
        <v>0</v>
      </c>
      <c r="N41" s="1206">
        <f t="shared" si="5"/>
        <v>0</v>
      </c>
      <c r="P41" s="1207" t="str">
        <f t="shared" si="6"/>
        <v>3.2.1</v>
      </c>
      <c r="Q41" s="1207" t="str">
        <f t="shared" si="7"/>
        <v xml:space="preserve"> Q1 3.2</v>
      </c>
      <c r="R41" s="1208">
        <f t="shared" si="8"/>
        <v>0</v>
      </c>
      <c r="S41" s="1747">
        <f t="shared" si="16"/>
        <v>0</v>
      </c>
      <c r="T41" s="1747">
        <f t="shared" si="32"/>
        <v>0</v>
      </c>
      <c r="U41" s="1747">
        <f t="shared" si="33"/>
        <v>0</v>
      </c>
      <c r="V41" s="1747">
        <f t="shared" si="34"/>
        <v>0</v>
      </c>
      <c r="W41" s="1747">
        <f t="shared" si="35"/>
        <v>0</v>
      </c>
      <c r="X41" s="1747">
        <f t="shared" si="36"/>
        <v>0</v>
      </c>
      <c r="Y41" s="1747">
        <f t="shared" si="37"/>
        <v>0</v>
      </c>
      <c r="Z41" s="1751">
        <f t="shared" si="38"/>
        <v>0</v>
      </c>
      <c r="AA41" s="1747">
        <f t="shared" si="17"/>
        <v>0</v>
      </c>
      <c r="AB41" s="1747">
        <f t="shared" si="10"/>
        <v>0</v>
      </c>
      <c r="AC41" s="1748">
        <f t="shared" si="11"/>
        <v>0</v>
      </c>
      <c r="AD41" s="1747">
        <f t="shared" si="12"/>
        <v>0</v>
      </c>
      <c r="AE41" s="1747">
        <f t="shared" si="18"/>
        <v>0</v>
      </c>
      <c r="AG41" s="1207" t="s">
        <v>945</v>
      </c>
      <c r="AH41" s="1211" t="s">
        <v>2135</v>
      </c>
      <c r="AI41" s="1208" t="s">
        <v>2136</v>
      </c>
      <c r="AJ41" s="1218">
        <v>0.4</v>
      </c>
      <c r="AK41" s="1218">
        <v>0.4</v>
      </c>
      <c r="AL41" s="1218"/>
      <c r="AM41" s="1218"/>
      <c r="AN41" s="1218">
        <v>0.4</v>
      </c>
      <c r="AO41" s="1218">
        <v>0.4</v>
      </c>
      <c r="AP41" s="1218">
        <v>0.4</v>
      </c>
      <c r="AQ41" s="1224"/>
      <c r="AR41" s="1218">
        <v>0.4</v>
      </c>
      <c r="AS41" s="1226">
        <v>0.3</v>
      </c>
      <c r="AT41" s="1214">
        <v>0.4</v>
      </c>
      <c r="AU41" s="1213">
        <v>0.4</v>
      </c>
      <c r="AV41" s="1213">
        <v>0.4</v>
      </c>
      <c r="AX41" s="1207" t="s">
        <v>945</v>
      </c>
      <c r="AY41" s="1211" t="s">
        <v>2135</v>
      </c>
      <c r="AZ41" s="1208" t="s">
        <v>2136</v>
      </c>
      <c r="BA41" s="1213"/>
      <c r="BB41" s="1213"/>
      <c r="BC41" s="1213"/>
      <c r="BD41" s="1213"/>
      <c r="BE41" s="1213"/>
      <c r="BF41" s="1213"/>
      <c r="BG41" s="1213"/>
      <c r="BH41" s="1215"/>
      <c r="BI41" s="1213"/>
      <c r="BJ41" s="1213"/>
      <c r="BK41" s="1214"/>
      <c r="BL41" s="1213"/>
      <c r="BM41" s="1213"/>
      <c r="BO41" s="1207" t="s">
        <v>945</v>
      </c>
      <c r="BP41" s="1211" t="s">
        <v>2135</v>
      </c>
      <c r="BQ41" s="1208"/>
      <c r="BR41" s="1815"/>
      <c r="BS41" s="1815"/>
      <c r="BT41" s="1815"/>
      <c r="BU41" s="1815"/>
      <c r="BV41" s="1815"/>
      <c r="BW41" s="1815"/>
      <c r="BX41" s="1815"/>
      <c r="BY41" s="1865"/>
      <c r="BZ41" s="1815"/>
      <c r="CA41" s="1815"/>
      <c r="CB41" s="1815"/>
      <c r="CC41" s="1815"/>
      <c r="CD41" s="1815"/>
      <c r="CE41" s="1469"/>
      <c r="CG41" s="1207" t="s">
        <v>945</v>
      </c>
      <c r="CH41" s="1211" t="s">
        <v>2135</v>
      </c>
      <c r="CI41" s="1208" t="s">
        <v>2136</v>
      </c>
      <c r="CJ41" s="1689">
        <f t="shared" si="19"/>
        <v>0</v>
      </c>
      <c r="CK41" s="1689">
        <f t="shared" si="20"/>
        <v>0</v>
      </c>
      <c r="CL41" s="1689">
        <f t="shared" si="21"/>
        <v>0</v>
      </c>
      <c r="CM41" s="1689">
        <f t="shared" si="22"/>
        <v>0</v>
      </c>
      <c r="CN41" s="1689">
        <f t="shared" si="23"/>
        <v>0</v>
      </c>
      <c r="CO41" s="1689">
        <f t="shared" si="24"/>
        <v>0</v>
      </c>
      <c r="CP41" s="1689">
        <f t="shared" si="25"/>
        <v>0</v>
      </c>
      <c r="CQ41" s="1689">
        <f t="shared" si="25"/>
        <v>0</v>
      </c>
      <c r="CR41" s="1689">
        <f t="shared" si="27"/>
        <v>0</v>
      </c>
      <c r="CS41" s="1689">
        <f t="shared" si="28"/>
        <v>0</v>
      </c>
      <c r="CT41" s="1691">
        <f t="shared" si="13"/>
        <v>0</v>
      </c>
      <c r="CU41" s="1689">
        <f t="shared" si="14"/>
        <v>0</v>
      </c>
      <c r="CV41" s="1689">
        <f t="shared" si="15"/>
        <v>0</v>
      </c>
      <c r="CX41" s="1207" t="s">
        <v>945</v>
      </c>
      <c r="CY41" s="1211" t="s">
        <v>2135</v>
      </c>
      <c r="CZ41" s="1208" t="s">
        <v>2136</v>
      </c>
      <c r="DA41" s="1814">
        <v>0</v>
      </c>
      <c r="DB41" s="1678"/>
      <c r="DC41" s="1678"/>
      <c r="DD41" s="1678"/>
      <c r="DE41" s="1678"/>
      <c r="DF41" s="1678"/>
      <c r="DG41" s="1678"/>
      <c r="DH41" s="1678"/>
      <c r="DI41" s="1678"/>
      <c r="DJ41" s="1678"/>
      <c r="DK41" s="1795"/>
      <c r="DL41" s="1678"/>
      <c r="DM41" s="1678"/>
    </row>
    <row r="42" spans="2:117">
      <c r="B42" s="1186" t="str">
        <f t="shared" si="0"/>
        <v>3.2.2</v>
      </c>
      <c r="C42" s="1208" t="str">
        <f t="shared" si="1"/>
        <v>昼光制御</v>
      </c>
      <c r="D42" s="1196">
        <f t="shared" si="63"/>
        <v>1</v>
      </c>
      <c r="E42" s="1206">
        <f t="shared" si="63"/>
        <v>0</v>
      </c>
      <c r="G42" s="1206">
        <f t="shared" ref="G42:G75" si="64">K42*M42</f>
        <v>1</v>
      </c>
      <c r="H42" s="1206">
        <f t="shared" ref="H42:H75" si="65">L42*N42</f>
        <v>0</v>
      </c>
      <c r="I42" s="1206"/>
      <c r="J42" s="1206"/>
      <c r="K42" s="1206">
        <f>IF(スコア!Q42=0,0,1)</f>
        <v>1</v>
      </c>
      <c r="L42" s="1206">
        <f>IF(スコア!S42=0,0,1)</f>
        <v>1</v>
      </c>
      <c r="M42" s="1206">
        <f t="shared" ref="M42:M75" si="66">SUMPRODUCT($S$7:$AB$7,S42:AB42)</f>
        <v>1</v>
      </c>
      <c r="N42" s="1206">
        <f t="shared" ref="N42:N75" si="67">(AC$7*AC42)+(AD$7*AD42)+(AE$7*AE42)</f>
        <v>0</v>
      </c>
      <c r="P42" s="1207" t="str">
        <f t="shared" si="6"/>
        <v>3.2.2</v>
      </c>
      <c r="Q42" s="1207" t="str">
        <f t="shared" si="7"/>
        <v xml:space="preserve"> Q1 3.2</v>
      </c>
      <c r="R42" s="1208" t="str">
        <f t="shared" si="8"/>
        <v>昼光制御</v>
      </c>
      <c r="S42" s="1747">
        <f t="shared" si="16"/>
        <v>1</v>
      </c>
      <c r="T42" s="1747">
        <f t="shared" si="32"/>
        <v>1</v>
      </c>
      <c r="U42" s="1747">
        <f t="shared" si="33"/>
        <v>0</v>
      </c>
      <c r="V42" s="1747">
        <f t="shared" si="34"/>
        <v>0</v>
      </c>
      <c r="W42" s="1747">
        <f t="shared" si="35"/>
        <v>1</v>
      </c>
      <c r="X42" s="1747">
        <f t="shared" si="36"/>
        <v>1</v>
      </c>
      <c r="Y42" s="1747">
        <f t="shared" si="37"/>
        <v>1</v>
      </c>
      <c r="Z42" s="1751">
        <f t="shared" si="38"/>
        <v>0</v>
      </c>
      <c r="AA42" s="1747">
        <f t="shared" si="17"/>
        <v>1</v>
      </c>
      <c r="AB42" s="1747">
        <f t="shared" si="10"/>
        <v>1</v>
      </c>
      <c r="AC42" s="1748">
        <f t="shared" si="11"/>
        <v>1</v>
      </c>
      <c r="AD42" s="1747">
        <f t="shared" si="12"/>
        <v>1</v>
      </c>
      <c r="AE42" s="1747">
        <f t="shared" si="18"/>
        <v>1</v>
      </c>
      <c r="AG42" s="1207" t="s">
        <v>946</v>
      </c>
      <c r="AH42" s="1211" t="s">
        <v>2135</v>
      </c>
      <c r="AI42" s="1208" t="s">
        <v>2137</v>
      </c>
      <c r="AJ42" s="1209">
        <v>0.6</v>
      </c>
      <c r="AK42" s="1209">
        <v>0.6</v>
      </c>
      <c r="AL42" s="1209"/>
      <c r="AM42" s="1209"/>
      <c r="AN42" s="1209">
        <v>0.6</v>
      </c>
      <c r="AO42" s="1209">
        <v>0.6</v>
      </c>
      <c r="AP42" s="1209">
        <v>0.6</v>
      </c>
      <c r="AQ42" s="1223"/>
      <c r="AR42" s="1209">
        <v>0.6</v>
      </c>
      <c r="AS42" s="1226">
        <v>0.4</v>
      </c>
      <c r="AT42" s="1214">
        <v>0.6</v>
      </c>
      <c r="AU42" s="1213">
        <v>0.6</v>
      </c>
      <c r="AV42" s="1213">
        <v>0.6</v>
      </c>
      <c r="AX42" s="1207" t="s">
        <v>946</v>
      </c>
      <c r="AY42" s="1211" t="s">
        <v>2135</v>
      </c>
      <c r="AZ42" s="1208" t="s">
        <v>2137</v>
      </c>
      <c r="BA42" s="1213">
        <v>1</v>
      </c>
      <c r="BB42" s="1213">
        <v>1</v>
      </c>
      <c r="BC42" s="1213"/>
      <c r="BD42" s="1213"/>
      <c r="BE42" s="1213">
        <v>1</v>
      </c>
      <c r="BF42" s="1213">
        <v>1</v>
      </c>
      <c r="BG42" s="1213">
        <v>1</v>
      </c>
      <c r="BH42" s="1215"/>
      <c r="BI42" s="1213">
        <v>1</v>
      </c>
      <c r="BJ42" s="1213">
        <v>1</v>
      </c>
      <c r="BK42" s="1214">
        <v>1</v>
      </c>
      <c r="BL42" s="1213">
        <v>1</v>
      </c>
      <c r="BM42" s="1213">
        <v>1</v>
      </c>
      <c r="BO42" s="1207" t="s">
        <v>946</v>
      </c>
      <c r="BP42" s="1211" t="s">
        <v>2135</v>
      </c>
      <c r="BQ42" s="1208" t="s">
        <v>2137</v>
      </c>
      <c r="BR42" s="1815">
        <v>1</v>
      </c>
      <c r="BS42" s="1815">
        <v>1</v>
      </c>
      <c r="BT42" s="1815"/>
      <c r="BU42" s="1815"/>
      <c r="BV42" s="1815">
        <v>1</v>
      </c>
      <c r="BW42" s="1815">
        <v>1</v>
      </c>
      <c r="BX42" s="1815">
        <v>1</v>
      </c>
      <c r="BY42" s="1865"/>
      <c r="BZ42" s="1815">
        <v>1</v>
      </c>
      <c r="CA42" s="1815">
        <v>1</v>
      </c>
      <c r="CB42" s="1815">
        <v>1</v>
      </c>
      <c r="CC42" s="1815">
        <v>1</v>
      </c>
      <c r="CD42" s="1815">
        <v>1</v>
      </c>
      <c r="CE42" s="1469"/>
      <c r="CG42" s="1207" t="s">
        <v>946</v>
      </c>
      <c r="CH42" s="1211" t="s">
        <v>2135</v>
      </c>
      <c r="CI42" s="1208" t="s">
        <v>2137</v>
      </c>
      <c r="CJ42" s="1689">
        <f t="shared" si="19"/>
        <v>1</v>
      </c>
      <c r="CK42" s="1689">
        <f t="shared" si="20"/>
        <v>1</v>
      </c>
      <c r="CL42" s="1689">
        <f t="shared" si="21"/>
        <v>0</v>
      </c>
      <c r="CM42" s="1689">
        <f t="shared" si="22"/>
        <v>0</v>
      </c>
      <c r="CN42" s="1689">
        <f t="shared" si="23"/>
        <v>1</v>
      </c>
      <c r="CO42" s="1689">
        <f t="shared" si="24"/>
        <v>1</v>
      </c>
      <c r="CP42" s="1689">
        <f t="shared" si="25"/>
        <v>1</v>
      </c>
      <c r="CQ42" s="1689">
        <f t="shared" si="25"/>
        <v>0</v>
      </c>
      <c r="CR42" s="1689">
        <f t="shared" si="27"/>
        <v>1</v>
      </c>
      <c r="CS42" s="1689">
        <f t="shared" si="28"/>
        <v>1</v>
      </c>
      <c r="CT42" s="1691">
        <f t="shared" si="13"/>
        <v>1</v>
      </c>
      <c r="CU42" s="1689">
        <f t="shared" si="14"/>
        <v>1</v>
      </c>
      <c r="CV42" s="1689">
        <f t="shared" si="15"/>
        <v>1</v>
      </c>
      <c r="CX42" s="1207" t="s">
        <v>946</v>
      </c>
      <c r="CY42" s="1211" t="s">
        <v>2135</v>
      </c>
      <c r="CZ42" s="1208" t="s">
        <v>2137</v>
      </c>
      <c r="DA42" s="1814">
        <v>1</v>
      </c>
      <c r="DB42" s="1678"/>
      <c r="DC42" s="1678"/>
      <c r="DD42" s="1678"/>
      <c r="DE42" s="1678"/>
      <c r="DF42" s="1678"/>
      <c r="DG42" s="1678"/>
      <c r="DH42" s="1678"/>
      <c r="DI42" s="1678"/>
      <c r="DJ42" s="1678"/>
      <c r="DK42" s="1795"/>
      <c r="DL42" s="1678"/>
      <c r="DM42" s="1678"/>
    </row>
    <row r="43" spans="2:117" ht="13.5" hidden="1" customHeight="1">
      <c r="B43" s="1186" t="s">
        <v>947</v>
      </c>
      <c r="C43" s="1230">
        <f t="shared" si="1"/>
        <v>0</v>
      </c>
      <c r="D43" s="1227">
        <f>IF(I$40&gt;0,G43/I$40,0)</f>
        <v>0</v>
      </c>
      <c r="E43" s="1228">
        <f t="shared" si="63"/>
        <v>0</v>
      </c>
      <c r="G43" s="1228">
        <f t="shared" si="64"/>
        <v>0</v>
      </c>
      <c r="H43" s="1228">
        <f t="shared" si="65"/>
        <v>0</v>
      </c>
      <c r="I43" s="1228"/>
      <c r="J43" s="1228"/>
      <c r="K43" s="1228">
        <f>IF(スコア!Q43=0,0,1)</f>
        <v>0</v>
      </c>
      <c r="L43" s="1228">
        <f>IF(スコア!S43=0,0,1)</f>
        <v>0</v>
      </c>
      <c r="M43" s="1228">
        <f t="shared" si="66"/>
        <v>0</v>
      </c>
      <c r="N43" s="1228">
        <f t="shared" si="67"/>
        <v>0</v>
      </c>
      <c r="P43" s="1229" t="str">
        <f t="shared" si="6"/>
        <v>3.2.3</v>
      </c>
      <c r="Q43" s="1229" t="str">
        <f t="shared" si="7"/>
        <v xml:space="preserve"> Q1 3.3</v>
      </c>
      <c r="R43" s="1230">
        <f t="shared" si="8"/>
        <v>0</v>
      </c>
      <c r="S43" s="1753">
        <f t="shared" si="16"/>
        <v>0</v>
      </c>
      <c r="T43" s="1753">
        <f t="shared" si="32"/>
        <v>0</v>
      </c>
      <c r="U43" s="1753">
        <f t="shared" si="33"/>
        <v>0</v>
      </c>
      <c r="V43" s="1753">
        <f t="shared" si="34"/>
        <v>0</v>
      </c>
      <c r="W43" s="1753">
        <f t="shared" si="35"/>
        <v>0</v>
      </c>
      <c r="X43" s="1753">
        <f t="shared" si="36"/>
        <v>0</v>
      </c>
      <c r="Y43" s="1753">
        <f t="shared" si="37"/>
        <v>0</v>
      </c>
      <c r="Z43" s="1754">
        <f t="shared" si="38"/>
        <v>0</v>
      </c>
      <c r="AA43" s="1753">
        <f t="shared" si="17"/>
        <v>0</v>
      </c>
      <c r="AB43" s="1753">
        <f t="shared" si="10"/>
        <v>0</v>
      </c>
      <c r="AC43" s="1755">
        <f t="shared" si="11"/>
        <v>0</v>
      </c>
      <c r="AD43" s="1753">
        <f t="shared" si="12"/>
        <v>0</v>
      </c>
      <c r="AE43" s="1753">
        <f t="shared" si="18"/>
        <v>0</v>
      </c>
      <c r="AG43" s="1207" t="s">
        <v>2138</v>
      </c>
      <c r="AH43" s="1211" t="s">
        <v>2139</v>
      </c>
      <c r="AI43" s="1208" t="s">
        <v>827</v>
      </c>
      <c r="AJ43" s="1209"/>
      <c r="AK43" s="1209"/>
      <c r="AL43" s="1209"/>
      <c r="AM43" s="1209"/>
      <c r="AN43" s="1209"/>
      <c r="AO43" s="1209"/>
      <c r="AP43" s="1209"/>
      <c r="AQ43" s="1223"/>
      <c r="AR43" s="1209"/>
      <c r="AS43" s="1226">
        <v>0.3</v>
      </c>
      <c r="AT43" s="1214"/>
      <c r="AU43" s="1213"/>
      <c r="AV43" s="1213"/>
      <c r="AX43" s="1229" t="s">
        <v>948</v>
      </c>
      <c r="AY43" s="1232" t="s">
        <v>2139</v>
      </c>
      <c r="AZ43" s="1230" t="s">
        <v>827</v>
      </c>
      <c r="BA43" s="1233"/>
      <c r="BB43" s="1233"/>
      <c r="BC43" s="1233"/>
      <c r="BD43" s="1233"/>
      <c r="BE43" s="1233"/>
      <c r="BF43" s="1233"/>
      <c r="BG43" s="1233"/>
      <c r="BH43" s="1234"/>
      <c r="BI43" s="1233"/>
      <c r="BJ43" s="1233"/>
      <c r="BK43" s="1235"/>
      <c r="BL43" s="1233"/>
      <c r="BM43" s="1233"/>
      <c r="BO43" s="1229" t="s">
        <v>948</v>
      </c>
      <c r="BP43" s="1232" t="s">
        <v>2139</v>
      </c>
      <c r="BQ43" s="1230"/>
      <c r="BR43" s="1236"/>
      <c r="BS43" s="1236"/>
      <c r="BT43" s="1236"/>
      <c r="BU43" s="1236"/>
      <c r="BV43" s="1236"/>
      <c r="BW43" s="1236"/>
      <c r="BX43" s="1236"/>
      <c r="BY43" s="1572"/>
      <c r="BZ43" s="1236"/>
      <c r="CA43" s="1236"/>
      <c r="CB43" s="1238"/>
      <c r="CC43" s="1236"/>
      <c r="CD43" s="1236"/>
      <c r="CE43" s="1470"/>
      <c r="CG43" s="1229" t="s">
        <v>947</v>
      </c>
      <c r="CH43" s="1232" t="s">
        <v>2139</v>
      </c>
      <c r="CI43" s="1230"/>
      <c r="CJ43" s="1696"/>
      <c r="CK43" s="1696"/>
      <c r="CL43" s="1696"/>
      <c r="CM43" s="1696"/>
      <c r="CN43" s="1696"/>
      <c r="CO43" s="1696"/>
      <c r="CP43" s="1696"/>
      <c r="CQ43" s="1697"/>
      <c r="CR43" s="1696"/>
      <c r="CS43" s="1696"/>
      <c r="CT43" s="1698"/>
      <c r="CU43" s="1696"/>
      <c r="CV43" s="1696"/>
      <c r="CX43" s="1229"/>
      <c r="CY43" s="1232"/>
      <c r="CZ43" s="1230"/>
      <c r="DA43" s="1799"/>
      <c r="DB43" s="1799"/>
      <c r="DC43" s="1799"/>
      <c r="DD43" s="1799"/>
      <c r="DE43" s="1799"/>
      <c r="DF43" s="1799"/>
      <c r="DG43" s="1799"/>
      <c r="DH43" s="1800"/>
      <c r="DI43" s="1799"/>
      <c r="DJ43" s="1799"/>
      <c r="DK43" s="1801"/>
      <c r="DL43" s="1799"/>
      <c r="DM43" s="1799"/>
    </row>
    <row r="44" spans="2:117">
      <c r="B44" s="1186">
        <f t="shared" ref="B44:B77" si="68">P44</f>
        <v>3.3</v>
      </c>
      <c r="C44" s="1208" t="str">
        <f t="shared" si="1"/>
        <v>照度</v>
      </c>
      <c r="D44" s="1205">
        <f>IF(I$35=0,0,G44/I$35)</f>
        <v>0.15</v>
      </c>
      <c r="E44" s="1206">
        <f>IF(J$35=0,0,H44/J$35)</f>
        <v>0</v>
      </c>
      <c r="G44" s="1206">
        <f t="shared" si="64"/>
        <v>0.15</v>
      </c>
      <c r="H44" s="1206">
        <f t="shared" si="65"/>
        <v>0</v>
      </c>
      <c r="I44" s="1206">
        <f>SUM(G45:G46)</f>
        <v>0</v>
      </c>
      <c r="J44" s="1206">
        <f>SUM(H45:H46)</f>
        <v>0</v>
      </c>
      <c r="K44" s="1206">
        <f>IF(スコア!Q44=0,0,1)</f>
        <v>1</v>
      </c>
      <c r="L44" s="1206">
        <f>IF(スコア!S44=0,0,1)</f>
        <v>1</v>
      </c>
      <c r="M44" s="1206">
        <f t="shared" si="66"/>
        <v>0.15</v>
      </c>
      <c r="N44" s="1206">
        <f t="shared" si="67"/>
        <v>0</v>
      </c>
      <c r="P44" s="1207">
        <f t="shared" si="6"/>
        <v>3.3</v>
      </c>
      <c r="Q44" s="1207" t="str">
        <f t="shared" si="7"/>
        <v xml:space="preserve"> Q1 3</v>
      </c>
      <c r="R44" s="1208" t="str">
        <f t="shared" si="8"/>
        <v>照度</v>
      </c>
      <c r="S44" s="1747">
        <f t="shared" si="16"/>
        <v>0.15</v>
      </c>
      <c r="T44" s="1747">
        <f t="shared" si="32"/>
        <v>0.15</v>
      </c>
      <c r="U44" s="1747">
        <f t="shared" si="33"/>
        <v>0</v>
      </c>
      <c r="V44" s="1747">
        <f t="shared" si="34"/>
        <v>0</v>
      </c>
      <c r="W44" s="1747">
        <f t="shared" si="35"/>
        <v>0.15</v>
      </c>
      <c r="X44" s="1747">
        <f t="shared" si="36"/>
        <v>0.15</v>
      </c>
      <c r="Y44" s="1747">
        <f t="shared" si="37"/>
        <v>0.15</v>
      </c>
      <c r="Z44" s="1751">
        <f t="shared" si="38"/>
        <v>0.2</v>
      </c>
      <c r="AA44" s="1747">
        <f t="shared" si="17"/>
        <v>0.15</v>
      </c>
      <c r="AB44" s="1747">
        <f t="shared" si="10"/>
        <v>0.15</v>
      </c>
      <c r="AC44" s="1748">
        <f t="shared" si="11"/>
        <v>0.15</v>
      </c>
      <c r="AD44" s="1747">
        <f t="shared" si="12"/>
        <v>0.15</v>
      </c>
      <c r="AE44" s="1747">
        <f t="shared" si="18"/>
        <v>0.15</v>
      </c>
      <c r="AG44" s="1207">
        <v>3.3</v>
      </c>
      <c r="AH44" s="1211" t="s">
        <v>2130</v>
      </c>
      <c r="AI44" s="1208" t="s">
        <v>828</v>
      </c>
      <c r="AJ44" s="1209">
        <v>0.15</v>
      </c>
      <c r="AK44" s="1209">
        <v>0.15</v>
      </c>
      <c r="AL44" s="1209"/>
      <c r="AM44" s="1209"/>
      <c r="AN44" s="1209">
        <v>0.15</v>
      </c>
      <c r="AO44" s="1209">
        <v>0.15</v>
      </c>
      <c r="AP44" s="1209">
        <v>0.15</v>
      </c>
      <c r="AQ44" s="1223"/>
      <c r="AR44" s="1209">
        <v>0.15</v>
      </c>
      <c r="AS44" s="1213">
        <v>0.15</v>
      </c>
      <c r="AT44" s="1214">
        <v>0.15</v>
      </c>
      <c r="AU44" s="1213">
        <v>0.15</v>
      </c>
      <c r="AV44" s="1213">
        <v>0.15</v>
      </c>
      <c r="AX44" s="1207">
        <v>3.3</v>
      </c>
      <c r="AY44" s="1211" t="s">
        <v>2130</v>
      </c>
      <c r="AZ44" s="1208" t="s">
        <v>828</v>
      </c>
      <c r="BA44" s="1213">
        <v>0.15</v>
      </c>
      <c r="BB44" s="1213">
        <v>0.15</v>
      </c>
      <c r="BC44" s="1213"/>
      <c r="BD44" s="1213"/>
      <c r="BE44" s="1213">
        <v>0.15</v>
      </c>
      <c r="BF44" s="1213">
        <v>0.15</v>
      </c>
      <c r="BG44" s="1213">
        <v>0.15</v>
      </c>
      <c r="BH44" s="1215"/>
      <c r="BI44" s="1213">
        <v>0.15</v>
      </c>
      <c r="BJ44" s="1213">
        <v>0.15</v>
      </c>
      <c r="BK44" s="1214">
        <v>0.15</v>
      </c>
      <c r="BL44" s="1213">
        <v>0.15</v>
      </c>
      <c r="BM44" s="1213">
        <v>0.15</v>
      </c>
      <c r="BO44" s="1207">
        <v>3.3</v>
      </c>
      <c r="BP44" s="1211" t="s">
        <v>2130</v>
      </c>
      <c r="BQ44" s="1208" t="s">
        <v>828</v>
      </c>
      <c r="BR44" s="1213">
        <v>0.15</v>
      </c>
      <c r="BS44" s="1213">
        <v>0.15</v>
      </c>
      <c r="BT44" s="1213"/>
      <c r="BU44" s="1213"/>
      <c r="BV44" s="1213">
        <v>0.15</v>
      </c>
      <c r="BW44" s="1213">
        <v>0.15</v>
      </c>
      <c r="BX44" s="1213">
        <v>0.15</v>
      </c>
      <c r="BY44" s="1573">
        <v>0.2</v>
      </c>
      <c r="BZ44" s="1213">
        <v>0.15</v>
      </c>
      <c r="CA44" s="1213">
        <v>0.15</v>
      </c>
      <c r="CB44" s="1214">
        <v>0.15</v>
      </c>
      <c r="CC44" s="1213">
        <v>0.15</v>
      </c>
      <c r="CD44" s="1213">
        <v>0.15</v>
      </c>
      <c r="CE44" s="1469"/>
      <c r="CG44" s="1207">
        <v>3.3</v>
      </c>
      <c r="CH44" s="1211" t="s">
        <v>2130</v>
      </c>
      <c r="CI44" s="1208" t="s">
        <v>828</v>
      </c>
      <c r="CJ44" s="1689">
        <f t="shared" si="19"/>
        <v>0.15</v>
      </c>
      <c r="CK44" s="1689">
        <f t="shared" si="20"/>
        <v>0.15</v>
      </c>
      <c r="CL44" s="1689">
        <f t="shared" si="21"/>
        <v>0</v>
      </c>
      <c r="CM44" s="1689">
        <f t="shared" si="22"/>
        <v>0</v>
      </c>
      <c r="CN44" s="1689">
        <f t="shared" si="23"/>
        <v>0.15</v>
      </c>
      <c r="CO44" s="1689">
        <f t="shared" si="24"/>
        <v>0.15</v>
      </c>
      <c r="CP44" s="1689">
        <f t="shared" si="25"/>
        <v>0.15</v>
      </c>
      <c r="CQ44" s="1689">
        <f t="shared" si="25"/>
        <v>0.2</v>
      </c>
      <c r="CR44" s="1689">
        <f t="shared" si="27"/>
        <v>0.15</v>
      </c>
      <c r="CS44" s="1689">
        <f t="shared" si="28"/>
        <v>0.15</v>
      </c>
      <c r="CT44" s="1691">
        <f t="shared" si="13"/>
        <v>0.15</v>
      </c>
      <c r="CU44" s="1689">
        <f t="shared" si="14"/>
        <v>0.15</v>
      </c>
      <c r="CV44" s="1689">
        <f t="shared" si="15"/>
        <v>0.15</v>
      </c>
      <c r="CX44" s="1207">
        <v>3.3</v>
      </c>
      <c r="CY44" s="1211" t="s">
        <v>2130</v>
      </c>
      <c r="CZ44" s="1208" t="s">
        <v>828</v>
      </c>
      <c r="DA44" s="1678">
        <f t="shared" si="29"/>
        <v>0.15</v>
      </c>
      <c r="DB44" s="1678"/>
      <c r="DC44" s="1678"/>
      <c r="DD44" s="1678"/>
      <c r="DE44" s="1678"/>
      <c r="DF44" s="1678"/>
      <c r="DG44" s="1678"/>
      <c r="DH44" s="1678"/>
      <c r="DI44" s="1678"/>
      <c r="DJ44" s="1678"/>
      <c r="DK44" s="1795"/>
      <c r="DL44" s="1678"/>
      <c r="DM44" s="1678"/>
    </row>
    <row r="45" spans="2:117" ht="13.5" hidden="1" customHeight="1">
      <c r="B45" s="1186" t="str">
        <f t="shared" si="68"/>
        <v>3.3.1</v>
      </c>
      <c r="C45" s="1230" t="str">
        <f t="shared" si="1"/>
        <v>照度</v>
      </c>
      <c r="D45" s="1227">
        <f>IF(I$44&gt;0,G45/I$44,0)</f>
        <v>0</v>
      </c>
      <c r="E45" s="1228">
        <f>IF(J$44&gt;0,H45/J$44,0)</f>
        <v>0</v>
      </c>
      <c r="G45" s="1228">
        <f t="shared" si="64"/>
        <v>0</v>
      </c>
      <c r="H45" s="1228">
        <f t="shared" si="65"/>
        <v>0</v>
      </c>
      <c r="I45" s="1228"/>
      <c r="J45" s="1228"/>
      <c r="K45" s="1228">
        <f>IF(スコア!Q45=0,0,1)</f>
        <v>0</v>
      </c>
      <c r="L45" s="1228">
        <f>IF(スコア!S45=0,0,1)</f>
        <v>0</v>
      </c>
      <c r="M45" s="1228">
        <f t="shared" si="66"/>
        <v>0</v>
      </c>
      <c r="N45" s="1228">
        <f t="shared" si="67"/>
        <v>0</v>
      </c>
      <c r="P45" s="1229" t="str">
        <f t="shared" si="6"/>
        <v>3.3.1</v>
      </c>
      <c r="Q45" s="1229" t="str">
        <f t="shared" si="7"/>
        <v xml:space="preserve"> Q1 3.3</v>
      </c>
      <c r="R45" s="1230" t="str">
        <f t="shared" si="8"/>
        <v>照度</v>
      </c>
      <c r="S45" s="1753">
        <f t="shared" si="16"/>
        <v>0</v>
      </c>
      <c r="T45" s="1753">
        <f t="shared" si="32"/>
        <v>0</v>
      </c>
      <c r="U45" s="1753">
        <f t="shared" si="33"/>
        <v>0</v>
      </c>
      <c r="V45" s="1753">
        <f t="shared" si="34"/>
        <v>0</v>
      </c>
      <c r="W45" s="1753">
        <f t="shared" si="35"/>
        <v>0</v>
      </c>
      <c r="X45" s="1753">
        <f t="shared" si="36"/>
        <v>0</v>
      </c>
      <c r="Y45" s="1753">
        <f t="shared" si="37"/>
        <v>0</v>
      </c>
      <c r="Z45" s="1754">
        <f t="shared" si="38"/>
        <v>0</v>
      </c>
      <c r="AA45" s="1753">
        <f t="shared" si="17"/>
        <v>0</v>
      </c>
      <c r="AB45" s="1753">
        <f t="shared" si="10"/>
        <v>0</v>
      </c>
      <c r="AC45" s="1755">
        <f t="shared" si="11"/>
        <v>0</v>
      </c>
      <c r="AD45" s="1753">
        <f t="shared" si="12"/>
        <v>0</v>
      </c>
      <c r="AE45" s="1753">
        <f t="shared" si="18"/>
        <v>0</v>
      </c>
      <c r="AG45" s="1229" t="s">
        <v>1758</v>
      </c>
      <c r="AH45" s="1232" t="s">
        <v>2139</v>
      </c>
      <c r="AI45" s="1230" t="s">
        <v>1759</v>
      </c>
      <c r="AJ45" s="1209"/>
      <c r="AK45" s="1209"/>
      <c r="AL45" s="1209"/>
      <c r="AM45" s="1209"/>
      <c r="AN45" s="1209"/>
      <c r="AO45" s="1209"/>
      <c r="AP45" s="1209"/>
      <c r="AQ45" s="1223"/>
      <c r="AR45" s="1209"/>
      <c r="AS45" s="1233"/>
      <c r="AT45" s="1235"/>
      <c r="AU45" s="1233"/>
      <c r="AV45" s="1233"/>
      <c r="AX45" s="1229" t="s">
        <v>1758</v>
      </c>
      <c r="AY45" s="1232" t="s">
        <v>2139</v>
      </c>
      <c r="AZ45" s="1230" t="s">
        <v>1759</v>
      </c>
      <c r="BA45" s="1233"/>
      <c r="BB45" s="1233"/>
      <c r="BC45" s="1233"/>
      <c r="BD45" s="1233"/>
      <c r="BE45" s="1233"/>
      <c r="BF45" s="1233"/>
      <c r="BG45" s="1233"/>
      <c r="BH45" s="1234"/>
      <c r="BI45" s="1233"/>
      <c r="BJ45" s="1233"/>
      <c r="BK45" s="1235"/>
      <c r="BL45" s="1233"/>
      <c r="BM45" s="1233"/>
      <c r="BO45" s="1229" t="s">
        <v>1758</v>
      </c>
      <c r="BP45" s="1232" t="s">
        <v>2139</v>
      </c>
      <c r="BQ45" s="1230" t="s">
        <v>1759</v>
      </c>
      <c r="BR45" s="1236"/>
      <c r="BS45" s="1236"/>
      <c r="BT45" s="1236"/>
      <c r="BU45" s="1236"/>
      <c r="BV45" s="1236"/>
      <c r="BW45" s="1236"/>
      <c r="BX45" s="1236"/>
      <c r="BY45" s="1575">
        <v>0</v>
      </c>
      <c r="BZ45" s="1236"/>
      <c r="CA45" s="1236"/>
      <c r="CB45" s="1238"/>
      <c r="CC45" s="1236"/>
      <c r="CD45" s="1236"/>
      <c r="CE45" s="1470"/>
      <c r="CG45" s="1229" t="s">
        <v>1158</v>
      </c>
      <c r="CH45" s="1232" t="s">
        <v>2139</v>
      </c>
      <c r="CI45" s="1230" t="s">
        <v>1759</v>
      </c>
      <c r="CJ45" s="1696">
        <f t="shared" si="19"/>
        <v>0</v>
      </c>
      <c r="CK45" s="1696">
        <f t="shared" si="20"/>
        <v>0</v>
      </c>
      <c r="CL45" s="1696">
        <f t="shared" si="21"/>
        <v>0</v>
      </c>
      <c r="CM45" s="1696">
        <f t="shared" si="22"/>
        <v>0</v>
      </c>
      <c r="CN45" s="1696">
        <f t="shared" si="23"/>
        <v>0</v>
      </c>
      <c r="CO45" s="1696">
        <f t="shared" si="24"/>
        <v>0</v>
      </c>
      <c r="CP45" s="1696">
        <f t="shared" si="25"/>
        <v>0</v>
      </c>
      <c r="CQ45" s="1696">
        <f t="shared" si="25"/>
        <v>0</v>
      </c>
      <c r="CR45" s="1696">
        <f t="shared" si="27"/>
        <v>0</v>
      </c>
      <c r="CS45" s="1696">
        <f t="shared" si="28"/>
        <v>0</v>
      </c>
      <c r="CT45" s="1698">
        <f t="shared" si="13"/>
        <v>0</v>
      </c>
      <c r="CU45" s="1696">
        <f t="shared" si="14"/>
        <v>0</v>
      </c>
      <c r="CV45" s="1696">
        <f t="shared" si="15"/>
        <v>0</v>
      </c>
      <c r="CX45" s="1229" t="s">
        <v>1158</v>
      </c>
      <c r="CY45" s="1232" t="s">
        <v>2139</v>
      </c>
      <c r="CZ45" s="1230" t="s">
        <v>1759</v>
      </c>
      <c r="DA45" s="1799">
        <f t="shared" si="29"/>
        <v>0</v>
      </c>
      <c r="DB45" s="1799"/>
      <c r="DC45" s="1799"/>
      <c r="DD45" s="1799"/>
      <c r="DE45" s="1799"/>
      <c r="DF45" s="1799"/>
      <c r="DG45" s="1799"/>
      <c r="DH45" s="1799"/>
      <c r="DI45" s="1799"/>
      <c r="DJ45" s="1799"/>
      <c r="DK45" s="1801"/>
      <c r="DL45" s="1799"/>
      <c r="DM45" s="1799"/>
    </row>
    <row r="46" spans="2:117" ht="13.5" hidden="1" customHeight="1">
      <c r="B46" s="1186" t="str">
        <f t="shared" si="68"/>
        <v>3.3.2</v>
      </c>
      <c r="C46" s="1230" t="str">
        <f t="shared" si="1"/>
        <v>照度均斉度</v>
      </c>
      <c r="D46" s="1227">
        <f>IF(I$44&gt;0,G46/I$44,0)</f>
        <v>0</v>
      </c>
      <c r="E46" s="1228">
        <f>IF(J$44&gt;0,H46/J$44,0)</f>
        <v>0</v>
      </c>
      <c r="G46" s="1228">
        <f t="shared" si="64"/>
        <v>0</v>
      </c>
      <c r="H46" s="1228">
        <f t="shared" si="65"/>
        <v>0</v>
      </c>
      <c r="I46" s="1228"/>
      <c r="J46" s="1228"/>
      <c r="K46" s="1228">
        <f>IF(スコア!Q46=0,0,1)</f>
        <v>0</v>
      </c>
      <c r="L46" s="1228">
        <f>IF(スコア!S46=0,0,1)</f>
        <v>0</v>
      </c>
      <c r="M46" s="1228">
        <f t="shared" si="66"/>
        <v>0</v>
      </c>
      <c r="N46" s="1228">
        <f t="shared" si="67"/>
        <v>0</v>
      </c>
      <c r="P46" s="1229" t="str">
        <f t="shared" si="6"/>
        <v>3.3.2</v>
      </c>
      <c r="Q46" s="1229" t="str">
        <f t="shared" si="7"/>
        <v xml:space="preserve"> Q1 3.3</v>
      </c>
      <c r="R46" s="1230" t="str">
        <f t="shared" si="8"/>
        <v>照度均斉度</v>
      </c>
      <c r="S46" s="1753">
        <f t="shared" si="16"/>
        <v>0</v>
      </c>
      <c r="T46" s="1753">
        <f t="shared" si="32"/>
        <v>0</v>
      </c>
      <c r="U46" s="1753">
        <f t="shared" si="33"/>
        <v>0</v>
      </c>
      <c r="V46" s="1753">
        <f t="shared" si="34"/>
        <v>0</v>
      </c>
      <c r="W46" s="1753">
        <f t="shared" si="35"/>
        <v>0</v>
      </c>
      <c r="X46" s="1753">
        <f t="shared" si="36"/>
        <v>0</v>
      </c>
      <c r="Y46" s="1753">
        <f t="shared" si="37"/>
        <v>0</v>
      </c>
      <c r="Z46" s="1754">
        <f t="shared" si="38"/>
        <v>0</v>
      </c>
      <c r="AA46" s="1753">
        <f t="shared" si="17"/>
        <v>0</v>
      </c>
      <c r="AB46" s="1753">
        <f t="shared" si="10"/>
        <v>0</v>
      </c>
      <c r="AC46" s="1755">
        <f t="shared" si="11"/>
        <v>0</v>
      </c>
      <c r="AD46" s="1753">
        <f t="shared" si="12"/>
        <v>0</v>
      </c>
      <c r="AE46" s="1753">
        <f t="shared" si="18"/>
        <v>0</v>
      </c>
      <c r="AG46" s="1229" t="s">
        <v>1760</v>
      </c>
      <c r="AH46" s="1232" t="s">
        <v>2139</v>
      </c>
      <c r="AI46" s="1230" t="s">
        <v>2287</v>
      </c>
      <c r="AJ46" s="1218"/>
      <c r="AK46" s="1218"/>
      <c r="AL46" s="1218"/>
      <c r="AM46" s="1218"/>
      <c r="AN46" s="1218"/>
      <c r="AO46" s="1218"/>
      <c r="AP46" s="1218"/>
      <c r="AQ46" s="1224"/>
      <c r="AR46" s="1218"/>
      <c r="AS46" s="1233"/>
      <c r="AT46" s="1235"/>
      <c r="AU46" s="1233"/>
      <c r="AV46" s="1233"/>
      <c r="AX46" s="1229" t="s">
        <v>1760</v>
      </c>
      <c r="AY46" s="1232" t="s">
        <v>2139</v>
      </c>
      <c r="AZ46" s="1230" t="s">
        <v>2287</v>
      </c>
      <c r="BA46" s="1233"/>
      <c r="BB46" s="1233"/>
      <c r="BC46" s="1233"/>
      <c r="BD46" s="1233"/>
      <c r="BE46" s="1233"/>
      <c r="BF46" s="1233"/>
      <c r="BG46" s="1233"/>
      <c r="BH46" s="1234"/>
      <c r="BI46" s="1233"/>
      <c r="BJ46" s="1233"/>
      <c r="BK46" s="1235"/>
      <c r="BL46" s="1233"/>
      <c r="BM46" s="1233"/>
      <c r="BO46" s="1229" t="s">
        <v>1760</v>
      </c>
      <c r="BP46" s="1232" t="s">
        <v>2139</v>
      </c>
      <c r="BQ46" s="1230" t="s">
        <v>2287</v>
      </c>
      <c r="BR46" s="1236"/>
      <c r="BS46" s="1236"/>
      <c r="BT46" s="1236"/>
      <c r="BU46" s="1236"/>
      <c r="BV46" s="1236"/>
      <c r="BW46" s="1236"/>
      <c r="BX46" s="1236"/>
      <c r="BY46" s="1575">
        <v>0</v>
      </c>
      <c r="BZ46" s="1236"/>
      <c r="CA46" s="1236"/>
      <c r="CB46" s="1238"/>
      <c r="CC46" s="1236"/>
      <c r="CD46" s="1236"/>
      <c r="CE46" s="1470"/>
      <c r="CG46" s="1229" t="s">
        <v>1159</v>
      </c>
      <c r="CH46" s="1232" t="s">
        <v>2139</v>
      </c>
      <c r="CI46" s="1230" t="s">
        <v>2287</v>
      </c>
      <c r="CJ46" s="1696">
        <f t="shared" si="19"/>
        <v>0</v>
      </c>
      <c r="CK46" s="1696">
        <f t="shared" si="20"/>
        <v>0</v>
      </c>
      <c r="CL46" s="1696">
        <f t="shared" si="21"/>
        <v>0</v>
      </c>
      <c r="CM46" s="1696">
        <f t="shared" si="22"/>
        <v>0</v>
      </c>
      <c r="CN46" s="1696">
        <f t="shared" si="23"/>
        <v>0</v>
      </c>
      <c r="CO46" s="1696">
        <f t="shared" si="24"/>
        <v>0</v>
      </c>
      <c r="CP46" s="1696">
        <f t="shared" si="25"/>
        <v>0</v>
      </c>
      <c r="CQ46" s="1696">
        <f t="shared" si="25"/>
        <v>0</v>
      </c>
      <c r="CR46" s="1696">
        <f t="shared" si="27"/>
        <v>0</v>
      </c>
      <c r="CS46" s="1696">
        <f t="shared" si="28"/>
        <v>0</v>
      </c>
      <c r="CT46" s="1698">
        <f t="shared" si="13"/>
        <v>0</v>
      </c>
      <c r="CU46" s="1696">
        <f t="shared" si="14"/>
        <v>0</v>
      </c>
      <c r="CV46" s="1696">
        <f t="shared" si="15"/>
        <v>0</v>
      </c>
      <c r="CX46" s="1229" t="s">
        <v>1159</v>
      </c>
      <c r="CY46" s="1232" t="s">
        <v>2139</v>
      </c>
      <c r="CZ46" s="1230" t="s">
        <v>2287</v>
      </c>
      <c r="DA46" s="1799">
        <f t="shared" si="29"/>
        <v>0</v>
      </c>
      <c r="DB46" s="1799"/>
      <c r="DC46" s="1799"/>
      <c r="DD46" s="1799"/>
      <c r="DE46" s="1799"/>
      <c r="DF46" s="1799"/>
      <c r="DG46" s="1799"/>
      <c r="DH46" s="1799"/>
      <c r="DI46" s="1799"/>
      <c r="DJ46" s="1799"/>
      <c r="DK46" s="1801"/>
      <c r="DL46" s="1799"/>
      <c r="DM46" s="1799"/>
    </row>
    <row r="47" spans="2:117">
      <c r="B47" s="1186">
        <f t="shared" si="68"/>
        <v>3.4</v>
      </c>
      <c r="C47" s="1208" t="str">
        <f t="shared" si="1"/>
        <v>照明制御</v>
      </c>
      <c r="D47" s="1205">
        <f>IF(I$35=0,0,G47/I$35)</f>
        <v>0.25</v>
      </c>
      <c r="E47" s="1206">
        <f>IF(J$35=0,0,H47/J$35)</f>
        <v>0</v>
      </c>
      <c r="G47" s="1206">
        <f t="shared" si="64"/>
        <v>0.25</v>
      </c>
      <c r="H47" s="1206">
        <f t="shared" si="65"/>
        <v>0</v>
      </c>
      <c r="I47" s="1206"/>
      <c r="J47" s="1206"/>
      <c r="K47" s="1206">
        <f>IF(スコア!Q47=0,0,1)</f>
        <v>1</v>
      </c>
      <c r="L47" s="1206">
        <f>IF(スコア!S47=0,0,1)</f>
        <v>1</v>
      </c>
      <c r="M47" s="1206">
        <f t="shared" si="66"/>
        <v>0.25</v>
      </c>
      <c r="N47" s="1206">
        <f t="shared" si="67"/>
        <v>0</v>
      </c>
      <c r="P47" s="1207">
        <f t="shared" si="6"/>
        <v>3.4</v>
      </c>
      <c r="Q47" s="1207" t="str">
        <f t="shared" si="7"/>
        <v xml:space="preserve"> Q1 3</v>
      </c>
      <c r="R47" s="1208" t="str">
        <f t="shared" si="8"/>
        <v>照明制御</v>
      </c>
      <c r="S47" s="1747">
        <f t="shared" si="16"/>
        <v>0.25</v>
      </c>
      <c r="T47" s="1747">
        <f t="shared" si="32"/>
        <v>0.25</v>
      </c>
      <c r="U47" s="1747">
        <f t="shared" si="33"/>
        <v>0.5</v>
      </c>
      <c r="V47" s="1747">
        <f t="shared" si="34"/>
        <v>0</v>
      </c>
      <c r="W47" s="1747">
        <f t="shared" si="35"/>
        <v>0.25</v>
      </c>
      <c r="X47" s="1747">
        <f t="shared" si="36"/>
        <v>0.25</v>
      </c>
      <c r="Y47" s="1747">
        <f t="shared" si="37"/>
        <v>0.25</v>
      </c>
      <c r="Z47" s="1751">
        <f t="shared" si="38"/>
        <v>0.5</v>
      </c>
      <c r="AA47" s="1747">
        <f t="shared" si="17"/>
        <v>0.25</v>
      </c>
      <c r="AB47" s="1747">
        <f t="shared" si="10"/>
        <v>0.25</v>
      </c>
      <c r="AC47" s="1748">
        <f t="shared" si="11"/>
        <v>0.25</v>
      </c>
      <c r="AD47" s="1747">
        <f t="shared" si="12"/>
        <v>0.25</v>
      </c>
      <c r="AE47" s="1747">
        <f t="shared" si="18"/>
        <v>0.25</v>
      </c>
      <c r="AG47" s="1207">
        <v>3.4</v>
      </c>
      <c r="AH47" s="1211" t="s">
        <v>2130</v>
      </c>
      <c r="AI47" s="1208" t="s">
        <v>831</v>
      </c>
      <c r="AJ47" s="1209">
        <v>0.25</v>
      </c>
      <c r="AK47" s="1209">
        <v>0.25</v>
      </c>
      <c r="AL47" s="1209">
        <v>0.5</v>
      </c>
      <c r="AM47" s="1209"/>
      <c r="AN47" s="1209">
        <v>0.25</v>
      </c>
      <c r="AO47" s="1209">
        <v>0.25</v>
      </c>
      <c r="AP47" s="1209">
        <v>0.25</v>
      </c>
      <c r="AQ47" s="1223"/>
      <c r="AR47" s="1209">
        <v>0.25</v>
      </c>
      <c r="AS47" s="1213">
        <v>0.25</v>
      </c>
      <c r="AT47" s="1214">
        <v>0.25</v>
      </c>
      <c r="AU47" s="1213">
        <v>0.25</v>
      </c>
      <c r="AV47" s="1213">
        <v>0.25</v>
      </c>
      <c r="AX47" s="1207">
        <v>3.4</v>
      </c>
      <c r="AY47" s="1211" t="s">
        <v>2130</v>
      </c>
      <c r="AZ47" s="1208" t="s">
        <v>831</v>
      </c>
      <c r="BA47" s="1213">
        <v>0.25</v>
      </c>
      <c r="BB47" s="1213">
        <v>0.25</v>
      </c>
      <c r="BC47" s="1213">
        <v>0.5</v>
      </c>
      <c r="BD47" s="1213">
        <v>0</v>
      </c>
      <c r="BE47" s="1213">
        <v>0.25</v>
      </c>
      <c r="BF47" s="1213">
        <v>0.25</v>
      </c>
      <c r="BG47" s="1213">
        <v>0.25</v>
      </c>
      <c r="BH47" s="1215"/>
      <c r="BI47" s="1213">
        <v>0.25</v>
      </c>
      <c r="BJ47" s="1213">
        <v>0.25</v>
      </c>
      <c r="BK47" s="1214">
        <v>0.25</v>
      </c>
      <c r="BL47" s="1213">
        <v>0.25</v>
      </c>
      <c r="BM47" s="1213">
        <v>0.25</v>
      </c>
      <c r="BO47" s="1207">
        <v>3.4</v>
      </c>
      <c r="BP47" s="1211" t="s">
        <v>2130</v>
      </c>
      <c r="BQ47" s="1208" t="s">
        <v>831</v>
      </c>
      <c r="BR47" s="1213">
        <v>0.25</v>
      </c>
      <c r="BS47" s="1213">
        <v>0.25</v>
      </c>
      <c r="BT47" s="1213">
        <v>0.5</v>
      </c>
      <c r="BU47" s="1213"/>
      <c r="BV47" s="1213">
        <v>0.25</v>
      </c>
      <c r="BW47" s="1213">
        <v>0.25</v>
      </c>
      <c r="BX47" s="1213">
        <v>0.25</v>
      </c>
      <c r="BY47" s="1573">
        <v>0.5</v>
      </c>
      <c r="BZ47" s="1213">
        <v>0.25</v>
      </c>
      <c r="CA47" s="1213">
        <v>0.25</v>
      </c>
      <c r="CB47" s="1214">
        <v>0.25</v>
      </c>
      <c r="CC47" s="1213">
        <v>0.25</v>
      </c>
      <c r="CD47" s="1213">
        <v>0.25</v>
      </c>
      <c r="CE47" s="1469"/>
      <c r="CG47" s="1207">
        <v>3.4</v>
      </c>
      <c r="CH47" s="1211" t="s">
        <v>2130</v>
      </c>
      <c r="CI47" s="1208" t="s">
        <v>831</v>
      </c>
      <c r="CJ47" s="1689">
        <f t="shared" si="19"/>
        <v>0.25</v>
      </c>
      <c r="CK47" s="1689">
        <f t="shared" si="20"/>
        <v>0.25</v>
      </c>
      <c r="CL47" s="1689">
        <f t="shared" si="21"/>
        <v>0.5</v>
      </c>
      <c r="CM47" s="1689">
        <f t="shared" si="22"/>
        <v>0</v>
      </c>
      <c r="CN47" s="1689">
        <f t="shared" si="23"/>
        <v>0.25</v>
      </c>
      <c r="CO47" s="1689">
        <f t="shared" si="24"/>
        <v>0.25</v>
      </c>
      <c r="CP47" s="1689">
        <f t="shared" si="25"/>
        <v>0.25</v>
      </c>
      <c r="CQ47" s="1689">
        <f t="shared" si="25"/>
        <v>0.5</v>
      </c>
      <c r="CR47" s="1689">
        <f t="shared" si="27"/>
        <v>0.25</v>
      </c>
      <c r="CS47" s="1689">
        <f t="shared" si="28"/>
        <v>0.25</v>
      </c>
      <c r="CT47" s="1691">
        <f t="shared" si="13"/>
        <v>0.25</v>
      </c>
      <c r="CU47" s="1689">
        <f t="shared" si="14"/>
        <v>0.25</v>
      </c>
      <c r="CV47" s="1689">
        <f t="shared" si="15"/>
        <v>0.25</v>
      </c>
      <c r="CX47" s="1207">
        <v>3.4</v>
      </c>
      <c r="CY47" s="1211" t="s">
        <v>2130</v>
      </c>
      <c r="CZ47" s="1208" t="s">
        <v>831</v>
      </c>
      <c r="DA47" s="1678">
        <f t="shared" si="29"/>
        <v>0.25</v>
      </c>
      <c r="DB47" s="1678"/>
      <c r="DC47" s="1678"/>
      <c r="DD47" s="1678"/>
      <c r="DE47" s="1678"/>
      <c r="DF47" s="1678"/>
      <c r="DG47" s="1678"/>
      <c r="DH47" s="1678"/>
      <c r="DI47" s="1678"/>
      <c r="DJ47" s="1678"/>
      <c r="DK47" s="1795"/>
      <c r="DL47" s="1678"/>
      <c r="DM47" s="1678"/>
    </row>
    <row r="48" spans="2:117">
      <c r="B48" s="1186">
        <f t="shared" si="68"/>
        <v>4</v>
      </c>
      <c r="C48" s="1198" t="str">
        <f t="shared" si="1"/>
        <v>空気質環境</v>
      </c>
      <c r="D48" s="1194">
        <f>IF(I$9=0,0,G48/I$9)</f>
        <v>0.25</v>
      </c>
      <c r="E48" s="1195">
        <f>IF(J$9=0,0,H48/J$9)</f>
        <v>0</v>
      </c>
      <c r="G48" s="1195">
        <f t="shared" si="64"/>
        <v>0.25</v>
      </c>
      <c r="H48" s="1195">
        <f t="shared" si="65"/>
        <v>0</v>
      </c>
      <c r="I48" s="1195">
        <f>G49+G54+G59</f>
        <v>1</v>
      </c>
      <c r="J48" s="1195">
        <f>H49+H54+H59</f>
        <v>0</v>
      </c>
      <c r="K48" s="1195">
        <f>IF(L48&gt;0,1,IF(スコア!Q48=0,0,1))</f>
        <v>1</v>
      </c>
      <c r="L48" s="1195">
        <f>IF(スコア!S48=0,0,1)</f>
        <v>0</v>
      </c>
      <c r="M48" s="1195">
        <f t="shared" si="66"/>
        <v>0.25</v>
      </c>
      <c r="N48" s="1195">
        <f t="shared" si="67"/>
        <v>0</v>
      </c>
      <c r="P48" s="1197">
        <f t="shared" si="6"/>
        <v>4</v>
      </c>
      <c r="Q48" s="1197" t="str">
        <f t="shared" si="7"/>
        <v xml:space="preserve"> Q1</v>
      </c>
      <c r="R48" s="1198" t="str">
        <f t="shared" si="8"/>
        <v>空気質環境</v>
      </c>
      <c r="S48" s="1744">
        <f t="shared" si="16"/>
        <v>0.25</v>
      </c>
      <c r="T48" s="1744">
        <f t="shared" si="32"/>
        <v>0.25</v>
      </c>
      <c r="U48" s="1744">
        <f t="shared" si="33"/>
        <v>0.25</v>
      </c>
      <c r="V48" s="1744">
        <f t="shared" si="34"/>
        <v>0.25</v>
      </c>
      <c r="W48" s="1744">
        <f t="shared" si="35"/>
        <v>0.25</v>
      </c>
      <c r="X48" s="1744">
        <f t="shared" si="36"/>
        <v>0.25</v>
      </c>
      <c r="Y48" s="1744">
        <f t="shared" si="37"/>
        <v>0.25</v>
      </c>
      <c r="Z48" s="1750">
        <f t="shared" si="38"/>
        <v>0.25</v>
      </c>
      <c r="AA48" s="1744">
        <f t="shared" si="17"/>
        <v>0.25</v>
      </c>
      <c r="AB48" s="1744">
        <f t="shared" si="10"/>
        <v>0.25</v>
      </c>
      <c r="AC48" s="1746">
        <f t="shared" si="11"/>
        <v>0</v>
      </c>
      <c r="AD48" s="1744">
        <f t="shared" si="12"/>
        <v>0</v>
      </c>
      <c r="AE48" s="1744">
        <f t="shared" si="18"/>
        <v>0</v>
      </c>
      <c r="AG48" s="1197">
        <v>4</v>
      </c>
      <c r="AH48" s="1201" t="s">
        <v>793</v>
      </c>
      <c r="AI48" s="1198" t="s">
        <v>71</v>
      </c>
      <c r="AJ48" s="1239">
        <v>0.25</v>
      </c>
      <c r="AK48" s="1239">
        <v>0.25</v>
      </c>
      <c r="AL48" s="1239">
        <v>0.25</v>
      </c>
      <c r="AM48" s="1239">
        <v>0.25</v>
      </c>
      <c r="AN48" s="1239">
        <v>0.25</v>
      </c>
      <c r="AO48" s="1239">
        <v>0.25</v>
      </c>
      <c r="AP48" s="1239">
        <v>0.25</v>
      </c>
      <c r="AQ48" s="1222">
        <v>0.33</v>
      </c>
      <c r="AR48" s="1239">
        <v>0.25</v>
      </c>
      <c r="AS48" s="1202">
        <v>0.25</v>
      </c>
      <c r="AT48" s="1203"/>
      <c r="AU48" s="1202"/>
      <c r="AV48" s="1202"/>
      <c r="AX48" s="1197">
        <v>4</v>
      </c>
      <c r="AY48" s="1201" t="s">
        <v>793</v>
      </c>
      <c r="AZ48" s="1198" t="s">
        <v>71</v>
      </c>
      <c r="BA48" s="1202">
        <v>0.25</v>
      </c>
      <c r="BB48" s="1202">
        <v>0.25</v>
      </c>
      <c r="BC48" s="1202">
        <v>0.25</v>
      </c>
      <c r="BD48" s="1202">
        <v>0.25</v>
      </c>
      <c r="BE48" s="1202">
        <v>0.25</v>
      </c>
      <c r="BF48" s="1202">
        <v>0.25</v>
      </c>
      <c r="BG48" s="1202">
        <v>0.25</v>
      </c>
      <c r="BH48" s="1222">
        <v>0.33</v>
      </c>
      <c r="BI48" s="1202">
        <v>0.25</v>
      </c>
      <c r="BJ48" s="1202">
        <v>0.25</v>
      </c>
      <c r="BK48" s="1203"/>
      <c r="BL48" s="1202"/>
      <c r="BM48" s="1202"/>
      <c r="BO48" s="1197">
        <v>4</v>
      </c>
      <c r="BP48" s="1201" t="s">
        <v>793</v>
      </c>
      <c r="BQ48" s="1198" t="s">
        <v>71</v>
      </c>
      <c r="BR48" s="1239">
        <v>0.25</v>
      </c>
      <c r="BS48" s="1239">
        <v>0.25</v>
      </c>
      <c r="BT48" s="1239">
        <v>0.25</v>
      </c>
      <c r="BU48" s="1239">
        <v>0.25</v>
      </c>
      <c r="BV48" s="1239">
        <v>0.25</v>
      </c>
      <c r="BW48" s="1239">
        <v>0.25</v>
      </c>
      <c r="BX48" s="1239">
        <v>0.25</v>
      </c>
      <c r="BY48" s="1570">
        <v>0.25</v>
      </c>
      <c r="BZ48" s="1239">
        <v>0.25</v>
      </c>
      <c r="CA48" s="1239">
        <v>0.25</v>
      </c>
      <c r="CB48" s="1240"/>
      <c r="CC48" s="1239"/>
      <c r="CD48" s="1239"/>
      <c r="CE48" s="1471"/>
      <c r="CG48" s="1197">
        <v>4</v>
      </c>
      <c r="CH48" s="1201" t="s">
        <v>793</v>
      </c>
      <c r="CI48" s="1198" t="s">
        <v>71</v>
      </c>
      <c r="CJ48" s="1686">
        <f t="shared" si="19"/>
        <v>0.25</v>
      </c>
      <c r="CK48" s="1686">
        <f t="shared" si="20"/>
        <v>0.25</v>
      </c>
      <c r="CL48" s="1686">
        <f t="shared" si="21"/>
        <v>0.25</v>
      </c>
      <c r="CM48" s="1686">
        <f t="shared" si="22"/>
        <v>0.25</v>
      </c>
      <c r="CN48" s="1686">
        <f t="shared" si="23"/>
        <v>0.25</v>
      </c>
      <c r="CO48" s="1686">
        <f t="shared" si="24"/>
        <v>0.25</v>
      </c>
      <c r="CP48" s="1686">
        <f t="shared" si="25"/>
        <v>0.25</v>
      </c>
      <c r="CQ48" s="1686">
        <f t="shared" si="25"/>
        <v>0.25</v>
      </c>
      <c r="CR48" s="1686">
        <f t="shared" si="27"/>
        <v>0.25</v>
      </c>
      <c r="CS48" s="1686">
        <f t="shared" si="28"/>
        <v>0.25</v>
      </c>
      <c r="CT48" s="1688">
        <f t="shared" si="13"/>
        <v>0</v>
      </c>
      <c r="CU48" s="1686">
        <f t="shared" si="14"/>
        <v>0</v>
      </c>
      <c r="CV48" s="1686">
        <f t="shared" si="15"/>
        <v>0</v>
      </c>
      <c r="CX48" s="1197">
        <v>4</v>
      </c>
      <c r="CY48" s="1201" t="s">
        <v>793</v>
      </c>
      <c r="CZ48" s="1198" t="s">
        <v>71</v>
      </c>
      <c r="DA48" s="1676">
        <f t="shared" si="29"/>
        <v>0.25</v>
      </c>
      <c r="DB48" s="1676"/>
      <c r="DC48" s="1676"/>
      <c r="DD48" s="1676"/>
      <c r="DE48" s="1676"/>
      <c r="DF48" s="1676"/>
      <c r="DG48" s="1676"/>
      <c r="DH48" s="1676"/>
      <c r="DI48" s="1676"/>
      <c r="DJ48" s="1676"/>
      <c r="DK48" s="1677"/>
      <c r="DL48" s="1676"/>
      <c r="DM48" s="1676"/>
    </row>
    <row r="49" spans="2:117">
      <c r="B49" s="1186">
        <f t="shared" si="68"/>
        <v>4.0999999999999996</v>
      </c>
      <c r="C49" s="1208" t="str">
        <f t="shared" si="1"/>
        <v>発生源対策</v>
      </c>
      <c r="D49" s="1205">
        <f>IF(I$48=0,0,G49/I$48)</f>
        <v>0.5</v>
      </c>
      <c r="E49" s="1206">
        <f>IF(J$48=0,0,H49/J$48)</f>
        <v>0</v>
      </c>
      <c r="G49" s="1206">
        <f t="shared" si="64"/>
        <v>0.5</v>
      </c>
      <c r="H49" s="1206">
        <f t="shared" si="65"/>
        <v>0</v>
      </c>
      <c r="I49" s="1206">
        <f>SUM(G50:G53)</f>
        <v>1</v>
      </c>
      <c r="J49" s="1206">
        <f>SUM(H50:H53)</f>
        <v>0</v>
      </c>
      <c r="K49" s="1206">
        <f>IF(スコア!Q49=0,0,1)</f>
        <v>1</v>
      </c>
      <c r="L49" s="1206">
        <f>IF(スコア!S49=0,0,1)</f>
        <v>0</v>
      </c>
      <c r="M49" s="1206">
        <f t="shared" si="66"/>
        <v>0.5</v>
      </c>
      <c r="N49" s="1206">
        <f t="shared" si="67"/>
        <v>0</v>
      </c>
      <c r="P49" s="1207">
        <f t="shared" si="6"/>
        <v>4.0999999999999996</v>
      </c>
      <c r="Q49" s="1207" t="str">
        <f t="shared" si="7"/>
        <v xml:space="preserve"> Q1 4</v>
      </c>
      <c r="R49" s="1208" t="str">
        <f t="shared" si="8"/>
        <v>発生源対策</v>
      </c>
      <c r="S49" s="1747">
        <f t="shared" si="16"/>
        <v>0.5</v>
      </c>
      <c r="T49" s="1747">
        <f t="shared" si="32"/>
        <v>0.5</v>
      </c>
      <c r="U49" s="1747">
        <f t="shared" si="33"/>
        <v>0.5</v>
      </c>
      <c r="V49" s="1747">
        <f t="shared" si="34"/>
        <v>0.5</v>
      </c>
      <c r="W49" s="1747">
        <f t="shared" si="35"/>
        <v>0.5</v>
      </c>
      <c r="X49" s="1747">
        <f t="shared" si="36"/>
        <v>0.5</v>
      </c>
      <c r="Y49" s="1747">
        <f t="shared" si="37"/>
        <v>0.6</v>
      </c>
      <c r="Z49" s="1749">
        <f t="shared" si="38"/>
        <v>0.5</v>
      </c>
      <c r="AA49" s="1747">
        <f t="shared" si="17"/>
        <v>0.5</v>
      </c>
      <c r="AB49" s="1747">
        <f t="shared" si="10"/>
        <v>0.5</v>
      </c>
      <c r="AC49" s="1748">
        <f t="shared" si="11"/>
        <v>0.625</v>
      </c>
      <c r="AD49" s="1747">
        <f t="shared" si="12"/>
        <v>0.625</v>
      </c>
      <c r="AE49" s="1747">
        <f t="shared" si="18"/>
        <v>0.625</v>
      </c>
      <c r="AG49" s="1207">
        <v>4.0999999999999996</v>
      </c>
      <c r="AH49" s="1211" t="s">
        <v>2140</v>
      </c>
      <c r="AI49" s="1208" t="s">
        <v>833</v>
      </c>
      <c r="AJ49" s="1241">
        <v>0.5</v>
      </c>
      <c r="AK49" s="1241">
        <v>0.5</v>
      </c>
      <c r="AL49" s="1241">
        <v>0.5</v>
      </c>
      <c r="AM49" s="1241">
        <v>0.5</v>
      </c>
      <c r="AN49" s="1241">
        <v>0.5</v>
      </c>
      <c r="AO49" s="1241">
        <v>0.5</v>
      </c>
      <c r="AP49" s="1241">
        <v>0.6</v>
      </c>
      <c r="AQ49" s="1242">
        <v>0.5</v>
      </c>
      <c r="AR49" s="1241">
        <v>0.5</v>
      </c>
      <c r="AS49" s="1213">
        <v>0.5</v>
      </c>
      <c r="AT49" s="1214">
        <v>0.625</v>
      </c>
      <c r="AU49" s="1213">
        <v>0.625</v>
      </c>
      <c r="AV49" s="1213">
        <v>0.625</v>
      </c>
      <c r="AX49" s="1207">
        <v>4.0999999999999996</v>
      </c>
      <c r="AY49" s="1211" t="s">
        <v>2140</v>
      </c>
      <c r="AZ49" s="1208" t="s">
        <v>833</v>
      </c>
      <c r="BA49" s="1213">
        <v>0.5</v>
      </c>
      <c r="BB49" s="1213">
        <v>0.5</v>
      </c>
      <c r="BC49" s="1213">
        <v>0.5</v>
      </c>
      <c r="BD49" s="1213">
        <v>0.5</v>
      </c>
      <c r="BE49" s="1213">
        <v>0.5</v>
      </c>
      <c r="BF49" s="1213">
        <v>0.5</v>
      </c>
      <c r="BG49" s="1213">
        <v>0.6</v>
      </c>
      <c r="BH49" s="1220">
        <v>0.5</v>
      </c>
      <c r="BI49" s="1213">
        <v>0.5</v>
      </c>
      <c r="BJ49" s="1213">
        <v>0.5</v>
      </c>
      <c r="BK49" s="1214">
        <v>0.625</v>
      </c>
      <c r="BL49" s="1213">
        <v>0.625</v>
      </c>
      <c r="BM49" s="1213">
        <v>0.625</v>
      </c>
      <c r="BO49" s="1207">
        <v>4.0999999999999996</v>
      </c>
      <c r="BP49" s="1211" t="s">
        <v>2140</v>
      </c>
      <c r="BQ49" s="1208" t="s">
        <v>833</v>
      </c>
      <c r="BR49" s="1241">
        <v>0.5</v>
      </c>
      <c r="BS49" s="1241">
        <v>0.5</v>
      </c>
      <c r="BT49" s="1241">
        <v>0.5</v>
      </c>
      <c r="BU49" s="1241">
        <v>0.5</v>
      </c>
      <c r="BV49" s="1241">
        <v>0.5</v>
      </c>
      <c r="BW49" s="1241">
        <v>0.5</v>
      </c>
      <c r="BX49" s="1241">
        <v>0.6</v>
      </c>
      <c r="BY49" s="1576">
        <v>0.5</v>
      </c>
      <c r="BZ49" s="1241">
        <v>0.5</v>
      </c>
      <c r="CA49" s="1241">
        <v>0.5</v>
      </c>
      <c r="CB49" s="1243">
        <v>0.625</v>
      </c>
      <c r="CC49" s="1241">
        <v>0.625</v>
      </c>
      <c r="CD49" s="1241">
        <v>0.625</v>
      </c>
      <c r="CE49" s="1470"/>
      <c r="CG49" s="1207">
        <v>4.0999999999999996</v>
      </c>
      <c r="CH49" s="1211" t="s">
        <v>2140</v>
      </c>
      <c r="CI49" s="1208" t="s">
        <v>833</v>
      </c>
      <c r="CJ49" s="1689">
        <f t="shared" si="19"/>
        <v>0.5</v>
      </c>
      <c r="CK49" s="1689">
        <f t="shared" si="20"/>
        <v>0.5</v>
      </c>
      <c r="CL49" s="1689">
        <f t="shared" si="21"/>
        <v>0.5</v>
      </c>
      <c r="CM49" s="1689">
        <f t="shared" si="22"/>
        <v>0.5</v>
      </c>
      <c r="CN49" s="1689">
        <f t="shared" si="23"/>
        <v>0.5</v>
      </c>
      <c r="CO49" s="1689">
        <f t="shared" si="24"/>
        <v>0.5</v>
      </c>
      <c r="CP49" s="1689">
        <f t="shared" si="25"/>
        <v>0.6</v>
      </c>
      <c r="CQ49" s="1689">
        <f t="shared" si="25"/>
        <v>0.5</v>
      </c>
      <c r="CR49" s="1689">
        <f t="shared" si="27"/>
        <v>0.5</v>
      </c>
      <c r="CS49" s="1689">
        <f t="shared" si="28"/>
        <v>0.5</v>
      </c>
      <c r="CT49" s="1691">
        <f t="shared" si="13"/>
        <v>0.625</v>
      </c>
      <c r="CU49" s="1689">
        <f t="shared" si="14"/>
        <v>0.625</v>
      </c>
      <c r="CV49" s="1689">
        <f t="shared" si="15"/>
        <v>0.625</v>
      </c>
      <c r="CX49" s="1207">
        <v>4.0999999999999996</v>
      </c>
      <c r="CY49" s="1211" t="s">
        <v>2140</v>
      </c>
      <c r="CZ49" s="1208" t="s">
        <v>833</v>
      </c>
      <c r="DA49" s="1678">
        <f t="shared" si="29"/>
        <v>0.5</v>
      </c>
      <c r="DB49" s="1678"/>
      <c r="DC49" s="1678"/>
      <c r="DD49" s="1678"/>
      <c r="DE49" s="1678"/>
      <c r="DF49" s="1678"/>
      <c r="DG49" s="1678"/>
      <c r="DH49" s="1678"/>
      <c r="DI49" s="1678"/>
      <c r="DJ49" s="1678"/>
      <c r="DK49" s="1795"/>
      <c r="DL49" s="1678"/>
      <c r="DM49" s="1678"/>
    </row>
    <row r="50" spans="2:117">
      <c r="B50" s="1186" t="str">
        <f t="shared" si="68"/>
        <v>4.1.1</v>
      </c>
      <c r="C50" s="1208" t="str">
        <f t="shared" si="1"/>
        <v xml:space="preserve"> 化学汚染物質</v>
      </c>
      <c r="D50" s="1196">
        <f t="shared" ref="D50:E53" si="69">IF(I$49&gt;0,G50/I$49,0)</f>
        <v>1</v>
      </c>
      <c r="E50" s="1206">
        <f t="shared" si="69"/>
        <v>0</v>
      </c>
      <c r="G50" s="1206">
        <f t="shared" si="64"/>
        <v>1</v>
      </c>
      <c r="H50" s="1206">
        <f t="shared" si="65"/>
        <v>0</v>
      </c>
      <c r="I50" s="1206"/>
      <c r="J50" s="1206"/>
      <c r="K50" s="1206">
        <f>IF(スコア!Q50=0,0,1)</f>
        <v>1</v>
      </c>
      <c r="L50" s="1206">
        <f>IF(スコア!S50=0,0,1)</f>
        <v>1</v>
      </c>
      <c r="M50" s="1206">
        <f t="shared" si="66"/>
        <v>1</v>
      </c>
      <c r="N50" s="1206">
        <f t="shared" si="67"/>
        <v>0</v>
      </c>
      <c r="P50" s="1207" t="str">
        <f t="shared" si="6"/>
        <v>4.1.1</v>
      </c>
      <c r="Q50" s="1207" t="str">
        <f t="shared" si="7"/>
        <v xml:space="preserve"> Q1 4.1</v>
      </c>
      <c r="R50" s="1208" t="str">
        <f t="shared" si="8"/>
        <v xml:space="preserve"> 化学汚染物質</v>
      </c>
      <c r="S50" s="1747">
        <f t="shared" si="16"/>
        <v>1</v>
      </c>
      <c r="T50" s="1747">
        <f t="shared" si="32"/>
        <v>1</v>
      </c>
      <c r="U50" s="1747">
        <f t="shared" si="33"/>
        <v>1</v>
      </c>
      <c r="V50" s="1747">
        <f t="shared" si="34"/>
        <v>1</v>
      </c>
      <c r="W50" s="1747">
        <f t="shared" si="35"/>
        <v>1</v>
      </c>
      <c r="X50" s="1747">
        <f t="shared" si="36"/>
        <v>1</v>
      </c>
      <c r="Y50" s="1747">
        <f t="shared" si="37"/>
        <v>1</v>
      </c>
      <c r="Z50" s="1749">
        <f t="shared" si="38"/>
        <v>1</v>
      </c>
      <c r="AA50" s="1747">
        <f t="shared" si="17"/>
        <v>1</v>
      </c>
      <c r="AB50" s="1747">
        <f t="shared" si="10"/>
        <v>1</v>
      </c>
      <c r="AC50" s="1748">
        <f t="shared" si="11"/>
        <v>1</v>
      </c>
      <c r="AD50" s="1747">
        <f t="shared" si="12"/>
        <v>1</v>
      </c>
      <c r="AE50" s="1747">
        <f t="shared" si="18"/>
        <v>1</v>
      </c>
      <c r="AG50" s="1207" t="s">
        <v>2288</v>
      </c>
      <c r="AH50" s="1211" t="s">
        <v>2141</v>
      </c>
      <c r="AI50" s="1208" t="s">
        <v>2142</v>
      </c>
      <c r="AJ50" s="1241">
        <v>0.25</v>
      </c>
      <c r="AK50" s="1241">
        <v>0.25</v>
      </c>
      <c r="AL50" s="1241">
        <v>0.25</v>
      </c>
      <c r="AM50" s="1241">
        <v>0.25</v>
      </c>
      <c r="AN50" s="1244">
        <v>0.25</v>
      </c>
      <c r="AO50" s="1244">
        <v>0.33</v>
      </c>
      <c r="AP50" s="1244">
        <v>0.33</v>
      </c>
      <c r="AQ50" s="1242">
        <v>0.25</v>
      </c>
      <c r="AR50" s="1241">
        <v>0.25</v>
      </c>
      <c r="AS50" s="1213">
        <v>0.25</v>
      </c>
      <c r="AT50" s="1214">
        <v>0.25</v>
      </c>
      <c r="AU50" s="1213">
        <v>0.25</v>
      </c>
      <c r="AV50" s="1213">
        <v>0.25</v>
      </c>
      <c r="AX50" s="1207" t="s">
        <v>2288</v>
      </c>
      <c r="AY50" s="1211" t="s">
        <v>2141</v>
      </c>
      <c r="AZ50" s="1208" t="s">
        <v>2142</v>
      </c>
      <c r="BA50" s="1213">
        <v>1</v>
      </c>
      <c r="BB50" s="1213">
        <v>1</v>
      </c>
      <c r="BC50" s="1213">
        <v>1</v>
      </c>
      <c r="BD50" s="1213">
        <v>1</v>
      </c>
      <c r="BE50" s="1213">
        <v>1</v>
      </c>
      <c r="BF50" s="1213">
        <v>1</v>
      </c>
      <c r="BG50" s="1213">
        <v>1</v>
      </c>
      <c r="BH50" s="1220">
        <v>1</v>
      </c>
      <c r="BI50" s="1213">
        <v>1</v>
      </c>
      <c r="BJ50" s="1213">
        <v>1</v>
      </c>
      <c r="BK50" s="1214">
        <v>1</v>
      </c>
      <c r="BL50" s="1213">
        <v>1</v>
      </c>
      <c r="BM50" s="1213">
        <v>1</v>
      </c>
      <c r="BO50" s="1207" t="s">
        <v>2288</v>
      </c>
      <c r="BP50" s="1211" t="s">
        <v>2141</v>
      </c>
      <c r="BQ50" s="1208" t="s">
        <v>2142</v>
      </c>
      <c r="BR50" s="1816">
        <v>1</v>
      </c>
      <c r="BS50" s="1816">
        <v>1</v>
      </c>
      <c r="BT50" s="1816">
        <v>1</v>
      </c>
      <c r="BU50" s="1816">
        <v>1</v>
      </c>
      <c r="BV50" s="1816">
        <v>1</v>
      </c>
      <c r="BW50" s="1816">
        <v>1</v>
      </c>
      <c r="BX50" s="1816">
        <v>1</v>
      </c>
      <c r="BY50" s="1816">
        <v>1</v>
      </c>
      <c r="BZ50" s="1816">
        <v>1</v>
      </c>
      <c r="CA50" s="1816">
        <v>1</v>
      </c>
      <c r="CB50" s="1816">
        <v>1</v>
      </c>
      <c r="CC50" s="1816">
        <v>1</v>
      </c>
      <c r="CD50" s="1816">
        <v>1</v>
      </c>
      <c r="CE50" s="1470"/>
      <c r="CG50" s="1207" t="s">
        <v>1335</v>
      </c>
      <c r="CH50" s="1211" t="s">
        <v>2141</v>
      </c>
      <c r="CI50" s="1208" t="s">
        <v>2142</v>
      </c>
      <c r="CJ50" s="1689">
        <f t="shared" si="19"/>
        <v>1</v>
      </c>
      <c r="CK50" s="1689">
        <f t="shared" si="20"/>
        <v>1</v>
      </c>
      <c r="CL50" s="1689">
        <f t="shared" si="21"/>
        <v>1</v>
      </c>
      <c r="CM50" s="1689">
        <f t="shared" si="22"/>
        <v>1</v>
      </c>
      <c r="CN50" s="1689">
        <f t="shared" si="23"/>
        <v>1</v>
      </c>
      <c r="CO50" s="1689">
        <f t="shared" si="24"/>
        <v>1</v>
      </c>
      <c r="CP50" s="1689">
        <f t="shared" si="25"/>
        <v>1</v>
      </c>
      <c r="CQ50" s="1689">
        <f t="shared" si="25"/>
        <v>1</v>
      </c>
      <c r="CR50" s="1689">
        <f t="shared" si="27"/>
        <v>1</v>
      </c>
      <c r="CS50" s="1689">
        <f t="shared" si="28"/>
        <v>1</v>
      </c>
      <c r="CT50" s="1689">
        <f t="shared" si="13"/>
        <v>1</v>
      </c>
      <c r="CU50" s="1689">
        <f t="shared" si="14"/>
        <v>1</v>
      </c>
      <c r="CV50" s="1689">
        <f t="shared" si="15"/>
        <v>1</v>
      </c>
      <c r="CX50" s="1207" t="s">
        <v>1335</v>
      </c>
      <c r="CY50" s="1211" t="s">
        <v>2141</v>
      </c>
      <c r="CZ50" s="1208" t="s">
        <v>2142</v>
      </c>
      <c r="DA50" s="1678">
        <f t="shared" si="29"/>
        <v>1</v>
      </c>
      <c r="DB50" s="1678"/>
      <c r="DC50" s="1678"/>
      <c r="DD50" s="1678"/>
      <c r="DE50" s="1678"/>
      <c r="DF50" s="1678"/>
      <c r="DG50" s="1678"/>
      <c r="DH50" s="1678"/>
      <c r="DI50" s="1678"/>
      <c r="DJ50" s="1678"/>
      <c r="DK50" s="1678"/>
      <c r="DL50" s="1678"/>
      <c r="DM50" s="1678"/>
    </row>
    <row r="51" spans="2:117" hidden="1">
      <c r="B51" s="1186" t="str">
        <f t="shared" si="68"/>
        <v>4.1.2</v>
      </c>
      <c r="C51" s="1230">
        <f t="shared" si="1"/>
        <v>0</v>
      </c>
      <c r="D51" s="1227">
        <f t="shared" si="69"/>
        <v>0</v>
      </c>
      <c r="E51" s="1228">
        <f t="shared" si="69"/>
        <v>0</v>
      </c>
      <c r="G51" s="1228">
        <f t="shared" si="64"/>
        <v>0</v>
      </c>
      <c r="H51" s="1228">
        <f t="shared" si="65"/>
        <v>0</v>
      </c>
      <c r="I51" s="1228"/>
      <c r="J51" s="1228"/>
      <c r="K51" s="1228">
        <f>IF(スコア!Q51=0,0,1)</f>
        <v>0</v>
      </c>
      <c r="L51" s="1228">
        <f>IF(スコア!S51=0,0,1)</f>
        <v>0</v>
      </c>
      <c r="M51" s="1228">
        <f t="shared" si="66"/>
        <v>0</v>
      </c>
      <c r="N51" s="1228">
        <f t="shared" si="67"/>
        <v>0</v>
      </c>
      <c r="P51" s="1229" t="str">
        <f t="shared" si="6"/>
        <v>4.1.2</v>
      </c>
      <c r="Q51" s="1229" t="str">
        <f t="shared" si="7"/>
        <v xml:space="preserve"> Q1 4.1</v>
      </c>
      <c r="R51" s="1230">
        <f t="shared" si="8"/>
        <v>0</v>
      </c>
      <c r="S51" s="1753">
        <f t="shared" si="16"/>
        <v>0</v>
      </c>
      <c r="T51" s="1753">
        <f t="shared" si="32"/>
        <v>0</v>
      </c>
      <c r="U51" s="1753">
        <f t="shared" si="33"/>
        <v>0</v>
      </c>
      <c r="V51" s="1753">
        <f t="shared" si="34"/>
        <v>0</v>
      </c>
      <c r="W51" s="1753">
        <f t="shared" si="35"/>
        <v>0</v>
      </c>
      <c r="X51" s="1753">
        <f t="shared" si="36"/>
        <v>0</v>
      </c>
      <c r="Y51" s="1753">
        <f t="shared" si="37"/>
        <v>0</v>
      </c>
      <c r="Z51" s="1754">
        <f t="shared" si="38"/>
        <v>0</v>
      </c>
      <c r="AA51" s="1753">
        <f t="shared" si="17"/>
        <v>0</v>
      </c>
      <c r="AB51" s="1753">
        <f t="shared" si="10"/>
        <v>0</v>
      </c>
      <c r="AC51" s="1755">
        <f t="shared" si="11"/>
        <v>0</v>
      </c>
      <c r="AD51" s="1753">
        <f t="shared" si="12"/>
        <v>0</v>
      </c>
      <c r="AE51" s="1753">
        <f t="shared" si="18"/>
        <v>0</v>
      </c>
      <c r="AG51" s="1207" t="s">
        <v>2289</v>
      </c>
      <c r="AH51" s="1211" t="s">
        <v>2141</v>
      </c>
      <c r="AI51" s="1208" t="s">
        <v>2290</v>
      </c>
      <c r="AJ51" s="1241">
        <v>0.25</v>
      </c>
      <c r="AK51" s="1241">
        <v>0.25</v>
      </c>
      <c r="AL51" s="1241">
        <v>0.25</v>
      </c>
      <c r="AM51" s="1241">
        <v>0.25</v>
      </c>
      <c r="AN51" s="1244">
        <v>0.25</v>
      </c>
      <c r="AO51" s="1244">
        <v>0.33</v>
      </c>
      <c r="AP51" s="1244">
        <v>0.33</v>
      </c>
      <c r="AQ51" s="1242">
        <v>0.25</v>
      </c>
      <c r="AR51" s="1241">
        <v>0.25</v>
      </c>
      <c r="AS51" s="1213">
        <v>0.25</v>
      </c>
      <c r="AT51" s="1214">
        <v>0.25</v>
      </c>
      <c r="AU51" s="1213">
        <v>0.25</v>
      </c>
      <c r="AV51" s="1213">
        <v>0.25</v>
      </c>
      <c r="AX51" s="1229" t="s">
        <v>2289</v>
      </c>
      <c r="AY51" s="1232" t="s">
        <v>2141</v>
      </c>
      <c r="AZ51" s="1230" t="s">
        <v>2290</v>
      </c>
      <c r="BA51" s="1233"/>
      <c r="BB51" s="1233"/>
      <c r="BC51" s="1233"/>
      <c r="BD51" s="1233"/>
      <c r="BE51" s="1233"/>
      <c r="BF51" s="1233"/>
      <c r="BG51" s="1233"/>
      <c r="BH51" s="1234"/>
      <c r="BI51" s="1233"/>
      <c r="BJ51" s="1233"/>
      <c r="BK51" s="1235"/>
      <c r="BL51" s="1233"/>
      <c r="BM51" s="1233"/>
      <c r="BO51" s="1229" t="s">
        <v>2289</v>
      </c>
      <c r="BP51" s="1232" t="s">
        <v>2141</v>
      </c>
      <c r="BQ51" s="1230"/>
      <c r="BR51" s="1236"/>
      <c r="BS51" s="1236"/>
      <c r="BT51" s="1236"/>
      <c r="BU51" s="1236"/>
      <c r="BV51" s="1236"/>
      <c r="BW51" s="1236"/>
      <c r="BX51" s="1236"/>
      <c r="BY51" s="1572"/>
      <c r="BZ51" s="1236"/>
      <c r="CA51" s="1236"/>
      <c r="CB51" s="1238"/>
      <c r="CC51" s="1236"/>
      <c r="CD51" s="1236"/>
      <c r="CE51" s="1470"/>
      <c r="CG51" s="1229" t="s">
        <v>1336</v>
      </c>
      <c r="CH51" s="1232" t="s">
        <v>2141</v>
      </c>
      <c r="CI51" s="1230"/>
      <c r="CJ51" s="1696"/>
      <c r="CK51" s="1696"/>
      <c r="CL51" s="1696"/>
      <c r="CM51" s="1696"/>
      <c r="CN51" s="1696"/>
      <c r="CO51" s="1696"/>
      <c r="CP51" s="1696"/>
      <c r="CQ51" s="1697"/>
      <c r="CR51" s="1696"/>
      <c r="CS51" s="1696"/>
      <c r="CT51" s="1698"/>
      <c r="CU51" s="1696"/>
      <c r="CV51" s="1696"/>
      <c r="CX51" s="1229"/>
      <c r="CY51" s="1232"/>
      <c r="CZ51" s="1230"/>
      <c r="DA51" s="1799"/>
      <c r="DB51" s="1799"/>
      <c r="DC51" s="1799"/>
      <c r="DD51" s="1799"/>
      <c r="DE51" s="1799"/>
      <c r="DF51" s="1799"/>
      <c r="DG51" s="1799"/>
      <c r="DH51" s="1800"/>
      <c r="DI51" s="1799"/>
      <c r="DJ51" s="1799"/>
      <c r="DK51" s="1801"/>
      <c r="DL51" s="1799"/>
      <c r="DM51" s="1799"/>
    </row>
    <row r="52" spans="2:117" hidden="1">
      <c r="B52" s="1186" t="str">
        <f t="shared" si="68"/>
        <v>4.1.3</v>
      </c>
      <c r="C52" s="1208">
        <f t="shared" si="1"/>
        <v>0</v>
      </c>
      <c r="D52" s="1196">
        <f t="shared" si="69"/>
        <v>0</v>
      </c>
      <c r="E52" s="1206">
        <f t="shared" si="69"/>
        <v>0</v>
      </c>
      <c r="G52" s="1206">
        <f t="shared" si="64"/>
        <v>0</v>
      </c>
      <c r="H52" s="1206">
        <f t="shared" si="65"/>
        <v>0</v>
      </c>
      <c r="I52" s="1206"/>
      <c r="J52" s="1206"/>
      <c r="K52" s="1206">
        <f>IF(スコア!Q52=0,0,1)</f>
        <v>0</v>
      </c>
      <c r="L52" s="1206">
        <f>IF(スコア!S52=0,0,1)</f>
        <v>0</v>
      </c>
      <c r="M52" s="1206">
        <f t="shared" si="66"/>
        <v>0</v>
      </c>
      <c r="N52" s="1206">
        <f t="shared" si="67"/>
        <v>0</v>
      </c>
      <c r="P52" s="1207" t="str">
        <f t="shared" si="6"/>
        <v>4.1.3</v>
      </c>
      <c r="Q52" s="1207" t="str">
        <f t="shared" si="7"/>
        <v xml:space="preserve"> Q1 4.1</v>
      </c>
      <c r="R52" s="1208">
        <f t="shared" si="8"/>
        <v>0</v>
      </c>
      <c r="S52" s="1747">
        <f t="shared" si="16"/>
        <v>0</v>
      </c>
      <c r="T52" s="1747">
        <f t="shared" si="32"/>
        <v>0</v>
      </c>
      <c r="U52" s="1747">
        <f t="shared" si="33"/>
        <v>0</v>
      </c>
      <c r="V52" s="1747">
        <f t="shared" si="34"/>
        <v>0</v>
      </c>
      <c r="W52" s="1747">
        <f t="shared" si="35"/>
        <v>0</v>
      </c>
      <c r="X52" s="1747">
        <f t="shared" si="36"/>
        <v>0</v>
      </c>
      <c r="Y52" s="1747">
        <f t="shared" si="37"/>
        <v>0</v>
      </c>
      <c r="Z52" s="1749">
        <f t="shared" si="38"/>
        <v>0</v>
      </c>
      <c r="AA52" s="1747">
        <f t="shared" si="17"/>
        <v>0</v>
      </c>
      <c r="AB52" s="1747">
        <f t="shared" si="10"/>
        <v>0</v>
      </c>
      <c r="AC52" s="1748">
        <f t="shared" si="11"/>
        <v>0</v>
      </c>
      <c r="AD52" s="1747">
        <f t="shared" si="12"/>
        <v>0</v>
      </c>
      <c r="AE52" s="1747">
        <f t="shared" si="18"/>
        <v>0</v>
      </c>
      <c r="AG52" s="1207" t="s">
        <v>2291</v>
      </c>
      <c r="AH52" s="1211" t="s">
        <v>2141</v>
      </c>
      <c r="AI52" s="1208"/>
      <c r="AJ52" s="1236">
        <v>0.25</v>
      </c>
      <c r="AK52" s="1236">
        <v>0.25</v>
      </c>
      <c r="AL52" s="1236">
        <v>0.25</v>
      </c>
      <c r="AM52" s="1236">
        <v>0.25</v>
      </c>
      <c r="AN52" s="1245">
        <v>0.25</v>
      </c>
      <c r="AO52" s="1245">
        <v>0.33</v>
      </c>
      <c r="AP52" s="1245">
        <v>0.33</v>
      </c>
      <c r="AQ52" s="1237">
        <v>0.25</v>
      </c>
      <c r="AR52" s="1236">
        <v>0.25</v>
      </c>
      <c r="AS52" s="1213">
        <v>0.25</v>
      </c>
      <c r="AT52" s="1214">
        <v>0.25</v>
      </c>
      <c r="AU52" s="1213">
        <v>0.25</v>
      </c>
      <c r="AV52" s="1213">
        <v>0.25</v>
      </c>
      <c r="AX52" s="1207" t="s">
        <v>2291</v>
      </c>
      <c r="AY52" s="1211" t="s">
        <v>2141</v>
      </c>
      <c r="AZ52" s="1208" t="s">
        <v>2143</v>
      </c>
      <c r="BA52" s="1213"/>
      <c r="BB52" s="1213"/>
      <c r="BC52" s="1213"/>
      <c r="BD52" s="1213"/>
      <c r="BE52" s="1213"/>
      <c r="BF52" s="1213"/>
      <c r="BG52" s="1213"/>
      <c r="BH52" s="1220"/>
      <c r="BI52" s="1213"/>
      <c r="BJ52" s="1213"/>
      <c r="BK52" s="1214"/>
      <c r="BL52" s="1213"/>
      <c r="BM52" s="1213"/>
      <c r="BO52" s="1207" t="s">
        <v>2291</v>
      </c>
      <c r="BP52" s="1211" t="s">
        <v>2141</v>
      </c>
      <c r="BQ52" s="1208"/>
      <c r="BR52" s="1241"/>
      <c r="BS52" s="1241"/>
      <c r="BT52" s="1241"/>
      <c r="BU52" s="1241"/>
      <c r="BV52" s="1241"/>
      <c r="BW52" s="1241"/>
      <c r="BX52" s="1241"/>
      <c r="BY52" s="1577"/>
      <c r="BZ52" s="1241"/>
      <c r="CA52" s="1241"/>
      <c r="CB52" s="1241"/>
      <c r="CC52" s="1241"/>
      <c r="CD52" s="1241"/>
      <c r="CE52" s="1470"/>
      <c r="CG52" s="1207" t="s">
        <v>2291</v>
      </c>
      <c r="CH52" s="1211" t="s">
        <v>2141</v>
      </c>
      <c r="CI52" s="1208" t="s">
        <v>2143</v>
      </c>
      <c r="CJ52" s="1689">
        <f t="shared" si="19"/>
        <v>0</v>
      </c>
      <c r="CK52" s="1689">
        <f t="shared" si="20"/>
        <v>0</v>
      </c>
      <c r="CL52" s="1689">
        <f t="shared" si="21"/>
        <v>0</v>
      </c>
      <c r="CM52" s="1689">
        <f t="shared" si="22"/>
        <v>0</v>
      </c>
      <c r="CN52" s="1689">
        <f t="shared" si="23"/>
        <v>0</v>
      </c>
      <c r="CO52" s="1689">
        <f t="shared" si="24"/>
        <v>0</v>
      </c>
      <c r="CP52" s="1689">
        <f t="shared" si="25"/>
        <v>0</v>
      </c>
      <c r="CQ52" s="1690">
        <f t="shared" si="26"/>
        <v>0</v>
      </c>
      <c r="CR52" s="1689">
        <f t="shared" si="27"/>
        <v>0</v>
      </c>
      <c r="CS52" s="1689">
        <f t="shared" si="28"/>
        <v>0</v>
      </c>
      <c r="CT52" s="1689">
        <f t="shared" si="13"/>
        <v>0</v>
      </c>
      <c r="CU52" s="1689">
        <f t="shared" si="14"/>
        <v>0</v>
      </c>
      <c r="CV52" s="1689">
        <f t="shared" si="15"/>
        <v>0</v>
      </c>
      <c r="CX52" s="1207" t="s">
        <v>2291</v>
      </c>
      <c r="CY52" s="1211" t="s">
        <v>2141</v>
      </c>
      <c r="CZ52" s="1208" t="s">
        <v>2143</v>
      </c>
      <c r="DA52" s="1678">
        <f t="shared" si="29"/>
        <v>0</v>
      </c>
      <c r="DB52" s="1678"/>
      <c r="DC52" s="1678"/>
      <c r="DD52" s="1678"/>
      <c r="DE52" s="1678"/>
      <c r="DF52" s="1678"/>
      <c r="DG52" s="1678"/>
      <c r="DH52" s="1794"/>
      <c r="DI52" s="1678"/>
      <c r="DJ52" s="1678"/>
      <c r="DK52" s="1678"/>
      <c r="DL52" s="1678"/>
      <c r="DM52" s="1678"/>
    </row>
    <row r="53" spans="2:117" hidden="1">
      <c r="B53" s="1186" t="str">
        <f t="shared" si="68"/>
        <v>4.1.4</v>
      </c>
      <c r="C53" s="1208">
        <f t="shared" si="1"/>
        <v>0</v>
      </c>
      <c r="D53" s="1196">
        <f t="shared" si="69"/>
        <v>0</v>
      </c>
      <c r="E53" s="1206">
        <f t="shared" si="69"/>
        <v>0</v>
      </c>
      <c r="G53" s="1206">
        <f t="shared" si="64"/>
        <v>0</v>
      </c>
      <c r="H53" s="1206">
        <f t="shared" si="65"/>
        <v>0</v>
      </c>
      <c r="I53" s="1206"/>
      <c r="J53" s="1206"/>
      <c r="K53" s="1206">
        <f>IF(スコア!Q53=0,0,1)</f>
        <v>0</v>
      </c>
      <c r="L53" s="1206">
        <f>IF(スコア!S53=0,0,1)</f>
        <v>0</v>
      </c>
      <c r="M53" s="1206">
        <f t="shared" si="66"/>
        <v>0</v>
      </c>
      <c r="N53" s="1206">
        <f t="shared" si="67"/>
        <v>0</v>
      </c>
      <c r="P53" s="1207" t="str">
        <f t="shared" si="6"/>
        <v>4.1.4</v>
      </c>
      <c r="Q53" s="1207" t="str">
        <f t="shared" si="7"/>
        <v xml:space="preserve"> Q1 4.1</v>
      </c>
      <c r="R53" s="1208">
        <f t="shared" si="8"/>
        <v>0</v>
      </c>
      <c r="S53" s="1747">
        <f t="shared" si="16"/>
        <v>0</v>
      </c>
      <c r="T53" s="1747">
        <f t="shared" si="32"/>
        <v>0</v>
      </c>
      <c r="U53" s="1747">
        <f t="shared" si="33"/>
        <v>0</v>
      </c>
      <c r="V53" s="1747">
        <f t="shared" si="34"/>
        <v>0</v>
      </c>
      <c r="W53" s="1747">
        <f t="shared" si="35"/>
        <v>0</v>
      </c>
      <c r="X53" s="1747">
        <f t="shared" si="36"/>
        <v>0</v>
      </c>
      <c r="Y53" s="1747">
        <f t="shared" si="37"/>
        <v>0</v>
      </c>
      <c r="Z53" s="1749">
        <f t="shared" si="38"/>
        <v>0</v>
      </c>
      <c r="AA53" s="1747">
        <f t="shared" si="17"/>
        <v>0</v>
      </c>
      <c r="AB53" s="1747">
        <f t="shared" si="10"/>
        <v>0</v>
      </c>
      <c r="AC53" s="1748">
        <f t="shared" si="11"/>
        <v>0</v>
      </c>
      <c r="AD53" s="1747">
        <f t="shared" si="12"/>
        <v>0</v>
      </c>
      <c r="AE53" s="1747">
        <f t="shared" si="18"/>
        <v>0</v>
      </c>
      <c r="AG53" s="1207" t="s">
        <v>2292</v>
      </c>
      <c r="AH53" s="1211" t="s">
        <v>2141</v>
      </c>
      <c r="AI53" s="1208" t="s">
        <v>2144</v>
      </c>
      <c r="AJ53" s="1241">
        <v>0.25</v>
      </c>
      <c r="AK53" s="1241">
        <v>0.25</v>
      </c>
      <c r="AL53" s="1241">
        <v>0.25</v>
      </c>
      <c r="AM53" s="1241">
        <v>0.25</v>
      </c>
      <c r="AN53" s="1241">
        <v>0.25</v>
      </c>
      <c r="AO53" s="1241"/>
      <c r="AP53" s="1241"/>
      <c r="AQ53" s="1242">
        <v>0.25</v>
      </c>
      <c r="AR53" s="1241">
        <v>0.25</v>
      </c>
      <c r="AS53" s="1213">
        <v>0.25</v>
      </c>
      <c r="AT53" s="1214">
        <v>0.25</v>
      </c>
      <c r="AU53" s="1213">
        <v>0.25</v>
      </c>
      <c r="AV53" s="1213">
        <v>0.25</v>
      </c>
      <c r="AX53" s="1207" t="s">
        <v>2292</v>
      </c>
      <c r="AY53" s="1211" t="s">
        <v>2141</v>
      </c>
      <c r="AZ53" s="1208" t="s">
        <v>2144</v>
      </c>
      <c r="BA53" s="1213"/>
      <c r="BB53" s="1213"/>
      <c r="BC53" s="1213"/>
      <c r="BD53" s="1213"/>
      <c r="BE53" s="1213"/>
      <c r="BF53" s="1213"/>
      <c r="BG53" s="1213"/>
      <c r="BH53" s="1220"/>
      <c r="BI53" s="1213"/>
      <c r="BJ53" s="1213"/>
      <c r="BK53" s="1214"/>
      <c r="BL53" s="1213"/>
      <c r="BM53" s="1213"/>
      <c r="BO53" s="1207" t="s">
        <v>2292</v>
      </c>
      <c r="BP53" s="1211" t="s">
        <v>2141</v>
      </c>
      <c r="BQ53" s="1208"/>
      <c r="BR53" s="1241"/>
      <c r="BS53" s="1241"/>
      <c r="BT53" s="1241"/>
      <c r="BU53" s="1241"/>
      <c r="BV53" s="1241"/>
      <c r="BW53" s="1241"/>
      <c r="BX53" s="1241"/>
      <c r="BY53" s="1577"/>
      <c r="BZ53" s="1241"/>
      <c r="CA53" s="1241"/>
      <c r="CB53" s="1241"/>
      <c r="CC53" s="1241"/>
      <c r="CD53" s="1241"/>
      <c r="CE53" s="1470"/>
      <c r="CG53" s="1207" t="s">
        <v>2292</v>
      </c>
      <c r="CH53" s="1211" t="s">
        <v>2141</v>
      </c>
      <c r="CI53" s="1208" t="s">
        <v>2144</v>
      </c>
      <c r="CJ53" s="1689">
        <f t="shared" si="19"/>
        <v>0</v>
      </c>
      <c r="CK53" s="1689">
        <f t="shared" si="20"/>
        <v>0</v>
      </c>
      <c r="CL53" s="1689">
        <f t="shared" si="21"/>
        <v>0</v>
      </c>
      <c r="CM53" s="1689">
        <f t="shared" si="22"/>
        <v>0</v>
      </c>
      <c r="CN53" s="1689">
        <f t="shared" si="23"/>
        <v>0</v>
      </c>
      <c r="CO53" s="1689">
        <f t="shared" si="24"/>
        <v>0</v>
      </c>
      <c r="CP53" s="1689">
        <f t="shared" si="25"/>
        <v>0</v>
      </c>
      <c r="CQ53" s="1690">
        <f t="shared" si="26"/>
        <v>0</v>
      </c>
      <c r="CR53" s="1689">
        <f t="shared" si="27"/>
        <v>0</v>
      </c>
      <c r="CS53" s="1689">
        <f t="shared" si="28"/>
        <v>0</v>
      </c>
      <c r="CT53" s="1689">
        <f t="shared" si="13"/>
        <v>0</v>
      </c>
      <c r="CU53" s="1689">
        <f t="shared" si="14"/>
        <v>0</v>
      </c>
      <c r="CV53" s="1689">
        <f t="shared" si="15"/>
        <v>0</v>
      </c>
      <c r="CX53" s="1207" t="s">
        <v>2292</v>
      </c>
      <c r="CY53" s="1211" t="s">
        <v>2141</v>
      </c>
      <c r="CZ53" s="1208" t="s">
        <v>2144</v>
      </c>
      <c r="DA53" s="1678">
        <f t="shared" si="29"/>
        <v>0</v>
      </c>
      <c r="DB53" s="1678"/>
      <c r="DC53" s="1678"/>
      <c r="DD53" s="1678"/>
      <c r="DE53" s="1678"/>
      <c r="DF53" s="1678"/>
      <c r="DG53" s="1678"/>
      <c r="DH53" s="1794"/>
      <c r="DI53" s="1678"/>
      <c r="DJ53" s="1678"/>
      <c r="DK53" s="1678"/>
      <c r="DL53" s="1678"/>
      <c r="DM53" s="1678"/>
    </row>
    <row r="54" spans="2:117">
      <c r="B54" s="1186">
        <f t="shared" si="68"/>
        <v>4.2</v>
      </c>
      <c r="C54" s="1208" t="str">
        <f t="shared" si="1"/>
        <v>換気</v>
      </c>
      <c r="D54" s="1205">
        <f>IF(I$48=0,0,G54/I$48)</f>
        <v>0.3</v>
      </c>
      <c r="E54" s="1206">
        <f>IF(J$48=0,0,H54/J$48)</f>
        <v>0</v>
      </c>
      <c r="G54" s="1206">
        <f t="shared" si="64"/>
        <v>0.3</v>
      </c>
      <c r="H54" s="1206">
        <f t="shared" si="65"/>
        <v>0</v>
      </c>
      <c r="I54" s="1206">
        <f>SUM(G55:G58)</f>
        <v>1</v>
      </c>
      <c r="J54" s="1206">
        <f>SUM(H55:H58)</f>
        <v>0</v>
      </c>
      <c r="K54" s="1206">
        <f>IF(スコア!Q54=0,0,1)</f>
        <v>1</v>
      </c>
      <c r="L54" s="1206">
        <f>IF(スコア!S54=0,0,1)</f>
        <v>0</v>
      </c>
      <c r="M54" s="1206">
        <f t="shared" si="66"/>
        <v>0.3</v>
      </c>
      <c r="N54" s="1206">
        <f t="shared" si="67"/>
        <v>0</v>
      </c>
      <c r="P54" s="1207">
        <f t="shared" si="6"/>
        <v>4.2</v>
      </c>
      <c r="Q54" s="1207" t="str">
        <f t="shared" si="7"/>
        <v xml:space="preserve"> Q1 4</v>
      </c>
      <c r="R54" s="1208" t="str">
        <f t="shared" si="8"/>
        <v>換気</v>
      </c>
      <c r="S54" s="1747">
        <f t="shared" si="16"/>
        <v>0.3</v>
      </c>
      <c r="T54" s="1747">
        <f t="shared" si="32"/>
        <v>0.3</v>
      </c>
      <c r="U54" s="1747">
        <f t="shared" si="33"/>
        <v>0.3</v>
      </c>
      <c r="V54" s="1747">
        <f t="shared" si="34"/>
        <v>0.3</v>
      </c>
      <c r="W54" s="1747">
        <f t="shared" si="35"/>
        <v>0.3</v>
      </c>
      <c r="X54" s="1747">
        <f t="shared" si="36"/>
        <v>0.3</v>
      </c>
      <c r="Y54" s="1747">
        <f t="shared" si="37"/>
        <v>0.4</v>
      </c>
      <c r="Z54" s="1749">
        <f t="shared" si="38"/>
        <v>0.3</v>
      </c>
      <c r="AA54" s="1747">
        <f t="shared" si="17"/>
        <v>0.3</v>
      </c>
      <c r="AB54" s="1747">
        <f t="shared" si="10"/>
        <v>0.3</v>
      </c>
      <c r="AC54" s="1748">
        <f t="shared" si="11"/>
        <v>0.375</v>
      </c>
      <c r="AD54" s="1747">
        <f t="shared" si="12"/>
        <v>0.375</v>
      </c>
      <c r="AE54" s="1747">
        <f t="shared" si="18"/>
        <v>0.375</v>
      </c>
      <c r="AG54" s="1207">
        <v>4.2</v>
      </c>
      <c r="AH54" s="1211" t="s">
        <v>2140</v>
      </c>
      <c r="AI54" s="1208" t="s">
        <v>838</v>
      </c>
      <c r="AJ54" s="1241">
        <v>0.3</v>
      </c>
      <c r="AK54" s="1241">
        <v>0.3</v>
      </c>
      <c r="AL54" s="1241">
        <v>0.3</v>
      </c>
      <c r="AM54" s="1241">
        <v>0.3</v>
      </c>
      <c r="AN54" s="1241">
        <v>0.3</v>
      </c>
      <c r="AO54" s="1241">
        <v>0.3</v>
      </c>
      <c r="AP54" s="1241">
        <v>0.4</v>
      </c>
      <c r="AQ54" s="1242">
        <v>0.3</v>
      </c>
      <c r="AR54" s="1241">
        <v>0.3</v>
      </c>
      <c r="AS54" s="1213">
        <v>0.3</v>
      </c>
      <c r="AT54" s="1214">
        <v>0.375</v>
      </c>
      <c r="AU54" s="1213">
        <v>0.375</v>
      </c>
      <c r="AV54" s="1213">
        <v>0.375</v>
      </c>
      <c r="AX54" s="1207">
        <v>4.2</v>
      </c>
      <c r="AY54" s="1211" t="s">
        <v>2140</v>
      </c>
      <c r="AZ54" s="1208" t="s">
        <v>838</v>
      </c>
      <c r="BA54" s="1213">
        <v>0.3</v>
      </c>
      <c r="BB54" s="1213">
        <v>0.3</v>
      </c>
      <c r="BC54" s="1213">
        <v>0.3</v>
      </c>
      <c r="BD54" s="1213">
        <v>0.3</v>
      </c>
      <c r="BE54" s="1213">
        <v>0.3</v>
      </c>
      <c r="BF54" s="1213">
        <v>0.3</v>
      </c>
      <c r="BG54" s="1213">
        <v>0.4</v>
      </c>
      <c r="BH54" s="1220">
        <v>0.3</v>
      </c>
      <c r="BI54" s="1213">
        <v>0.3</v>
      </c>
      <c r="BJ54" s="1213">
        <v>0.3</v>
      </c>
      <c r="BK54" s="1214">
        <v>0.375</v>
      </c>
      <c r="BL54" s="1213">
        <v>0.375</v>
      </c>
      <c r="BM54" s="1213">
        <v>0.375</v>
      </c>
      <c r="BO54" s="1207">
        <v>4.2</v>
      </c>
      <c r="BP54" s="1211" t="s">
        <v>2140</v>
      </c>
      <c r="BQ54" s="1208" t="s">
        <v>838</v>
      </c>
      <c r="BR54" s="1241">
        <v>0.3</v>
      </c>
      <c r="BS54" s="1241">
        <v>0.3</v>
      </c>
      <c r="BT54" s="1241">
        <v>0.3</v>
      </c>
      <c r="BU54" s="1241">
        <v>0.3</v>
      </c>
      <c r="BV54" s="1241">
        <v>0.3</v>
      </c>
      <c r="BW54" s="1241">
        <v>0.3</v>
      </c>
      <c r="BX54" s="1241">
        <v>0.4</v>
      </c>
      <c r="BY54" s="1576">
        <v>0.3</v>
      </c>
      <c r="BZ54" s="1241">
        <v>0.3</v>
      </c>
      <c r="CA54" s="1241">
        <v>0.3</v>
      </c>
      <c r="CB54" s="1243">
        <v>0.375</v>
      </c>
      <c r="CC54" s="1241">
        <v>0.375</v>
      </c>
      <c r="CD54" s="1241">
        <v>0.375</v>
      </c>
      <c r="CE54" s="1470"/>
      <c r="CG54" s="1207">
        <v>4.2</v>
      </c>
      <c r="CH54" s="1211" t="s">
        <v>2140</v>
      </c>
      <c r="CI54" s="1208" t="s">
        <v>838</v>
      </c>
      <c r="CJ54" s="1689">
        <f t="shared" si="19"/>
        <v>0.3</v>
      </c>
      <c r="CK54" s="1689">
        <f t="shared" si="20"/>
        <v>0.3</v>
      </c>
      <c r="CL54" s="1689">
        <f t="shared" si="21"/>
        <v>0.3</v>
      </c>
      <c r="CM54" s="1689">
        <f t="shared" si="22"/>
        <v>0.3</v>
      </c>
      <c r="CN54" s="1689">
        <f t="shared" si="23"/>
        <v>0.3</v>
      </c>
      <c r="CO54" s="1689">
        <f t="shared" si="24"/>
        <v>0.3</v>
      </c>
      <c r="CP54" s="1689">
        <f t="shared" si="25"/>
        <v>0.4</v>
      </c>
      <c r="CQ54" s="1692">
        <f t="shared" si="26"/>
        <v>0.3</v>
      </c>
      <c r="CR54" s="1689">
        <f t="shared" si="27"/>
        <v>0.3</v>
      </c>
      <c r="CS54" s="1689">
        <f t="shared" si="28"/>
        <v>0.3</v>
      </c>
      <c r="CT54" s="1691">
        <f t="shared" si="13"/>
        <v>0.375</v>
      </c>
      <c r="CU54" s="1689">
        <f t="shared" si="14"/>
        <v>0.375</v>
      </c>
      <c r="CV54" s="1689">
        <f t="shared" si="15"/>
        <v>0.375</v>
      </c>
      <c r="CX54" s="1207">
        <v>4.2</v>
      </c>
      <c r="CY54" s="1211" t="s">
        <v>2140</v>
      </c>
      <c r="CZ54" s="1208" t="s">
        <v>838</v>
      </c>
      <c r="DA54" s="1678">
        <f t="shared" si="29"/>
        <v>0.3</v>
      </c>
      <c r="DB54" s="1678"/>
      <c r="DC54" s="1678"/>
      <c r="DD54" s="1678"/>
      <c r="DE54" s="1678"/>
      <c r="DF54" s="1678"/>
      <c r="DG54" s="1678"/>
      <c r="DH54" s="1802"/>
      <c r="DI54" s="1678"/>
      <c r="DJ54" s="1678"/>
      <c r="DK54" s="1795"/>
      <c r="DL54" s="1678"/>
      <c r="DM54" s="1678"/>
    </row>
    <row r="55" spans="2:117">
      <c r="B55" s="1186" t="str">
        <f t="shared" si="68"/>
        <v>4.2.1</v>
      </c>
      <c r="C55" s="1208" t="str">
        <f t="shared" si="1"/>
        <v>換気量</v>
      </c>
      <c r="D55" s="1196">
        <f t="shared" ref="D55:E58" si="70">IF(I$54&gt;0,G55/I$54,0)</f>
        <v>0.33333333333333331</v>
      </c>
      <c r="E55" s="1206">
        <f t="shared" si="70"/>
        <v>0</v>
      </c>
      <c r="G55" s="1206">
        <f t="shared" si="64"/>
        <v>0.33333333333333331</v>
      </c>
      <c r="H55" s="1206">
        <f t="shared" si="65"/>
        <v>0</v>
      </c>
      <c r="I55" s="1206"/>
      <c r="J55" s="1206"/>
      <c r="K55" s="1206">
        <f>IF(スコア!Q55=0,0,1)</f>
        <v>1</v>
      </c>
      <c r="L55" s="1206">
        <f>IF(スコア!S55=0,0,1)</f>
        <v>1</v>
      </c>
      <c r="M55" s="1206">
        <f t="shared" si="66"/>
        <v>0.33333333333333331</v>
      </c>
      <c r="N55" s="1206">
        <f t="shared" si="67"/>
        <v>0</v>
      </c>
      <c r="P55" s="1207" t="str">
        <f t="shared" si="6"/>
        <v>4.2.1</v>
      </c>
      <c r="Q55" s="1207" t="str">
        <f t="shared" si="7"/>
        <v xml:space="preserve"> Q1 4.2</v>
      </c>
      <c r="R55" s="1208" t="str">
        <f t="shared" si="8"/>
        <v>換気量</v>
      </c>
      <c r="S55" s="1747">
        <f t="shared" si="16"/>
        <v>0.33333333333333331</v>
      </c>
      <c r="T55" s="1747">
        <f t="shared" si="32"/>
        <v>0.33333333333333331</v>
      </c>
      <c r="U55" s="1747">
        <f t="shared" si="33"/>
        <v>0.5</v>
      </c>
      <c r="V55" s="1747">
        <f t="shared" si="34"/>
        <v>0.5</v>
      </c>
      <c r="W55" s="1747">
        <f t="shared" si="35"/>
        <v>0.5</v>
      </c>
      <c r="X55" s="1747">
        <f t="shared" si="36"/>
        <v>0.5</v>
      </c>
      <c r="Y55" s="1747">
        <f t="shared" si="37"/>
        <v>0.5</v>
      </c>
      <c r="Z55" s="1749">
        <f t="shared" si="38"/>
        <v>0.33333333333333331</v>
      </c>
      <c r="AA55" s="1747">
        <f t="shared" si="17"/>
        <v>0.33333333333333331</v>
      </c>
      <c r="AB55" s="1747">
        <f t="shared" si="10"/>
        <v>0.33333333333333331</v>
      </c>
      <c r="AC55" s="1748">
        <f t="shared" si="11"/>
        <v>0.33333333333333331</v>
      </c>
      <c r="AD55" s="1747">
        <f t="shared" si="12"/>
        <v>0.33333333333333331</v>
      </c>
      <c r="AE55" s="1747">
        <f t="shared" si="18"/>
        <v>0.33333333333333331</v>
      </c>
      <c r="AG55" s="1207" t="s">
        <v>2293</v>
      </c>
      <c r="AH55" s="1211" t="s">
        <v>2145</v>
      </c>
      <c r="AI55" s="1208" t="s">
        <v>2146</v>
      </c>
      <c r="AJ55" s="1241">
        <v>0.25</v>
      </c>
      <c r="AK55" s="1241">
        <v>0.25</v>
      </c>
      <c r="AL55" s="1244">
        <v>0.33333333333333331</v>
      </c>
      <c r="AM55" s="1244">
        <v>0.33333333333333331</v>
      </c>
      <c r="AN55" s="1244">
        <v>0.33333333333333331</v>
      </c>
      <c r="AO55" s="1244">
        <v>0.33333333333333331</v>
      </c>
      <c r="AP55" s="1241"/>
      <c r="AQ55" s="1244">
        <v>0.33333333333333331</v>
      </c>
      <c r="AR55" s="1241">
        <v>0.25</v>
      </c>
      <c r="AS55" s="1213">
        <v>0.25</v>
      </c>
      <c r="AT55" s="1214">
        <v>0.25</v>
      </c>
      <c r="AU55" s="1213">
        <v>0.25</v>
      </c>
      <c r="AV55" s="1213"/>
      <c r="AX55" s="1207" t="s">
        <v>2293</v>
      </c>
      <c r="AY55" s="1211" t="s">
        <v>2145</v>
      </c>
      <c r="AZ55" s="1208" t="s">
        <v>2146</v>
      </c>
      <c r="BA55" s="1213">
        <v>0.33333333333333331</v>
      </c>
      <c r="BB55" s="1213">
        <v>0.33333333333333331</v>
      </c>
      <c r="BC55" s="1213">
        <v>0.5</v>
      </c>
      <c r="BD55" s="1213">
        <v>0.5</v>
      </c>
      <c r="BE55" s="1213">
        <v>0.5</v>
      </c>
      <c r="BF55" s="1213">
        <v>0.5</v>
      </c>
      <c r="BG55" s="1213">
        <v>0.5</v>
      </c>
      <c r="BH55" s="1220">
        <v>0.5</v>
      </c>
      <c r="BI55" s="1213">
        <v>0.33333333333333331</v>
      </c>
      <c r="BJ55" s="1213">
        <v>0.33333333333333331</v>
      </c>
      <c r="BK55" s="1214">
        <v>0.33333333333333331</v>
      </c>
      <c r="BL55" s="1213">
        <v>0.33333333333333331</v>
      </c>
      <c r="BM55" s="1213">
        <v>0.33333333333333331</v>
      </c>
      <c r="BO55" s="1207" t="s">
        <v>2293</v>
      </c>
      <c r="BP55" s="1211" t="s">
        <v>2145</v>
      </c>
      <c r="BQ55" s="1208" t="s">
        <v>2146</v>
      </c>
      <c r="BR55" s="1816">
        <f>0.25/(0.25+0.25+0.25)</f>
        <v>0.33333333333333331</v>
      </c>
      <c r="BS55" s="1816">
        <f t="shared" ref="BS55:BS57" si="71">0.25/(0.25+0.25+0.25)</f>
        <v>0.33333333333333331</v>
      </c>
      <c r="BT55" s="1816">
        <f>0.33/(0.33+0.33)</f>
        <v>0.5</v>
      </c>
      <c r="BU55" s="1816">
        <f>0.33/(0.33+0.33)</f>
        <v>0.5</v>
      </c>
      <c r="BV55" s="1816">
        <f>0.33/(0.33+0.33)</f>
        <v>0.5</v>
      </c>
      <c r="BW55" s="1816">
        <f>0.33/(0.33+0.33)</f>
        <v>0.5</v>
      </c>
      <c r="BX55" s="1241">
        <v>0.5</v>
      </c>
      <c r="BY55" s="1816">
        <f t="shared" ref="BY55:CD57" si="72">0.25/(0.25+0.25+0.25)</f>
        <v>0.33333333333333331</v>
      </c>
      <c r="BZ55" s="1816">
        <f t="shared" si="72"/>
        <v>0.33333333333333331</v>
      </c>
      <c r="CA55" s="1816">
        <f t="shared" si="72"/>
        <v>0.33333333333333331</v>
      </c>
      <c r="CB55" s="1816">
        <f t="shared" si="72"/>
        <v>0.33333333333333331</v>
      </c>
      <c r="CC55" s="1816">
        <f t="shared" si="72"/>
        <v>0.33333333333333331</v>
      </c>
      <c r="CD55" s="1816">
        <f t="shared" si="72"/>
        <v>0.33333333333333331</v>
      </c>
      <c r="CE55" s="1470"/>
      <c r="CG55" s="1207" t="s">
        <v>1337</v>
      </c>
      <c r="CH55" s="1211" t="s">
        <v>2145</v>
      </c>
      <c r="CI55" s="1208" t="s">
        <v>2146</v>
      </c>
      <c r="CJ55" s="1689">
        <f t="shared" si="19"/>
        <v>0.33333333333333331</v>
      </c>
      <c r="CK55" s="1689">
        <f t="shared" si="20"/>
        <v>0.33333333333333331</v>
      </c>
      <c r="CL55" s="1689">
        <f t="shared" si="21"/>
        <v>0.5</v>
      </c>
      <c r="CM55" s="1689">
        <f t="shared" si="22"/>
        <v>0.5</v>
      </c>
      <c r="CN55" s="1689">
        <f t="shared" si="23"/>
        <v>0.5</v>
      </c>
      <c r="CO55" s="1689">
        <f t="shared" si="24"/>
        <v>0.5</v>
      </c>
      <c r="CP55" s="1689">
        <f t="shared" si="25"/>
        <v>0.5</v>
      </c>
      <c r="CQ55" s="1690">
        <f t="shared" si="26"/>
        <v>0.33333333333333331</v>
      </c>
      <c r="CR55" s="1689">
        <f t="shared" si="27"/>
        <v>0.33333333333333331</v>
      </c>
      <c r="CS55" s="1689">
        <f t="shared" si="28"/>
        <v>0.33333333333333331</v>
      </c>
      <c r="CT55" s="1691">
        <f t="shared" si="13"/>
        <v>0.33333333333333331</v>
      </c>
      <c r="CU55" s="1689">
        <f t="shared" si="14"/>
        <v>0.33333333333333331</v>
      </c>
      <c r="CV55" s="1689">
        <f t="shared" si="15"/>
        <v>0.33333333333333331</v>
      </c>
      <c r="CX55" s="1207" t="s">
        <v>1337</v>
      </c>
      <c r="CY55" s="1211" t="s">
        <v>2145</v>
      </c>
      <c r="CZ55" s="1208" t="s">
        <v>2146</v>
      </c>
      <c r="DA55" s="1678">
        <f t="shared" si="29"/>
        <v>0.33333333333333331</v>
      </c>
      <c r="DB55" s="1678"/>
      <c r="DC55" s="1678"/>
      <c r="DD55" s="1678"/>
      <c r="DE55" s="1678"/>
      <c r="DF55" s="1678"/>
      <c r="DG55" s="1678"/>
      <c r="DH55" s="1794"/>
      <c r="DI55" s="1678"/>
      <c r="DJ55" s="1678"/>
      <c r="DK55" s="1795"/>
      <c r="DL55" s="1678"/>
      <c r="DM55" s="1678"/>
    </row>
    <row r="56" spans="2:117">
      <c r="B56" s="1186" t="str">
        <f t="shared" si="68"/>
        <v>4.2.2</v>
      </c>
      <c r="C56" s="1208" t="str">
        <f t="shared" si="1"/>
        <v>自然換気性能</v>
      </c>
      <c r="D56" s="1196">
        <f t="shared" si="70"/>
        <v>0.33333333333333331</v>
      </c>
      <c r="E56" s="1206">
        <f t="shared" si="70"/>
        <v>0</v>
      </c>
      <c r="G56" s="1206">
        <f t="shared" si="64"/>
        <v>0.33333333333333331</v>
      </c>
      <c r="H56" s="1206">
        <f t="shared" si="65"/>
        <v>0</v>
      </c>
      <c r="I56" s="1206"/>
      <c r="J56" s="1206"/>
      <c r="K56" s="1206">
        <f>IF(スコア!Q56=0,0,1)</f>
        <v>1</v>
      </c>
      <c r="L56" s="1206">
        <f>IF(スコア!S56=0,0,1)</f>
        <v>1</v>
      </c>
      <c r="M56" s="1206">
        <f t="shared" si="66"/>
        <v>0.33333333333333331</v>
      </c>
      <c r="N56" s="1206">
        <f t="shared" si="67"/>
        <v>0</v>
      </c>
      <c r="P56" s="1207" t="str">
        <f t="shared" si="6"/>
        <v>4.2.2</v>
      </c>
      <c r="Q56" s="1207" t="str">
        <f t="shared" si="7"/>
        <v xml:space="preserve"> Q1 4.2</v>
      </c>
      <c r="R56" s="1208" t="str">
        <f t="shared" si="8"/>
        <v>自然換気性能</v>
      </c>
      <c r="S56" s="1747">
        <f t="shared" si="16"/>
        <v>0.33333333333333331</v>
      </c>
      <c r="T56" s="1747">
        <f t="shared" si="32"/>
        <v>0.33333333333333331</v>
      </c>
      <c r="U56" s="1747">
        <f t="shared" si="33"/>
        <v>0</v>
      </c>
      <c r="V56" s="1747">
        <f t="shared" si="34"/>
        <v>0</v>
      </c>
      <c r="W56" s="1747">
        <f t="shared" si="35"/>
        <v>0</v>
      </c>
      <c r="X56" s="1747">
        <f t="shared" si="36"/>
        <v>0</v>
      </c>
      <c r="Y56" s="1747">
        <f t="shared" si="37"/>
        <v>0</v>
      </c>
      <c r="Z56" s="1749">
        <f t="shared" si="38"/>
        <v>0.33333333333333331</v>
      </c>
      <c r="AA56" s="1747">
        <f t="shared" si="17"/>
        <v>0.33333333333333331</v>
      </c>
      <c r="AB56" s="1747">
        <f t="shared" si="10"/>
        <v>0.33333333333333331</v>
      </c>
      <c r="AC56" s="1748">
        <f t="shared" si="11"/>
        <v>0.33333333333333331</v>
      </c>
      <c r="AD56" s="1747">
        <f t="shared" si="12"/>
        <v>0.33333333333333331</v>
      </c>
      <c r="AE56" s="1747">
        <f t="shared" si="18"/>
        <v>0.33333333333333331</v>
      </c>
      <c r="AG56" s="1207" t="s">
        <v>2294</v>
      </c>
      <c r="AH56" s="1211" t="s">
        <v>2145</v>
      </c>
      <c r="AI56" s="1208" t="s">
        <v>2147</v>
      </c>
      <c r="AJ56" s="1241">
        <v>0.25</v>
      </c>
      <c r="AK56" s="1241">
        <v>0.25</v>
      </c>
      <c r="AL56" s="1241"/>
      <c r="AM56" s="1241"/>
      <c r="AN56" s="1241"/>
      <c r="AO56" s="1241"/>
      <c r="AP56" s="1241"/>
      <c r="AQ56" s="1242"/>
      <c r="AR56" s="1241">
        <v>0.25</v>
      </c>
      <c r="AS56" s="1213">
        <v>0.25</v>
      </c>
      <c r="AT56" s="1214">
        <v>0.25</v>
      </c>
      <c r="AU56" s="1213">
        <v>0.25</v>
      </c>
      <c r="AV56" s="1213">
        <v>0.33</v>
      </c>
      <c r="AX56" s="1207" t="s">
        <v>2294</v>
      </c>
      <c r="AY56" s="1211" t="s">
        <v>2145</v>
      </c>
      <c r="AZ56" s="1208" t="s">
        <v>2147</v>
      </c>
      <c r="BA56" s="1213">
        <v>0.33333333333333331</v>
      </c>
      <c r="BB56" s="1213">
        <v>0.33333333333333331</v>
      </c>
      <c r="BC56" s="1213"/>
      <c r="BD56" s="1213"/>
      <c r="BE56" s="1213"/>
      <c r="BF56" s="1213"/>
      <c r="BG56" s="1213"/>
      <c r="BH56" s="1220"/>
      <c r="BI56" s="1213">
        <v>0.33333333333333331</v>
      </c>
      <c r="BJ56" s="1213">
        <v>0.33333333333333331</v>
      </c>
      <c r="BK56" s="1214">
        <v>0.33333333333333331</v>
      </c>
      <c r="BL56" s="1213">
        <v>0.33333333333333331</v>
      </c>
      <c r="BM56" s="1213">
        <v>0.33333333333333331</v>
      </c>
      <c r="BO56" s="1207" t="s">
        <v>2294</v>
      </c>
      <c r="BP56" s="1211" t="s">
        <v>2145</v>
      </c>
      <c r="BQ56" s="1208" t="s">
        <v>2147</v>
      </c>
      <c r="BR56" s="1816">
        <f t="shared" ref="BR56:BR57" si="73">0.25/(0.25+0.25+0.25)</f>
        <v>0.33333333333333331</v>
      </c>
      <c r="BS56" s="1816">
        <f t="shared" si="71"/>
        <v>0.33333333333333331</v>
      </c>
      <c r="BT56" s="1241"/>
      <c r="BU56" s="1241"/>
      <c r="BV56" s="1241"/>
      <c r="BW56" s="1241"/>
      <c r="BX56" s="1241"/>
      <c r="BY56" s="1816">
        <f t="shared" si="72"/>
        <v>0.33333333333333331</v>
      </c>
      <c r="BZ56" s="1816">
        <f t="shared" si="72"/>
        <v>0.33333333333333331</v>
      </c>
      <c r="CA56" s="1816">
        <f t="shared" si="72"/>
        <v>0.33333333333333331</v>
      </c>
      <c r="CB56" s="1816">
        <f t="shared" si="72"/>
        <v>0.33333333333333331</v>
      </c>
      <c r="CC56" s="1816">
        <f t="shared" si="72"/>
        <v>0.33333333333333331</v>
      </c>
      <c r="CD56" s="1816">
        <f t="shared" si="72"/>
        <v>0.33333333333333331</v>
      </c>
      <c r="CE56" s="1470"/>
      <c r="CG56" s="1207" t="s">
        <v>1338</v>
      </c>
      <c r="CH56" s="1211" t="s">
        <v>2145</v>
      </c>
      <c r="CI56" s="1208" t="s">
        <v>2147</v>
      </c>
      <c r="CJ56" s="1689">
        <f t="shared" si="19"/>
        <v>0.33333333333333331</v>
      </c>
      <c r="CK56" s="1689">
        <f t="shared" si="20"/>
        <v>0.33333333333333331</v>
      </c>
      <c r="CL56" s="1689">
        <f t="shared" si="21"/>
        <v>0</v>
      </c>
      <c r="CM56" s="1689">
        <f t="shared" si="22"/>
        <v>0</v>
      </c>
      <c r="CN56" s="1689">
        <f t="shared" si="23"/>
        <v>0</v>
      </c>
      <c r="CO56" s="1689">
        <f t="shared" si="24"/>
        <v>0</v>
      </c>
      <c r="CP56" s="1689">
        <f t="shared" si="25"/>
        <v>0</v>
      </c>
      <c r="CQ56" s="1692">
        <f t="shared" si="26"/>
        <v>0.33333333333333331</v>
      </c>
      <c r="CR56" s="1689">
        <f t="shared" si="27"/>
        <v>0.33333333333333331</v>
      </c>
      <c r="CS56" s="1689">
        <f t="shared" si="28"/>
        <v>0.33333333333333331</v>
      </c>
      <c r="CT56" s="1691">
        <f t="shared" si="13"/>
        <v>0.33333333333333331</v>
      </c>
      <c r="CU56" s="1689">
        <f t="shared" si="14"/>
        <v>0.33333333333333331</v>
      </c>
      <c r="CV56" s="1689">
        <f t="shared" si="15"/>
        <v>0.33333333333333331</v>
      </c>
      <c r="CX56" s="1207" t="s">
        <v>1338</v>
      </c>
      <c r="CY56" s="1211" t="s">
        <v>2145</v>
      </c>
      <c r="CZ56" s="1208" t="s">
        <v>2147</v>
      </c>
      <c r="DA56" s="1678">
        <f t="shared" si="29"/>
        <v>0.33333333333333331</v>
      </c>
      <c r="DB56" s="1678"/>
      <c r="DC56" s="1678"/>
      <c r="DD56" s="1678"/>
      <c r="DE56" s="1678"/>
      <c r="DF56" s="1678"/>
      <c r="DG56" s="1678"/>
      <c r="DH56" s="1802"/>
      <c r="DI56" s="1678"/>
      <c r="DJ56" s="1678"/>
      <c r="DK56" s="1795"/>
      <c r="DL56" s="1678"/>
      <c r="DM56" s="1678"/>
    </row>
    <row r="57" spans="2:117">
      <c r="B57" s="1186" t="str">
        <f t="shared" si="68"/>
        <v>4.2.3</v>
      </c>
      <c r="C57" s="1208" t="str">
        <f t="shared" si="1"/>
        <v>取り入れ外気への配慮</v>
      </c>
      <c r="D57" s="1196">
        <f t="shared" si="70"/>
        <v>0.33333333333333331</v>
      </c>
      <c r="E57" s="1206">
        <f t="shared" si="70"/>
        <v>0</v>
      </c>
      <c r="G57" s="1206">
        <f t="shared" si="64"/>
        <v>0.33333333333333331</v>
      </c>
      <c r="H57" s="1206">
        <f t="shared" si="65"/>
        <v>0</v>
      </c>
      <c r="I57" s="1206"/>
      <c r="J57" s="1206"/>
      <c r="K57" s="1206">
        <f>IF(スコア!Q57=0,0,1)</f>
        <v>1</v>
      </c>
      <c r="L57" s="1206">
        <f>IF(スコア!S57=0,0,1)</f>
        <v>1</v>
      </c>
      <c r="M57" s="1206">
        <f t="shared" si="66"/>
        <v>0.33333333333333331</v>
      </c>
      <c r="N57" s="1206">
        <f t="shared" si="67"/>
        <v>0</v>
      </c>
      <c r="P57" s="1207" t="str">
        <f t="shared" si="6"/>
        <v>4.2.3</v>
      </c>
      <c r="Q57" s="1207" t="str">
        <f t="shared" si="7"/>
        <v xml:space="preserve"> Q1 4.2</v>
      </c>
      <c r="R57" s="1208" t="str">
        <f t="shared" si="8"/>
        <v>取り入れ外気への配慮</v>
      </c>
      <c r="S57" s="1747">
        <f t="shared" si="16"/>
        <v>0.33333333333333331</v>
      </c>
      <c r="T57" s="1747">
        <f t="shared" si="32"/>
        <v>0.33333333333333331</v>
      </c>
      <c r="U57" s="1747">
        <f t="shared" si="33"/>
        <v>0.5</v>
      </c>
      <c r="V57" s="1747">
        <f t="shared" si="34"/>
        <v>0.5</v>
      </c>
      <c r="W57" s="1747">
        <f t="shared" si="35"/>
        <v>0.5</v>
      </c>
      <c r="X57" s="1747">
        <f t="shared" si="36"/>
        <v>0.5</v>
      </c>
      <c r="Y57" s="1747">
        <f t="shared" si="37"/>
        <v>0.5</v>
      </c>
      <c r="Z57" s="1749">
        <f t="shared" si="38"/>
        <v>0.33333333333333331</v>
      </c>
      <c r="AA57" s="1747">
        <f t="shared" si="17"/>
        <v>0.33333333333333331</v>
      </c>
      <c r="AB57" s="1747">
        <f t="shared" si="10"/>
        <v>0.33333333333333331</v>
      </c>
      <c r="AC57" s="1748">
        <f t="shared" si="11"/>
        <v>0.33333333333333331</v>
      </c>
      <c r="AD57" s="1747">
        <f t="shared" si="12"/>
        <v>0.33333333333333331</v>
      </c>
      <c r="AE57" s="1747">
        <f t="shared" si="18"/>
        <v>0.33333333333333331</v>
      </c>
      <c r="AG57" s="1207" t="s">
        <v>2295</v>
      </c>
      <c r="AH57" s="1211" t="s">
        <v>2145</v>
      </c>
      <c r="AI57" s="1208" t="s">
        <v>2148</v>
      </c>
      <c r="AJ57" s="1241">
        <v>0.25</v>
      </c>
      <c r="AK57" s="1241">
        <v>0.25</v>
      </c>
      <c r="AL57" s="1244">
        <v>0.33333333333333331</v>
      </c>
      <c r="AM57" s="1244">
        <v>0.33333333333333331</v>
      </c>
      <c r="AN57" s="1244">
        <v>0.33333333333333331</v>
      </c>
      <c r="AO57" s="1244">
        <v>0.33333333333333331</v>
      </c>
      <c r="AP57" s="1241">
        <v>1</v>
      </c>
      <c r="AQ57" s="1244">
        <v>0.33333333333333331</v>
      </c>
      <c r="AR57" s="1241">
        <v>0.25</v>
      </c>
      <c r="AS57" s="1213">
        <v>0.25</v>
      </c>
      <c r="AT57" s="1214">
        <v>0.25</v>
      </c>
      <c r="AU57" s="1213">
        <v>0.25</v>
      </c>
      <c r="AV57" s="1213">
        <v>0.33</v>
      </c>
      <c r="AX57" s="1207" t="s">
        <v>2295</v>
      </c>
      <c r="AY57" s="1211" t="s">
        <v>2145</v>
      </c>
      <c r="AZ57" s="1208" t="s">
        <v>2148</v>
      </c>
      <c r="BA57" s="1213">
        <v>0.33333333333333331</v>
      </c>
      <c r="BB57" s="1213">
        <v>0.33333333333333331</v>
      </c>
      <c r="BC57" s="1213">
        <v>0.5</v>
      </c>
      <c r="BD57" s="1213">
        <v>0.5</v>
      </c>
      <c r="BE57" s="1213">
        <v>0.5</v>
      </c>
      <c r="BF57" s="1213">
        <v>0.5</v>
      </c>
      <c r="BG57" s="1213">
        <v>0.5</v>
      </c>
      <c r="BH57" s="1220">
        <v>0.5</v>
      </c>
      <c r="BI57" s="1213">
        <v>0.33333333333333331</v>
      </c>
      <c r="BJ57" s="1213">
        <v>0.33333333333333331</v>
      </c>
      <c r="BK57" s="1214">
        <v>0.33333333333333331</v>
      </c>
      <c r="BL57" s="1213">
        <v>0.33333333333333331</v>
      </c>
      <c r="BM57" s="1213">
        <v>0.33333333333333331</v>
      </c>
      <c r="BO57" s="1207" t="s">
        <v>2295</v>
      </c>
      <c r="BP57" s="1211" t="s">
        <v>2145</v>
      </c>
      <c r="BQ57" s="1208" t="s">
        <v>2148</v>
      </c>
      <c r="BR57" s="1816">
        <f t="shared" si="73"/>
        <v>0.33333333333333331</v>
      </c>
      <c r="BS57" s="1816">
        <f t="shared" si="71"/>
        <v>0.33333333333333331</v>
      </c>
      <c r="BT57" s="1816">
        <f>0.33/(0.33+0.33)</f>
        <v>0.5</v>
      </c>
      <c r="BU57" s="1816">
        <f>0.33/(0.33+0.33)</f>
        <v>0.5</v>
      </c>
      <c r="BV57" s="1816">
        <f>0.33/(0.33+0.33)</f>
        <v>0.5</v>
      </c>
      <c r="BW57" s="1816">
        <f>0.33/(0.33+0.33)</f>
        <v>0.5</v>
      </c>
      <c r="BX57" s="1241">
        <v>0.5</v>
      </c>
      <c r="BY57" s="1816">
        <f t="shared" si="72"/>
        <v>0.33333333333333331</v>
      </c>
      <c r="BZ57" s="1816">
        <f t="shared" si="72"/>
        <v>0.33333333333333331</v>
      </c>
      <c r="CA57" s="1816">
        <f t="shared" si="72"/>
        <v>0.33333333333333331</v>
      </c>
      <c r="CB57" s="1816">
        <f t="shared" si="72"/>
        <v>0.33333333333333331</v>
      </c>
      <c r="CC57" s="1816">
        <f t="shared" si="72"/>
        <v>0.33333333333333331</v>
      </c>
      <c r="CD57" s="1816">
        <f t="shared" si="72"/>
        <v>0.33333333333333331</v>
      </c>
      <c r="CE57" s="1470"/>
      <c r="CG57" s="1207" t="s">
        <v>2295</v>
      </c>
      <c r="CH57" s="1211" t="s">
        <v>2145</v>
      </c>
      <c r="CI57" s="1208" t="s">
        <v>2148</v>
      </c>
      <c r="CJ57" s="1689">
        <f t="shared" si="19"/>
        <v>0.33333333333333331</v>
      </c>
      <c r="CK57" s="1689">
        <f t="shared" si="20"/>
        <v>0.33333333333333331</v>
      </c>
      <c r="CL57" s="1689">
        <f t="shared" si="21"/>
        <v>0.5</v>
      </c>
      <c r="CM57" s="1689">
        <f t="shared" si="22"/>
        <v>0.5</v>
      </c>
      <c r="CN57" s="1689">
        <f t="shared" si="23"/>
        <v>0.5</v>
      </c>
      <c r="CO57" s="1689">
        <f t="shared" si="24"/>
        <v>0.5</v>
      </c>
      <c r="CP57" s="1689">
        <f t="shared" si="25"/>
        <v>0.5</v>
      </c>
      <c r="CQ57" s="1690">
        <f t="shared" si="26"/>
        <v>0.33333333333333331</v>
      </c>
      <c r="CR57" s="1689">
        <f t="shared" si="27"/>
        <v>0.33333333333333331</v>
      </c>
      <c r="CS57" s="1689">
        <f t="shared" si="28"/>
        <v>0.33333333333333331</v>
      </c>
      <c r="CT57" s="1691">
        <f t="shared" si="13"/>
        <v>0.33333333333333331</v>
      </c>
      <c r="CU57" s="1689">
        <f t="shared" si="14"/>
        <v>0.33333333333333331</v>
      </c>
      <c r="CV57" s="1689">
        <f t="shared" si="15"/>
        <v>0.33333333333333331</v>
      </c>
      <c r="CX57" s="1207" t="s">
        <v>2295</v>
      </c>
      <c r="CY57" s="1211" t="s">
        <v>2145</v>
      </c>
      <c r="CZ57" s="1208" t="s">
        <v>2148</v>
      </c>
      <c r="DA57" s="1678">
        <f t="shared" si="29"/>
        <v>0.33333333333333331</v>
      </c>
      <c r="DB57" s="1678"/>
      <c r="DC57" s="1678"/>
      <c r="DD57" s="1678"/>
      <c r="DE57" s="1678"/>
      <c r="DF57" s="1678"/>
      <c r="DG57" s="1678"/>
      <c r="DH57" s="1794"/>
      <c r="DI57" s="1678"/>
      <c r="DJ57" s="1678"/>
      <c r="DK57" s="1795"/>
      <c r="DL57" s="1678"/>
      <c r="DM57" s="1678"/>
    </row>
    <row r="58" spans="2:117" hidden="1">
      <c r="B58" s="1186" t="str">
        <f t="shared" si="68"/>
        <v>4.2.4</v>
      </c>
      <c r="C58" s="1230">
        <f t="shared" si="1"/>
        <v>0</v>
      </c>
      <c r="D58" s="1227">
        <f t="shared" si="70"/>
        <v>0</v>
      </c>
      <c r="E58" s="1228">
        <f t="shared" si="70"/>
        <v>0</v>
      </c>
      <c r="G58" s="1228">
        <f t="shared" si="64"/>
        <v>0</v>
      </c>
      <c r="H58" s="1228">
        <f t="shared" si="65"/>
        <v>0</v>
      </c>
      <c r="I58" s="1228"/>
      <c r="J58" s="1228"/>
      <c r="K58" s="1228">
        <f>IF(スコア!Q58=0,0,1)</f>
        <v>0</v>
      </c>
      <c r="L58" s="1228">
        <f>IF(スコア!S58=0,0,1)</f>
        <v>0</v>
      </c>
      <c r="M58" s="1228">
        <f t="shared" si="66"/>
        <v>0</v>
      </c>
      <c r="N58" s="1228">
        <f t="shared" si="67"/>
        <v>0</v>
      </c>
      <c r="P58" s="1229" t="str">
        <f t="shared" si="6"/>
        <v>4.2.4</v>
      </c>
      <c r="Q58" s="1229" t="str">
        <f t="shared" si="7"/>
        <v xml:space="preserve"> Q1 4.2</v>
      </c>
      <c r="R58" s="1230">
        <f t="shared" si="8"/>
        <v>0</v>
      </c>
      <c r="S58" s="1753">
        <f t="shared" si="16"/>
        <v>0</v>
      </c>
      <c r="T58" s="1753">
        <f t="shared" si="32"/>
        <v>0</v>
      </c>
      <c r="U58" s="1753">
        <f t="shared" si="33"/>
        <v>0</v>
      </c>
      <c r="V58" s="1753">
        <f t="shared" si="34"/>
        <v>0</v>
      </c>
      <c r="W58" s="1753">
        <f t="shared" si="35"/>
        <v>0</v>
      </c>
      <c r="X58" s="1753">
        <f t="shared" si="36"/>
        <v>0</v>
      </c>
      <c r="Y58" s="1753">
        <f t="shared" si="37"/>
        <v>0</v>
      </c>
      <c r="Z58" s="1754">
        <f t="shared" si="38"/>
        <v>0</v>
      </c>
      <c r="AA58" s="1753">
        <f t="shared" si="17"/>
        <v>0</v>
      </c>
      <c r="AB58" s="1753">
        <f t="shared" si="10"/>
        <v>0</v>
      </c>
      <c r="AC58" s="1755">
        <f t="shared" si="11"/>
        <v>0</v>
      </c>
      <c r="AD58" s="1753">
        <f t="shared" si="12"/>
        <v>0</v>
      </c>
      <c r="AE58" s="1753">
        <f t="shared" si="18"/>
        <v>0</v>
      </c>
      <c r="AG58" s="1207" t="s">
        <v>2296</v>
      </c>
      <c r="AH58" s="1211" t="s">
        <v>2145</v>
      </c>
      <c r="AI58" s="1208" t="s">
        <v>2297</v>
      </c>
      <c r="AJ58" s="1236">
        <v>0.25</v>
      </c>
      <c r="AK58" s="1236">
        <v>0.25</v>
      </c>
      <c r="AL58" s="1245">
        <v>0.33333333333333331</v>
      </c>
      <c r="AM58" s="1245">
        <v>0.33333333333333331</v>
      </c>
      <c r="AN58" s="1245">
        <v>0.33333333333333331</v>
      </c>
      <c r="AO58" s="1245">
        <v>0.33333333333333331</v>
      </c>
      <c r="AP58" s="1236"/>
      <c r="AQ58" s="1245">
        <v>0.33333333333333331</v>
      </c>
      <c r="AR58" s="1236">
        <v>0.25</v>
      </c>
      <c r="AS58" s="1213">
        <v>0.25</v>
      </c>
      <c r="AT58" s="1214">
        <v>0.25</v>
      </c>
      <c r="AU58" s="1213">
        <v>0.25</v>
      </c>
      <c r="AV58" s="1213">
        <v>0.33</v>
      </c>
      <c r="AX58" s="1207" t="s">
        <v>2296</v>
      </c>
      <c r="AY58" s="1211" t="s">
        <v>2145</v>
      </c>
      <c r="AZ58" s="1208" t="s">
        <v>2297</v>
      </c>
      <c r="BA58" s="1213"/>
      <c r="BB58" s="1213"/>
      <c r="BC58" s="1213"/>
      <c r="BD58" s="1213"/>
      <c r="BE58" s="1213"/>
      <c r="BF58" s="1213"/>
      <c r="BG58" s="1213"/>
      <c r="BH58" s="1220"/>
      <c r="BI58" s="1213"/>
      <c r="BJ58" s="1213"/>
      <c r="BK58" s="1214"/>
      <c r="BL58" s="1213"/>
      <c r="BM58" s="1213"/>
      <c r="BO58" s="1229" t="s">
        <v>2296</v>
      </c>
      <c r="BP58" s="1232" t="s">
        <v>2145</v>
      </c>
      <c r="BQ58" s="1230"/>
      <c r="BR58" s="1236"/>
      <c r="BS58" s="1236"/>
      <c r="BT58" s="1236"/>
      <c r="BU58" s="1236"/>
      <c r="BV58" s="1236"/>
      <c r="BW58" s="1236"/>
      <c r="BX58" s="1236"/>
      <c r="BY58" s="1236"/>
      <c r="BZ58" s="1236"/>
      <c r="CA58" s="1236"/>
      <c r="CB58" s="1238"/>
      <c r="CC58" s="1236"/>
      <c r="CD58" s="1236"/>
      <c r="CE58" s="1470"/>
      <c r="CG58" s="1229" t="s">
        <v>2296</v>
      </c>
      <c r="CH58" s="1232" t="s">
        <v>2145</v>
      </c>
      <c r="CI58" s="1230"/>
      <c r="CJ58" s="1696"/>
      <c r="CK58" s="1696"/>
      <c r="CL58" s="1696"/>
      <c r="CM58" s="1696"/>
      <c r="CN58" s="1696"/>
      <c r="CO58" s="1696"/>
      <c r="CP58" s="1696"/>
      <c r="CQ58" s="1696"/>
      <c r="CR58" s="1696"/>
      <c r="CS58" s="1696"/>
      <c r="CT58" s="1698"/>
      <c r="CU58" s="1696"/>
      <c r="CV58" s="1696"/>
      <c r="CX58" s="1229"/>
      <c r="CY58" s="1232"/>
      <c r="CZ58" s="1230"/>
      <c r="DA58" s="1799"/>
      <c r="DB58" s="1799"/>
      <c r="DC58" s="1799"/>
      <c r="DD58" s="1799"/>
      <c r="DE58" s="1799"/>
      <c r="DF58" s="1799"/>
      <c r="DG58" s="1799"/>
      <c r="DH58" s="1799"/>
      <c r="DI58" s="1799"/>
      <c r="DJ58" s="1799"/>
      <c r="DK58" s="1801"/>
      <c r="DL58" s="1799"/>
      <c r="DM58" s="1799"/>
    </row>
    <row r="59" spans="2:117">
      <c r="B59" s="1186">
        <f t="shared" si="68"/>
        <v>4.3</v>
      </c>
      <c r="C59" s="1208" t="str">
        <f t="shared" si="1"/>
        <v>運用管理</v>
      </c>
      <c r="D59" s="1205">
        <f>IF(I$48=0,0,G59/I$48)</f>
        <v>0.2</v>
      </c>
      <c r="E59" s="1206">
        <f>IF(J$48=0,0,H59/J$48)</f>
        <v>0</v>
      </c>
      <c r="G59" s="1206">
        <f t="shared" si="64"/>
        <v>0.2</v>
      </c>
      <c r="H59" s="1206">
        <f t="shared" si="65"/>
        <v>0</v>
      </c>
      <c r="I59" s="1206">
        <f>G60+G61</f>
        <v>1</v>
      </c>
      <c r="J59" s="1206">
        <f>H60+H61</f>
        <v>0</v>
      </c>
      <c r="K59" s="1206">
        <f>IF(スコア!Q59=0,0,1)</f>
        <v>1</v>
      </c>
      <c r="L59" s="1206">
        <f>IF(スコア!S59=0,0,1)</f>
        <v>0</v>
      </c>
      <c r="M59" s="1206">
        <f t="shared" si="66"/>
        <v>0.2</v>
      </c>
      <c r="N59" s="1206">
        <f t="shared" si="67"/>
        <v>0</v>
      </c>
      <c r="P59" s="1207">
        <f t="shared" si="6"/>
        <v>4.3</v>
      </c>
      <c r="Q59" s="1207" t="str">
        <f t="shared" si="7"/>
        <v xml:space="preserve"> Q1 4</v>
      </c>
      <c r="R59" s="1208" t="str">
        <f t="shared" si="8"/>
        <v>運用管理</v>
      </c>
      <c r="S59" s="1747">
        <f t="shared" si="16"/>
        <v>0.2</v>
      </c>
      <c r="T59" s="1747">
        <f t="shared" si="32"/>
        <v>0.2</v>
      </c>
      <c r="U59" s="1747">
        <f t="shared" si="33"/>
        <v>0.2</v>
      </c>
      <c r="V59" s="1747">
        <f t="shared" si="34"/>
        <v>0.2</v>
      </c>
      <c r="W59" s="1747">
        <f t="shared" si="35"/>
        <v>0.2</v>
      </c>
      <c r="X59" s="1747">
        <f t="shared" si="36"/>
        <v>0.2</v>
      </c>
      <c r="Y59" s="1747">
        <f t="shared" si="37"/>
        <v>0</v>
      </c>
      <c r="Z59" s="1749">
        <f t="shared" si="38"/>
        <v>0.2</v>
      </c>
      <c r="AA59" s="1747">
        <f t="shared" si="17"/>
        <v>0.2</v>
      </c>
      <c r="AB59" s="1747">
        <f t="shared" si="10"/>
        <v>0.2</v>
      </c>
      <c r="AC59" s="1748">
        <f t="shared" si="11"/>
        <v>0</v>
      </c>
      <c r="AD59" s="1747">
        <f t="shared" si="12"/>
        <v>0</v>
      </c>
      <c r="AE59" s="1747">
        <f t="shared" si="18"/>
        <v>0</v>
      </c>
      <c r="AG59" s="1207">
        <v>4.3</v>
      </c>
      <c r="AH59" s="1211" t="s">
        <v>2140</v>
      </c>
      <c r="AI59" s="1208" t="s">
        <v>1973</v>
      </c>
      <c r="AJ59" s="1241">
        <v>0.2</v>
      </c>
      <c r="AK59" s="1241">
        <v>0.2</v>
      </c>
      <c r="AL59" s="1241">
        <v>0.2</v>
      </c>
      <c r="AM59" s="1241">
        <v>0.2</v>
      </c>
      <c r="AN59" s="1241">
        <v>0.2</v>
      </c>
      <c r="AO59" s="1241">
        <v>0.2</v>
      </c>
      <c r="AP59" s="1241"/>
      <c r="AQ59" s="1242">
        <v>0.2</v>
      </c>
      <c r="AR59" s="1241">
        <v>0.2</v>
      </c>
      <c r="AS59" s="1213">
        <v>0.2</v>
      </c>
      <c r="AT59" s="1214"/>
      <c r="AU59" s="1213"/>
      <c r="AV59" s="1213"/>
      <c r="AX59" s="1207">
        <v>4.3</v>
      </c>
      <c r="AY59" s="1211" t="s">
        <v>2140</v>
      </c>
      <c r="AZ59" s="1208" t="s">
        <v>1973</v>
      </c>
      <c r="BA59" s="1213">
        <v>0.2</v>
      </c>
      <c r="BB59" s="1213">
        <v>0.2</v>
      </c>
      <c r="BC59" s="1213">
        <v>0.2</v>
      </c>
      <c r="BD59" s="1213">
        <v>0.2</v>
      </c>
      <c r="BE59" s="1213">
        <v>0.2</v>
      </c>
      <c r="BF59" s="1213">
        <v>0.2</v>
      </c>
      <c r="BG59" s="1213"/>
      <c r="BH59" s="1220">
        <v>0.2</v>
      </c>
      <c r="BI59" s="1213">
        <v>0.2</v>
      </c>
      <c r="BJ59" s="1213">
        <v>0.2</v>
      </c>
      <c r="BK59" s="1214"/>
      <c r="BL59" s="1213"/>
      <c r="BM59" s="1213"/>
      <c r="BO59" s="1207">
        <v>4.3</v>
      </c>
      <c r="BP59" s="1211" t="s">
        <v>2140</v>
      </c>
      <c r="BQ59" s="1208" t="s">
        <v>1973</v>
      </c>
      <c r="BR59" s="1241">
        <v>0.2</v>
      </c>
      <c r="BS59" s="1241">
        <v>0.2</v>
      </c>
      <c r="BT59" s="1241">
        <v>0.2</v>
      </c>
      <c r="BU59" s="1241">
        <v>0.2</v>
      </c>
      <c r="BV59" s="1241">
        <v>0.2</v>
      </c>
      <c r="BW59" s="1241">
        <v>0.2</v>
      </c>
      <c r="BX59" s="1241"/>
      <c r="BY59" s="1576">
        <v>0.2</v>
      </c>
      <c r="BZ59" s="1241">
        <v>0.2</v>
      </c>
      <c r="CA59" s="1241">
        <v>0.2</v>
      </c>
      <c r="CB59" s="1243"/>
      <c r="CC59" s="1241"/>
      <c r="CD59" s="1241"/>
      <c r="CE59" s="1470"/>
      <c r="CG59" s="1207">
        <v>4.3</v>
      </c>
      <c r="CH59" s="1211" t="s">
        <v>2140</v>
      </c>
      <c r="CI59" s="1208" t="s">
        <v>1973</v>
      </c>
      <c r="CJ59" s="1689">
        <f t="shared" si="19"/>
        <v>0.2</v>
      </c>
      <c r="CK59" s="1689">
        <f t="shared" si="20"/>
        <v>0.2</v>
      </c>
      <c r="CL59" s="1689">
        <f t="shared" si="21"/>
        <v>0.2</v>
      </c>
      <c r="CM59" s="1689">
        <f t="shared" si="22"/>
        <v>0.2</v>
      </c>
      <c r="CN59" s="1689">
        <f t="shared" si="23"/>
        <v>0.2</v>
      </c>
      <c r="CO59" s="1689">
        <f t="shared" si="24"/>
        <v>0.2</v>
      </c>
      <c r="CP59" s="1689">
        <f t="shared" si="25"/>
        <v>0</v>
      </c>
      <c r="CQ59" s="1692">
        <f t="shared" si="26"/>
        <v>0.2</v>
      </c>
      <c r="CR59" s="1689">
        <f t="shared" si="27"/>
        <v>0.2</v>
      </c>
      <c r="CS59" s="1689">
        <f t="shared" si="28"/>
        <v>0.2</v>
      </c>
      <c r="CT59" s="1691">
        <f t="shared" si="13"/>
        <v>0</v>
      </c>
      <c r="CU59" s="1689">
        <f t="shared" si="14"/>
        <v>0</v>
      </c>
      <c r="CV59" s="1689">
        <f t="shared" si="15"/>
        <v>0</v>
      </c>
      <c r="CX59" s="1207">
        <v>4.3</v>
      </c>
      <c r="CY59" s="1211" t="s">
        <v>2140</v>
      </c>
      <c r="CZ59" s="1208" t="s">
        <v>1973</v>
      </c>
      <c r="DA59" s="1678">
        <f t="shared" si="29"/>
        <v>0.2</v>
      </c>
      <c r="DB59" s="1678"/>
      <c r="DC59" s="1678"/>
      <c r="DD59" s="1678"/>
      <c r="DE59" s="1678"/>
      <c r="DF59" s="1678"/>
      <c r="DG59" s="1678"/>
      <c r="DH59" s="1802"/>
      <c r="DI59" s="1678"/>
      <c r="DJ59" s="1678"/>
      <c r="DK59" s="1795"/>
      <c r="DL59" s="1678"/>
      <c r="DM59" s="1678"/>
    </row>
    <row r="60" spans="2:117">
      <c r="B60" s="1186" t="str">
        <f t="shared" si="68"/>
        <v>4.3.1</v>
      </c>
      <c r="C60" s="1208" t="str">
        <f t="shared" si="1"/>
        <v>CO2の監視</v>
      </c>
      <c r="D60" s="1196">
        <f>IF(I$59&gt;0,G60/I$59,0)</f>
        <v>0.5</v>
      </c>
      <c r="E60" s="1206">
        <f>IF(J$59&gt;0,H60/J$59,0)</f>
        <v>0</v>
      </c>
      <c r="G60" s="1206">
        <f t="shared" si="64"/>
        <v>0.5</v>
      </c>
      <c r="H60" s="1206">
        <f t="shared" si="65"/>
        <v>0</v>
      </c>
      <c r="I60" s="1206"/>
      <c r="J60" s="1206"/>
      <c r="K60" s="1206">
        <f>IF(スコア!Q60=0,0,1)</f>
        <v>1</v>
      </c>
      <c r="L60" s="1206">
        <f>IF(スコア!S60=0,0,1)</f>
        <v>0</v>
      </c>
      <c r="M60" s="1206">
        <f t="shared" si="66"/>
        <v>0.5</v>
      </c>
      <c r="N60" s="1206">
        <f t="shared" si="67"/>
        <v>0</v>
      </c>
      <c r="P60" s="1207" t="str">
        <f t="shared" si="6"/>
        <v>4.3.1</v>
      </c>
      <c r="Q60" s="1207" t="str">
        <f t="shared" si="7"/>
        <v xml:space="preserve"> Q1 4.3</v>
      </c>
      <c r="R60" s="1208" t="str">
        <f t="shared" si="8"/>
        <v>CO2の監視</v>
      </c>
      <c r="S60" s="1747">
        <f t="shared" si="16"/>
        <v>0.5</v>
      </c>
      <c r="T60" s="1747">
        <f t="shared" si="32"/>
        <v>0.5</v>
      </c>
      <c r="U60" s="1747">
        <f t="shared" si="33"/>
        <v>0.5</v>
      </c>
      <c r="V60" s="1747">
        <f t="shared" si="34"/>
        <v>0.5</v>
      </c>
      <c r="W60" s="1747">
        <f t="shared" si="35"/>
        <v>0</v>
      </c>
      <c r="X60" s="1747">
        <f t="shared" si="36"/>
        <v>0</v>
      </c>
      <c r="Y60" s="1747">
        <f t="shared" si="37"/>
        <v>0</v>
      </c>
      <c r="Z60" s="1749">
        <f t="shared" si="38"/>
        <v>0.5</v>
      </c>
      <c r="AA60" s="1747">
        <f t="shared" si="17"/>
        <v>0.5</v>
      </c>
      <c r="AB60" s="1747">
        <f t="shared" si="10"/>
        <v>0.5</v>
      </c>
      <c r="AC60" s="1748">
        <f t="shared" si="11"/>
        <v>0</v>
      </c>
      <c r="AD60" s="1747">
        <f t="shared" si="12"/>
        <v>0</v>
      </c>
      <c r="AE60" s="1747">
        <f t="shared" si="18"/>
        <v>0</v>
      </c>
      <c r="AG60" s="1207" t="s">
        <v>2298</v>
      </c>
      <c r="AH60" s="1211" t="s">
        <v>2149</v>
      </c>
      <c r="AI60" s="1208" t="s">
        <v>2299</v>
      </c>
      <c r="AJ60" s="1241">
        <v>0.5</v>
      </c>
      <c r="AK60" s="1241">
        <v>0.5</v>
      </c>
      <c r="AL60" s="1241">
        <v>0.5</v>
      </c>
      <c r="AM60" s="1241">
        <v>0.5</v>
      </c>
      <c r="AN60" s="1241"/>
      <c r="AO60" s="1241"/>
      <c r="AP60" s="1241"/>
      <c r="AQ60" s="1242">
        <v>0.5</v>
      </c>
      <c r="AR60" s="1241">
        <v>0.5</v>
      </c>
      <c r="AS60" s="1213">
        <v>0.5</v>
      </c>
      <c r="AT60" s="1214"/>
      <c r="AU60" s="1213"/>
      <c r="AV60" s="1213"/>
      <c r="AX60" s="1207" t="s">
        <v>2298</v>
      </c>
      <c r="AY60" s="1211" t="s">
        <v>2149</v>
      </c>
      <c r="AZ60" s="1208" t="s">
        <v>2299</v>
      </c>
      <c r="BA60" s="1213">
        <v>0.5</v>
      </c>
      <c r="BB60" s="1213">
        <v>0.5</v>
      </c>
      <c r="BC60" s="1213">
        <v>0.5</v>
      </c>
      <c r="BD60" s="1213">
        <v>0.5</v>
      </c>
      <c r="BE60" s="1213"/>
      <c r="BF60" s="1213"/>
      <c r="BG60" s="1213"/>
      <c r="BH60" s="1220">
        <v>0.5</v>
      </c>
      <c r="BI60" s="1213">
        <v>0.5</v>
      </c>
      <c r="BJ60" s="1213">
        <v>0.5</v>
      </c>
      <c r="BK60" s="1214"/>
      <c r="BL60" s="1213"/>
      <c r="BM60" s="1213"/>
      <c r="BO60" s="1207" t="s">
        <v>2298</v>
      </c>
      <c r="BP60" s="1211" t="s">
        <v>2149</v>
      </c>
      <c r="BQ60" s="1208" t="s">
        <v>2299</v>
      </c>
      <c r="BR60" s="1241">
        <v>0.5</v>
      </c>
      <c r="BS60" s="1241">
        <v>0.5</v>
      </c>
      <c r="BT60" s="1241">
        <v>0.5</v>
      </c>
      <c r="BU60" s="1241">
        <v>0.5</v>
      </c>
      <c r="BV60" s="1241"/>
      <c r="BW60" s="1241"/>
      <c r="BX60" s="1241"/>
      <c r="BY60" s="1576">
        <v>0.5</v>
      </c>
      <c r="BZ60" s="1241">
        <v>0.5</v>
      </c>
      <c r="CA60" s="1241">
        <v>0.5</v>
      </c>
      <c r="CB60" s="1243"/>
      <c r="CC60" s="1241"/>
      <c r="CD60" s="1241"/>
      <c r="CE60" s="1470"/>
      <c r="CG60" s="1207" t="s">
        <v>2298</v>
      </c>
      <c r="CH60" s="1211" t="s">
        <v>2149</v>
      </c>
      <c r="CI60" s="1208" t="s">
        <v>2299</v>
      </c>
      <c r="CJ60" s="1689">
        <f t="shared" si="19"/>
        <v>0.5</v>
      </c>
      <c r="CK60" s="1689">
        <f t="shared" si="20"/>
        <v>0.5</v>
      </c>
      <c r="CL60" s="1689">
        <f t="shared" si="21"/>
        <v>0.5</v>
      </c>
      <c r="CM60" s="1689">
        <f t="shared" si="22"/>
        <v>0.5</v>
      </c>
      <c r="CN60" s="1689">
        <f t="shared" si="23"/>
        <v>0</v>
      </c>
      <c r="CO60" s="1689">
        <f t="shared" si="24"/>
        <v>0</v>
      </c>
      <c r="CP60" s="1689">
        <f t="shared" si="25"/>
        <v>0</v>
      </c>
      <c r="CQ60" s="1692">
        <f t="shared" si="26"/>
        <v>0.5</v>
      </c>
      <c r="CR60" s="1689">
        <f t="shared" si="27"/>
        <v>0.5</v>
      </c>
      <c r="CS60" s="1689">
        <f t="shared" si="28"/>
        <v>0.5</v>
      </c>
      <c r="CT60" s="1691">
        <f t="shared" si="13"/>
        <v>0</v>
      </c>
      <c r="CU60" s="1689">
        <f t="shared" si="14"/>
        <v>0</v>
      </c>
      <c r="CV60" s="1689">
        <f t="shared" si="15"/>
        <v>0</v>
      </c>
      <c r="CX60" s="1207" t="s">
        <v>2298</v>
      </c>
      <c r="CY60" s="1211" t="s">
        <v>2149</v>
      </c>
      <c r="CZ60" s="1208" t="s">
        <v>2299</v>
      </c>
      <c r="DA60" s="1678">
        <f t="shared" si="29"/>
        <v>0.5</v>
      </c>
      <c r="DB60" s="1678"/>
      <c r="DC60" s="1678"/>
      <c r="DD60" s="1678"/>
      <c r="DE60" s="1678"/>
      <c r="DF60" s="1678"/>
      <c r="DG60" s="1678"/>
      <c r="DH60" s="1802"/>
      <c r="DI60" s="1678"/>
      <c r="DJ60" s="1678"/>
      <c r="DK60" s="1795"/>
      <c r="DL60" s="1678"/>
      <c r="DM60" s="1678"/>
    </row>
    <row r="61" spans="2:117">
      <c r="B61" s="1186" t="str">
        <f t="shared" si="68"/>
        <v>4.3.2</v>
      </c>
      <c r="C61" s="1208" t="str">
        <f t="shared" si="1"/>
        <v>喫煙の制御</v>
      </c>
      <c r="D61" s="1196">
        <f>IF(I$59&gt;0,G61/I$59,0)</f>
        <v>0.5</v>
      </c>
      <c r="E61" s="1206">
        <f>IF(J$59&gt;0,H61/J$59,0)</f>
        <v>0</v>
      </c>
      <c r="G61" s="1206">
        <f t="shared" si="64"/>
        <v>0.5</v>
      </c>
      <c r="H61" s="1206">
        <f t="shared" si="65"/>
        <v>0</v>
      </c>
      <c r="I61" s="1206"/>
      <c r="J61" s="1206"/>
      <c r="K61" s="1206">
        <f>IF(スコア!Q61=0,0,1)</f>
        <v>1</v>
      </c>
      <c r="L61" s="1206">
        <f>IF(スコア!S61=0,0,1)</f>
        <v>0</v>
      </c>
      <c r="M61" s="1206">
        <f t="shared" si="66"/>
        <v>0.5</v>
      </c>
      <c r="N61" s="1206">
        <f t="shared" si="67"/>
        <v>0</v>
      </c>
      <c r="P61" s="1207" t="str">
        <f t="shared" si="6"/>
        <v>4.3.2</v>
      </c>
      <c r="Q61" s="1207" t="str">
        <f t="shared" si="7"/>
        <v xml:space="preserve"> Q1 4.3</v>
      </c>
      <c r="R61" s="1208" t="str">
        <f t="shared" si="8"/>
        <v>喫煙の制御</v>
      </c>
      <c r="S61" s="1747">
        <f t="shared" si="16"/>
        <v>0.5</v>
      </c>
      <c r="T61" s="1747">
        <f t="shared" si="32"/>
        <v>0.5</v>
      </c>
      <c r="U61" s="1747">
        <f t="shared" si="33"/>
        <v>0.5</v>
      </c>
      <c r="V61" s="1747">
        <f t="shared" si="34"/>
        <v>0.5</v>
      </c>
      <c r="W61" s="1747">
        <f t="shared" si="35"/>
        <v>1</v>
      </c>
      <c r="X61" s="1747">
        <f t="shared" si="36"/>
        <v>1</v>
      </c>
      <c r="Y61" s="1747">
        <f t="shared" si="37"/>
        <v>0</v>
      </c>
      <c r="Z61" s="1749">
        <f t="shared" si="38"/>
        <v>0.5</v>
      </c>
      <c r="AA61" s="1747">
        <f t="shared" si="17"/>
        <v>0.5</v>
      </c>
      <c r="AB61" s="1747">
        <f t="shared" si="10"/>
        <v>0.5</v>
      </c>
      <c r="AC61" s="1748">
        <f t="shared" si="11"/>
        <v>0</v>
      </c>
      <c r="AD61" s="1747">
        <f t="shared" si="12"/>
        <v>0</v>
      </c>
      <c r="AE61" s="1747">
        <f t="shared" si="18"/>
        <v>0</v>
      </c>
      <c r="AG61" s="1207" t="s">
        <v>2300</v>
      </c>
      <c r="AH61" s="1211" t="s">
        <v>2149</v>
      </c>
      <c r="AI61" s="1208" t="s">
        <v>2301</v>
      </c>
      <c r="AJ61" s="1241">
        <v>0.5</v>
      </c>
      <c r="AK61" s="1241">
        <v>0.5</v>
      </c>
      <c r="AL61" s="1241">
        <v>0.5</v>
      </c>
      <c r="AM61" s="1241">
        <v>0.5</v>
      </c>
      <c r="AN61" s="1241">
        <v>1</v>
      </c>
      <c r="AO61" s="1241">
        <v>1</v>
      </c>
      <c r="AP61" s="1241"/>
      <c r="AQ61" s="1242">
        <v>0.5</v>
      </c>
      <c r="AR61" s="1241">
        <v>0.5</v>
      </c>
      <c r="AS61" s="1213">
        <v>0.5</v>
      </c>
      <c r="AT61" s="1214"/>
      <c r="AU61" s="1213"/>
      <c r="AV61" s="1213"/>
      <c r="AX61" s="1207" t="s">
        <v>2300</v>
      </c>
      <c r="AY61" s="1211" t="s">
        <v>2149</v>
      </c>
      <c r="AZ61" s="1208" t="s">
        <v>2301</v>
      </c>
      <c r="BA61" s="1213">
        <v>0.5</v>
      </c>
      <c r="BB61" s="1213">
        <v>0.5</v>
      </c>
      <c r="BC61" s="1213">
        <v>0.5</v>
      </c>
      <c r="BD61" s="1213">
        <v>0.5</v>
      </c>
      <c r="BE61" s="1213">
        <v>1</v>
      </c>
      <c r="BF61" s="1213">
        <v>1</v>
      </c>
      <c r="BG61" s="1213"/>
      <c r="BH61" s="1220">
        <v>0.5</v>
      </c>
      <c r="BI61" s="1213">
        <v>0.5</v>
      </c>
      <c r="BJ61" s="1213">
        <v>0.5</v>
      </c>
      <c r="BK61" s="1214"/>
      <c r="BL61" s="1213"/>
      <c r="BM61" s="1213"/>
      <c r="BO61" s="1207" t="s">
        <v>2300</v>
      </c>
      <c r="BP61" s="1211" t="s">
        <v>2149</v>
      </c>
      <c r="BQ61" s="1208" t="s">
        <v>2301</v>
      </c>
      <c r="BR61" s="1241">
        <v>0.5</v>
      </c>
      <c r="BS61" s="1241">
        <v>0.5</v>
      </c>
      <c r="BT61" s="1241">
        <v>0.5</v>
      </c>
      <c r="BU61" s="1241">
        <v>0.5</v>
      </c>
      <c r="BV61" s="1241">
        <v>1</v>
      </c>
      <c r="BW61" s="1241">
        <v>1</v>
      </c>
      <c r="BX61" s="1241"/>
      <c r="BY61" s="1576">
        <v>0.5</v>
      </c>
      <c r="BZ61" s="1241">
        <v>0.5</v>
      </c>
      <c r="CA61" s="1241">
        <v>0.5</v>
      </c>
      <c r="CB61" s="1243"/>
      <c r="CC61" s="1241"/>
      <c r="CD61" s="1241"/>
      <c r="CE61" s="1470"/>
      <c r="CG61" s="1207" t="s">
        <v>2300</v>
      </c>
      <c r="CH61" s="1211" t="s">
        <v>2149</v>
      </c>
      <c r="CI61" s="1208" t="s">
        <v>2301</v>
      </c>
      <c r="CJ61" s="1689">
        <f t="shared" si="19"/>
        <v>0.5</v>
      </c>
      <c r="CK61" s="1689">
        <f t="shared" si="20"/>
        <v>0.5</v>
      </c>
      <c r="CL61" s="1689">
        <f t="shared" si="21"/>
        <v>0.5</v>
      </c>
      <c r="CM61" s="1689">
        <f t="shared" si="22"/>
        <v>0.5</v>
      </c>
      <c r="CN61" s="1689">
        <f t="shared" si="23"/>
        <v>1</v>
      </c>
      <c r="CO61" s="1689">
        <f t="shared" si="24"/>
        <v>1</v>
      </c>
      <c r="CP61" s="1689">
        <f t="shared" si="25"/>
        <v>0</v>
      </c>
      <c r="CQ61" s="1692">
        <f t="shared" si="26"/>
        <v>0.5</v>
      </c>
      <c r="CR61" s="1689">
        <f t="shared" si="27"/>
        <v>0.5</v>
      </c>
      <c r="CS61" s="1689">
        <f t="shared" si="28"/>
        <v>0.5</v>
      </c>
      <c r="CT61" s="1691">
        <f t="shared" si="13"/>
        <v>0</v>
      </c>
      <c r="CU61" s="1689">
        <f t="shared" si="14"/>
        <v>0</v>
      </c>
      <c r="CV61" s="1689">
        <f t="shared" si="15"/>
        <v>0</v>
      </c>
      <c r="CX61" s="1207" t="s">
        <v>2300</v>
      </c>
      <c r="CY61" s="1211" t="s">
        <v>2149</v>
      </c>
      <c r="CZ61" s="1208" t="s">
        <v>2301</v>
      </c>
      <c r="DA61" s="1678">
        <f t="shared" si="29"/>
        <v>0.5</v>
      </c>
      <c r="DB61" s="1678"/>
      <c r="DC61" s="1678"/>
      <c r="DD61" s="1678"/>
      <c r="DE61" s="1678"/>
      <c r="DF61" s="1678"/>
      <c r="DG61" s="1678"/>
      <c r="DH61" s="1802"/>
      <c r="DI61" s="1678"/>
      <c r="DJ61" s="1678"/>
      <c r="DK61" s="1795"/>
      <c r="DL61" s="1678"/>
      <c r="DM61" s="1678"/>
    </row>
    <row r="62" spans="2:117">
      <c r="B62" s="1186" t="str">
        <f t="shared" si="68"/>
        <v>Q2</v>
      </c>
      <c r="C62" s="1189" t="str">
        <f t="shared" si="1"/>
        <v>サービス性能</v>
      </c>
      <c r="D62" s="1187">
        <f>IF(I$8=0,0,G62/I$8)</f>
        <v>0.3</v>
      </c>
      <c r="E62" s="1188">
        <f>IF(J$8=0,0,H62/J$8)</f>
        <v>0</v>
      </c>
      <c r="G62" s="1188">
        <f t="shared" si="64"/>
        <v>0.3</v>
      </c>
      <c r="H62" s="1188">
        <f t="shared" si="65"/>
        <v>0</v>
      </c>
      <c r="I62" s="1188">
        <f>G63+G78+G100</f>
        <v>1</v>
      </c>
      <c r="J62" s="1188">
        <f>H63+H78+H100</f>
        <v>0</v>
      </c>
      <c r="K62" s="1188">
        <f>IF(スコア!U62=0,0,1)</f>
        <v>1</v>
      </c>
      <c r="L62" s="1188">
        <f>IF(スコア!S62=0,0,1)</f>
        <v>0</v>
      </c>
      <c r="M62" s="1188">
        <f t="shared" si="66"/>
        <v>0.3</v>
      </c>
      <c r="N62" s="1188">
        <f t="shared" si="67"/>
        <v>0</v>
      </c>
      <c r="P62" s="1186" t="str">
        <f t="shared" si="6"/>
        <v>Q2</v>
      </c>
      <c r="Q62" s="1186" t="str">
        <f t="shared" si="7"/>
        <v xml:space="preserve"> Q</v>
      </c>
      <c r="R62" s="1189" t="str">
        <f t="shared" si="8"/>
        <v>サービス性能</v>
      </c>
      <c r="S62" s="1741">
        <f t="shared" si="16"/>
        <v>0.3</v>
      </c>
      <c r="T62" s="1741">
        <f t="shared" si="32"/>
        <v>0.3</v>
      </c>
      <c r="U62" s="1741">
        <f t="shared" si="33"/>
        <v>0.3</v>
      </c>
      <c r="V62" s="1741">
        <f t="shared" si="34"/>
        <v>0.3</v>
      </c>
      <c r="W62" s="1741">
        <f t="shared" si="35"/>
        <v>0.3</v>
      </c>
      <c r="X62" s="1741">
        <f t="shared" si="36"/>
        <v>0.3</v>
      </c>
      <c r="Y62" s="1741">
        <f t="shared" si="37"/>
        <v>0.3</v>
      </c>
      <c r="Z62" s="1741">
        <f t="shared" si="38"/>
        <v>0.3</v>
      </c>
      <c r="AA62" s="1741">
        <f t="shared" si="17"/>
        <v>0.3</v>
      </c>
      <c r="AB62" s="1741">
        <f t="shared" si="10"/>
        <v>0.3</v>
      </c>
      <c r="AC62" s="1743">
        <f t="shared" si="11"/>
        <v>0</v>
      </c>
      <c r="AD62" s="1741">
        <f t="shared" si="12"/>
        <v>0</v>
      </c>
      <c r="AE62" s="1741">
        <f t="shared" si="18"/>
        <v>0</v>
      </c>
      <c r="AG62" s="1186" t="s">
        <v>2302</v>
      </c>
      <c r="AH62" s="1191" t="s">
        <v>792</v>
      </c>
      <c r="AI62" s="1189" t="s">
        <v>2303</v>
      </c>
      <c r="AJ62" s="1190">
        <v>0.3</v>
      </c>
      <c r="AK62" s="1190">
        <v>0.3</v>
      </c>
      <c r="AL62" s="1190">
        <v>0.3</v>
      </c>
      <c r="AM62" s="1190">
        <v>0.3</v>
      </c>
      <c r="AN62" s="1190">
        <v>0.3</v>
      </c>
      <c r="AO62" s="1190">
        <v>0.3</v>
      </c>
      <c r="AP62" s="1190">
        <v>0.3</v>
      </c>
      <c r="AQ62" s="1190">
        <v>0.3</v>
      </c>
      <c r="AR62" s="1190">
        <v>0.3</v>
      </c>
      <c r="AS62" s="1192">
        <v>0.3</v>
      </c>
      <c r="AT62" s="1193">
        <v>0</v>
      </c>
      <c r="AU62" s="1192">
        <v>0</v>
      </c>
      <c r="AV62" s="1192">
        <v>0</v>
      </c>
      <c r="AX62" s="1186" t="s">
        <v>2302</v>
      </c>
      <c r="AY62" s="1191" t="s">
        <v>792</v>
      </c>
      <c r="AZ62" s="1189" t="s">
        <v>2303</v>
      </c>
      <c r="BA62" s="1192">
        <v>0.3</v>
      </c>
      <c r="BB62" s="1192">
        <v>0.3</v>
      </c>
      <c r="BC62" s="1192">
        <v>0.3</v>
      </c>
      <c r="BD62" s="1192">
        <v>0.3</v>
      </c>
      <c r="BE62" s="1192">
        <v>0.3</v>
      </c>
      <c r="BF62" s="1192">
        <v>0.3</v>
      </c>
      <c r="BG62" s="1192">
        <v>0.3</v>
      </c>
      <c r="BH62" s="1192">
        <v>0.3</v>
      </c>
      <c r="BI62" s="1192">
        <v>0.3</v>
      </c>
      <c r="BJ62" s="1192">
        <v>0.3</v>
      </c>
      <c r="BK62" s="1193"/>
      <c r="BL62" s="1192"/>
      <c r="BM62" s="1192"/>
      <c r="BO62" s="1186" t="s">
        <v>2302</v>
      </c>
      <c r="BP62" s="1191" t="s">
        <v>792</v>
      </c>
      <c r="BQ62" s="1189" t="s">
        <v>2303</v>
      </c>
      <c r="BR62" s="1192">
        <v>0.3</v>
      </c>
      <c r="BS62" s="1192">
        <v>0.3</v>
      </c>
      <c r="BT62" s="1192">
        <v>0.3</v>
      </c>
      <c r="BU62" s="1192">
        <v>0.3</v>
      </c>
      <c r="BV62" s="1192">
        <v>0.3</v>
      </c>
      <c r="BW62" s="1192">
        <v>0.3</v>
      </c>
      <c r="BX62" s="1192">
        <v>0.3</v>
      </c>
      <c r="BY62" s="1192">
        <v>0.3</v>
      </c>
      <c r="BZ62" s="1192">
        <v>0.3</v>
      </c>
      <c r="CA62" s="1192">
        <v>0.3</v>
      </c>
      <c r="CB62" s="1193"/>
      <c r="CC62" s="1192"/>
      <c r="CD62" s="1192"/>
      <c r="CE62" s="1467"/>
      <c r="CG62" s="1186" t="s">
        <v>2034</v>
      </c>
      <c r="CH62" s="1191" t="s">
        <v>792</v>
      </c>
      <c r="CI62" s="1189" t="s">
        <v>1602</v>
      </c>
      <c r="CJ62" s="1674">
        <v>0.15</v>
      </c>
      <c r="CK62" s="1674">
        <v>0.15</v>
      </c>
      <c r="CL62" s="1674">
        <v>0.15</v>
      </c>
      <c r="CM62" s="1674">
        <v>0.15</v>
      </c>
      <c r="CN62" s="1674">
        <v>0.15</v>
      </c>
      <c r="CO62" s="1674">
        <v>0.15</v>
      </c>
      <c r="CP62" s="1674">
        <v>0.15</v>
      </c>
      <c r="CQ62" s="1674">
        <v>0.15</v>
      </c>
      <c r="CR62" s="1674">
        <v>0.15</v>
      </c>
      <c r="CS62" s="1674">
        <v>0.15</v>
      </c>
      <c r="CT62" s="1675">
        <f t="shared" si="13"/>
        <v>0</v>
      </c>
      <c r="CU62" s="1674">
        <f t="shared" si="14"/>
        <v>0</v>
      </c>
      <c r="CV62" s="1674">
        <f t="shared" si="15"/>
        <v>0</v>
      </c>
      <c r="CX62" s="1186" t="s">
        <v>2034</v>
      </c>
      <c r="CY62" s="1191" t="s">
        <v>792</v>
      </c>
      <c r="CZ62" s="1189" t="s">
        <v>1602</v>
      </c>
      <c r="DA62" s="1813">
        <v>0.4</v>
      </c>
      <c r="DB62" s="1674"/>
      <c r="DC62" s="1674"/>
      <c r="DD62" s="1674"/>
      <c r="DE62" s="1674"/>
      <c r="DF62" s="1674"/>
      <c r="DG62" s="1674"/>
      <c r="DH62" s="1674"/>
      <c r="DI62" s="1674"/>
      <c r="DJ62" s="1674"/>
      <c r="DK62" s="1675"/>
      <c r="DL62" s="1674"/>
      <c r="DM62" s="1674"/>
    </row>
    <row r="63" spans="2:117">
      <c r="B63" s="1186">
        <f t="shared" si="68"/>
        <v>1</v>
      </c>
      <c r="C63" s="1198" t="str">
        <f t="shared" si="1"/>
        <v>機能性</v>
      </c>
      <c r="D63" s="1194">
        <f>IF(I$62=0,0,G63/I$62)</f>
        <v>0.4</v>
      </c>
      <c r="E63" s="1195">
        <f>IF(J$62=0,0,H63/J$62)</f>
        <v>0</v>
      </c>
      <c r="G63" s="1195">
        <f t="shared" si="64"/>
        <v>0.4</v>
      </c>
      <c r="H63" s="1195">
        <f t="shared" si="65"/>
        <v>0</v>
      </c>
      <c r="I63" s="1195">
        <f>G64+G68+G74</f>
        <v>1</v>
      </c>
      <c r="J63" s="1195">
        <f>H64+H68+H74</f>
        <v>0</v>
      </c>
      <c r="K63" s="1195">
        <f>IF(L63&gt;0,1,IF(スコア!Q63=0,0,1))</f>
        <v>1</v>
      </c>
      <c r="L63" s="1195">
        <f>IF(スコア!S63=0,0,1)</f>
        <v>0</v>
      </c>
      <c r="M63" s="1195">
        <f t="shared" si="66"/>
        <v>0.4</v>
      </c>
      <c r="N63" s="1195">
        <f t="shared" si="67"/>
        <v>0</v>
      </c>
      <c r="P63" s="1197">
        <f t="shared" si="6"/>
        <v>1</v>
      </c>
      <c r="Q63" s="1197" t="str">
        <f t="shared" si="7"/>
        <v xml:space="preserve"> Q2</v>
      </c>
      <c r="R63" s="1198" t="str">
        <f t="shared" si="8"/>
        <v>機能性</v>
      </c>
      <c r="S63" s="1756">
        <f t="shared" si="16"/>
        <v>0.4</v>
      </c>
      <c r="T63" s="1756">
        <f t="shared" si="32"/>
        <v>0.4</v>
      </c>
      <c r="U63" s="1756">
        <f t="shared" si="33"/>
        <v>0.4</v>
      </c>
      <c r="V63" s="1756">
        <f t="shared" si="34"/>
        <v>0.4</v>
      </c>
      <c r="W63" s="1756">
        <f t="shared" si="35"/>
        <v>0.4</v>
      </c>
      <c r="X63" s="1756">
        <f t="shared" si="36"/>
        <v>0.4</v>
      </c>
      <c r="Y63" s="1756">
        <f t="shared" si="37"/>
        <v>0.4</v>
      </c>
      <c r="Z63" s="1750">
        <f t="shared" si="38"/>
        <v>0.4</v>
      </c>
      <c r="AA63" s="1742">
        <f>IF($Q$3="coCASB",0,IF($P$3=1,BI63,IF($P$3=2,BZ63,IF($P$3=3,CR63,IF($P$3=4,DI63,AR63)))))</f>
        <v>0.4</v>
      </c>
      <c r="AB63" s="1756">
        <f t="shared" si="10"/>
        <v>0.4</v>
      </c>
      <c r="AC63" s="1757">
        <f t="shared" si="11"/>
        <v>0</v>
      </c>
      <c r="AD63" s="1756">
        <f t="shared" si="12"/>
        <v>0</v>
      </c>
      <c r="AE63" s="1756">
        <f t="shared" si="18"/>
        <v>0</v>
      </c>
      <c r="AG63" s="1197">
        <v>1</v>
      </c>
      <c r="AH63" s="1201" t="s">
        <v>2150</v>
      </c>
      <c r="AI63" s="1198" t="s">
        <v>2151</v>
      </c>
      <c r="AJ63" s="1246">
        <v>0.4</v>
      </c>
      <c r="AK63" s="1246">
        <v>0.4</v>
      </c>
      <c r="AL63" s="1246">
        <v>0.4</v>
      </c>
      <c r="AM63" s="1246">
        <v>0.4</v>
      </c>
      <c r="AN63" s="1246">
        <v>0.4</v>
      </c>
      <c r="AO63" s="1246">
        <v>0.4</v>
      </c>
      <c r="AP63" s="1246">
        <v>0.4</v>
      </c>
      <c r="AQ63" s="1221">
        <v>0.4</v>
      </c>
      <c r="AR63" s="1246">
        <v>0.4</v>
      </c>
      <c r="AS63" s="1247">
        <v>0.4</v>
      </c>
      <c r="AT63" s="1248"/>
      <c r="AU63" s="1247"/>
      <c r="AV63" s="1247"/>
      <c r="AX63" s="1197">
        <v>1</v>
      </c>
      <c r="AY63" s="1201" t="s">
        <v>2150</v>
      </c>
      <c r="AZ63" s="1198" t="s">
        <v>2151</v>
      </c>
      <c r="BA63" s="1247">
        <v>0.4</v>
      </c>
      <c r="BB63" s="1247">
        <v>0.4</v>
      </c>
      <c r="BC63" s="1247">
        <v>0.4</v>
      </c>
      <c r="BD63" s="1247">
        <v>0.4</v>
      </c>
      <c r="BE63" s="1247">
        <v>0.4</v>
      </c>
      <c r="BF63" s="1247">
        <v>0.4</v>
      </c>
      <c r="BG63" s="1247">
        <v>0.4</v>
      </c>
      <c r="BH63" s="1249">
        <v>0.4</v>
      </c>
      <c r="BI63" s="1247">
        <v>0.4</v>
      </c>
      <c r="BJ63" s="1247">
        <v>0.4</v>
      </c>
      <c r="BK63" s="1248"/>
      <c r="BL63" s="1247"/>
      <c r="BM63" s="1247"/>
      <c r="BO63" s="1197">
        <v>1</v>
      </c>
      <c r="BP63" s="1201" t="s">
        <v>2150</v>
      </c>
      <c r="BQ63" s="1198" t="s">
        <v>2151</v>
      </c>
      <c r="BR63" s="1247">
        <v>0.4</v>
      </c>
      <c r="BS63" s="1247">
        <v>0.4</v>
      </c>
      <c r="BT63" s="1247">
        <v>0.4</v>
      </c>
      <c r="BU63" s="1247">
        <v>0.4</v>
      </c>
      <c r="BV63" s="1247">
        <v>0.4</v>
      </c>
      <c r="BW63" s="1247">
        <v>0.4</v>
      </c>
      <c r="BX63" s="1247">
        <v>0.4</v>
      </c>
      <c r="BY63" s="1249">
        <v>0.4</v>
      </c>
      <c r="BZ63" s="1247">
        <v>0.4</v>
      </c>
      <c r="CA63" s="1247">
        <v>0.4</v>
      </c>
      <c r="CB63" s="1248"/>
      <c r="CC63" s="1247"/>
      <c r="CD63" s="1247"/>
      <c r="CE63" s="1467"/>
      <c r="CG63" s="1197">
        <v>1</v>
      </c>
      <c r="CH63" s="1201" t="s">
        <v>2150</v>
      </c>
      <c r="CI63" s="1198" t="s">
        <v>2151</v>
      </c>
      <c r="CJ63" s="1679">
        <v>0.75</v>
      </c>
      <c r="CK63" s="1679">
        <v>0.75</v>
      </c>
      <c r="CL63" s="1679">
        <v>0.75</v>
      </c>
      <c r="CM63" s="1679">
        <v>0.75</v>
      </c>
      <c r="CN63" s="1679">
        <v>0.75</v>
      </c>
      <c r="CO63" s="1679">
        <v>0.75</v>
      </c>
      <c r="CP63" s="1679">
        <v>0.75</v>
      </c>
      <c r="CQ63" s="1679">
        <v>0.75</v>
      </c>
      <c r="CR63" s="1679">
        <v>0.75</v>
      </c>
      <c r="CS63" s="1679">
        <v>0.75</v>
      </c>
      <c r="CT63" s="1680">
        <f t="shared" si="13"/>
        <v>0</v>
      </c>
      <c r="CU63" s="1679">
        <f t="shared" si="14"/>
        <v>0</v>
      </c>
      <c r="CV63" s="1679">
        <f t="shared" si="15"/>
        <v>0</v>
      </c>
      <c r="CX63" s="1197">
        <v>1</v>
      </c>
      <c r="CY63" s="1201" t="s">
        <v>2150</v>
      </c>
      <c r="CZ63" s="1198" t="s">
        <v>2151</v>
      </c>
      <c r="DA63" s="1817">
        <v>0.6</v>
      </c>
      <c r="DB63" s="1679"/>
      <c r="DC63" s="1679"/>
      <c r="DD63" s="1679"/>
      <c r="DE63" s="1679"/>
      <c r="DF63" s="1679"/>
      <c r="DG63" s="1679"/>
      <c r="DH63" s="1679"/>
      <c r="DI63" s="1679"/>
      <c r="DJ63" s="1679"/>
      <c r="DK63" s="1680"/>
      <c r="DL63" s="1679"/>
      <c r="DM63" s="1679"/>
    </row>
    <row r="64" spans="2:117">
      <c r="B64" s="1186">
        <f t="shared" si="68"/>
        <v>1.1000000000000001</v>
      </c>
      <c r="C64" s="1208" t="str">
        <f t="shared" si="1"/>
        <v>機能性・使いやすさ</v>
      </c>
      <c r="D64" s="1205">
        <f>IF(I$63=0,0,G64/I$63)</f>
        <v>0.4</v>
      </c>
      <c r="E64" s="1206">
        <f>IF(J$63=0,0,H64/J$63)</f>
        <v>0</v>
      </c>
      <c r="G64" s="1206">
        <f t="shared" si="64"/>
        <v>0.4</v>
      </c>
      <c r="H64" s="1206">
        <f t="shared" si="65"/>
        <v>0</v>
      </c>
      <c r="I64" s="1206">
        <f>SUM(G65:G67)</f>
        <v>1</v>
      </c>
      <c r="J64" s="1206">
        <f>SUM(H65:H67)</f>
        <v>0</v>
      </c>
      <c r="K64" s="1206">
        <f>IF(スコア!Q64=0,0,1)</f>
        <v>1</v>
      </c>
      <c r="L64" s="1206">
        <f>IF(スコア!S64=0,0,1)</f>
        <v>0</v>
      </c>
      <c r="M64" s="1206">
        <f t="shared" si="66"/>
        <v>0.4</v>
      </c>
      <c r="N64" s="1206">
        <f t="shared" si="67"/>
        <v>0</v>
      </c>
      <c r="P64" s="1207">
        <f t="shared" si="6"/>
        <v>1.1000000000000001</v>
      </c>
      <c r="Q64" s="1207" t="str">
        <f t="shared" si="7"/>
        <v xml:space="preserve"> Q2 1</v>
      </c>
      <c r="R64" s="1208" t="str">
        <f t="shared" si="8"/>
        <v>機能性・使いやすさ</v>
      </c>
      <c r="S64" s="1747">
        <f t="shared" ref="S64:S127" si="74">IF($P$3=1,BA64,IF($P$3=2,BR64,IF($P$3=3,CJ64,IF($P$3=4,DA64,AJ64))))</f>
        <v>0.4</v>
      </c>
      <c r="T64" s="1747">
        <f t="shared" ref="T64:T127" si="75">IF($P$3=1,BB64,IF($P$3=2,BS64,IF($P$3=3,CK64,IF($P$3=4,DB64,AK64))))</f>
        <v>0.4</v>
      </c>
      <c r="U64" s="1747">
        <f t="shared" ref="U64:U127" si="76">IF($P$3=1,BC64,IF($P$3=2,BT64,IF($P$3=3,CL64,IF($P$3=4,DC64,AL64))))</f>
        <v>0.4</v>
      </c>
      <c r="V64" s="1747">
        <f t="shared" ref="V64:V127" si="77">IF($P$3=1,BD64,IF($P$3=2,BU64,IF($P$3=3,CM64,IF($P$3=4,DD64,AM64))))</f>
        <v>0.4</v>
      </c>
      <c r="W64" s="1747">
        <f t="shared" ref="W64:W127" si="78">IF($P$3=1,BE64,IF($P$3=2,BV64,IF($P$3=3,CN64,IF($P$3=4,DE64,AN64))))</f>
        <v>0.4</v>
      </c>
      <c r="X64" s="1747">
        <f t="shared" ref="X64:X127" si="79">IF($P$3=1,BF64,IF($P$3=2,BW64,IF($P$3=3,CO64,IF($P$3=4,DF64,AO64))))</f>
        <v>0.4</v>
      </c>
      <c r="Y64" s="1747">
        <f t="shared" ref="Y64:Y127" si="80">IF($P$3=1,BG64,IF($P$3=2,BX64,IF($P$3=3,CP64,IF($P$3=4,DG64,AP64))))</f>
        <v>0.4</v>
      </c>
      <c r="Z64" s="1751">
        <f t="shared" ref="Z64:Z127" si="81">IF($P$3=1,BH64,IF($P$3=2,BY64,IF($P$3=3,CQ64,IF($P$3=4,DH64,AQ64))))</f>
        <v>0.4</v>
      </c>
      <c r="AA64" s="1747">
        <f t="shared" ref="AA64:AA127" si="82">IF($P$3=1,BI64,IF($P$3=2,BZ64,IF($P$3=3,CR64,IF($P$3=4,DI64,AR64))))</f>
        <v>0.4</v>
      </c>
      <c r="AB64" s="1747">
        <f t="shared" ref="AB64:AB127" si="83">IF($P$3=1,BJ64,IF($P$3=2,CA64,IF($P$3=3,CS64,IF($P$3=4,DJ64,AS64))))</f>
        <v>0.4</v>
      </c>
      <c r="AC64" s="1748">
        <f t="shared" ref="AC64:AC127" si="84">IF($P$3=1,BK64,IF($P$3=2,CB64,IF($P$3=3,CT64,IF($P$3=4,DK64,AT64))))</f>
        <v>0.6</v>
      </c>
      <c r="AD64" s="1747">
        <f t="shared" ref="AD64:AD127" si="85">IF($P$3=1,BL64,IF($P$3=2,CC64,IF($P$3=3,CU64,IF($P$3=4,DL64,AU64))))</f>
        <v>0.6</v>
      </c>
      <c r="AE64" s="1747">
        <f t="shared" ref="AE64:AE127" si="86">IF($P$3=1,BM64,IF($P$3=2,CD64,IF($P$3=3,CV64,IF($P$3=4,DM64,AV64))))</f>
        <v>0.6</v>
      </c>
      <c r="AG64" s="1207">
        <v>1.1000000000000001</v>
      </c>
      <c r="AH64" s="1211" t="s">
        <v>2152</v>
      </c>
      <c r="AI64" s="1208" t="s">
        <v>2153</v>
      </c>
      <c r="AJ64" s="1209">
        <v>0.4</v>
      </c>
      <c r="AK64" s="1209">
        <v>0.4</v>
      </c>
      <c r="AL64" s="1209">
        <v>0.4</v>
      </c>
      <c r="AM64" s="1212">
        <v>0.4</v>
      </c>
      <c r="AN64" s="1212">
        <v>0.4</v>
      </c>
      <c r="AO64" s="1209">
        <v>0.4</v>
      </c>
      <c r="AP64" s="1212">
        <v>0.4</v>
      </c>
      <c r="AQ64" s="1209">
        <v>0.4</v>
      </c>
      <c r="AR64" s="1212">
        <v>0.4</v>
      </c>
      <c r="AS64" s="1213">
        <v>0.4</v>
      </c>
      <c r="AT64" s="1213">
        <v>0.6</v>
      </c>
      <c r="AU64" s="1213">
        <v>0.6</v>
      </c>
      <c r="AV64" s="1213">
        <v>0.6</v>
      </c>
      <c r="AX64" s="1207">
        <v>1.1000000000000001</v>
      </c>
      <c r="AY64" s="1211" t="s">
        <v>2152</v>
      </c>
      <c r="AZ64" s="1208" t="s">
        <v>2153</v>
      </c>
      <c r="BA64" s="1213">
        <v>0.4</v>
      </c>
      <c r="BB64" s="1213">
        <v>0.4</v>
      </c>
      <c r="BC64" s="1213">
        <v>0.4</v>
      </c>
      <c r="BD64" s="1213">
        <v>0.4</v>
      </c>
      <c r="BE64" s="1213">
        <v>0.4</v>
      </c>
      <c r="BF64" s="1213">
        <v>0.4</v>
      </c>
      <c r="BG64" s="1213">
        <v>0.4</v>
      </c>
      <c r="BH64" s="1220">
        <v>0.4</v>
      </c>
      <c r="BI64" s="1213">
        <v>0.4</v>
      </c>
      <c r="BJ64" s="1213">
        <v>0.4</v>
      </c>
      <c r="BK64" s="1213">
        <v>0.6</v>
      </c>
      <c r="BL64" s="1213">
        <v>0.6</v>
      </c>
      <c r="BM64" s="1213">
        <v>0.6</v>
      </c>
      <c r="BO64" s="1207">
        <v>1.1000000000000001</v>
      </c>
      <c r="BP64" s="1211" t="s">
        <v>2152</v>
      </c>
      <c r="BQ64" s="1208" t="s">
        <v>2153</v>
      </c>
      <c r="BR64" s="1213">
        <v>0.4</v>
      </c>
      <c r="BS64" s="1213">
        <v>0.4</v>
      </c>
      <c r="BT64" s="1213">
        <v>0.4</v>
      </c>
      <c r="BU64" s="1213">
        <v>0.4</v>
      </c>
      <c r="BV64" s="1213">
        <v>0.4</v>
      </c>
      <c r="BW64" s="1213">
        <v>0.4</v>
      </c>
      <c r="BX64" s="1213">
        <v>0.4</v>
      </c>
      <c r="BY64" s="1220">
        <v>0.4</v>
      </c>
      <c r="BZ64" s="1213">
        <v>0.4</v>
      </c>
      <c r="CA64" s="1213">
        <v>0.4</v>
      </c>
      <c r="CB64" s="1213">
        <v>0.6</v>
      </c>
      <c r="CC64" s="1213">
        <v>0.6</v>
      </c>
      <c r="CD64" s="1213">
        <v>0.6</v>
      </c>
      <c r="CE64" s="1469"/>
      <c r="CG64" s="1207">
        <v>1.1000000000000001</v>
      </c>
      <c r="CH64" s="1211" t="s">
        <v>2152</v>
      </c>
      <c r="CI64" s="1208" t="s">
        <v>2153</v>
      </c>
      <c r="CJ64" s="1689">
        <f t="shared" si="19"/>
        <v>0.4</v>
      </c>
      <c r="CK64" s="1689">
        <f t="shared" si="20"/>
        <v>0.4</v>
      </c>
      <c r="CL64" s="1689">
        <f t="shared" si="21"/>
        <v>0.4</v>
      </c>
      <c r="CM64" s="1689">
        <f t="shared" si="22"/>
        <v>0.4</v>
      </c>
      <c r="CN64" s="1689">
        <f t="shared" si="23"/>
        <v>0.4</v>
      </c>
      <c r="CO64" s="1689">
        <f t="shared" si="24"/>
        <v>0.4</v>
      </c>
      <c r="CP64" s="1689">
        <f t="shared" si="25"/>
        <v>0.4</v>
      </c>
      <c r="CQ64" s="1701">
        <f t="shared" si="26"/>
        <v>0.4</v>
      </c>
      <c r="CR64" s="1689">
        <f t="shared" si="27"/>
        <v>0.4</v>
      </c>
      <c r="CS64" s="1689">
        <f t="shared" si="28"/>
        <v>0.4</v>
      </c>
      <c r="CT64" s="1689">
        <f t="shared" si="13"/>
        <v>0.6</v>
      </c>
      <c r="CU64" s="1689">
        <f t="shared" si="14"/>
        <v>0.6</v>
      </c>
      <c r="CV64" s="1689">
        <f t="shared" si="15"/>
        <v>0.6</v>
      </c>
      <c r="CX64" s="1207">
        <v>1.1000000000000001</v>
      </c>
      <c r="CY64" s="1211" t="s">
        <v>2152</v>
      </c>
      <c r="CZ64" s="1208" t="s">
        <v>2153</v>
      </c>
      <c r="DA64" s="1678">
        <f t="shared" si="29"/>
        <v>0.4</v>
      </c>
      <c r="DB64" s="1678"/>
      <c r="DC64" s="1678"/>
      <c r="DD64" s="1678"/>
      <c r="DE64" s="1678"/>
      <c r="DF64" s="1678"/>
      <c r="DG64" s="1678"/>
      <c r="DH64" s="1738"/>
      <c r="DI64" s="1678"/>
      <c r="DJ64" s="1678"/>
      <c r="DK64" s="1678"/>
      <c r="DL64" s="1678"/>
      <c r="DM64" s="1678"/>
    </row>
    <row r="65" spans="2:117">
      <c r="B65" s="1186" t="str">
        <f t="shared" si="68"/>
        <v>1.1.1</v>
      </c>
      <c r="C65" s="1208" t="str">
        <f t="shared" si="1"/>
        <v>広さ・収納性</v>
      </c>
      <c r="D65" s="1196">
        <f t="shared" ref="D65:E67" si="87">IF(I$64&gt;0,G65/I$64,0)</f>
        <v>0.33333333333333331</v>
      </c>
      <c r="E65" s="1206">
        <f t="shared" si="87"/>
        <v>0</v>
      </c>
      <c r="G65" s="1206">
        <f t="shared" si="64"/>
        <v>0.33333333333333331</v>
      </c>
      <c r="H65" s="1206">
        <f t="shared" si="65"/>
        <v>0</v>
      </c>
      <c r="I65" s="1206"/>
      <c r="J65" s="1206"/>
      <c r="K65" s="1206">
        <f>IF(スコア!Q65=0,0,1)</f>
        <v>1</v>
      </c>
      <c r="L65" s="1206">
        <f>IF(スコア!S65=0,0,1)</f>
        <v>1</v>
      </c>
      <c r="M65" s="1206">
        <f t="shared" si="66"/>
        <v>0.33333333333333331</v>
      </c>
      <c r="N65" s="1206">
        <f t="shared" si="67"/>
        <v>0</v>
      </c>
      <c r="P65" s="1207" t="str">
        <f t="shared" si="6"/>
        <v>1.1.1</v>
      </c>
      <c r="Q65" s="1207" t="str">
        <f t="shared" si="7"/>
        <v xml:space="preserve"> Q2 1.1</v>
      </c>
      <c r="R65" s="1208" t="str">
        <f t="shared" si="8"/>
        <v>広さ・収納性</v>
      </c>
      <c r="S65" s="1747">
        <f t="shared" si="74"/>
        <v>0.33333333333333331</v>
      </c>
      <c r="T65" s="1747">
        <f t="shared" si="75"/>
        <v>0</v>
      </c>
      <c r="U65" s="1747">
        <f t="shared" si="76"/>
        <v>0</v>
      </c>
      <c r="V65" s="1747">
        <f t="shared" si="77"/>
        <v>0</v>
      </c>
      <c r="W65" s="1747">
        <f t="shared" si="78"/>
        <v>0</v>
      </c>
      <c r="X65" s="1747">
        <f t="shared" si="79"/>
        <v>0</v>
      </c>
      <c r="Y65" s="1747">
        <f t="shared" si="80"/>
        <v>0</v>
      </c>
      <c r="Z65" s="1751">
        <f t="shared" si="81"/>
        <v>0</v>
      </c>
      <c r="AA65" s="1747">
        <f t="shared" si="82"/>
        <v>0.33333333333333331</v>
      </c>
      <c r="AB65" s="1747">
        <f t="shared" si="83"/>
        <v>0</v>
      </c>
      <c r="AC65" s="1748">
        <f t="shared" si="84"/>
        <v>1</v>
      </c>
      <c r="AD65" s="1747">
        <f t="shared" si="85"/>
        <v>0.5</v>
      </c>
      <c r="AE65" s="1747">
        <f t="shared" si="86"/>
        <v>0</v>
      </c>
      <c r="AG65" s="1207" t="s">
        <v>2304</v>
      </c>
      <c r="AH65" s="1211" t="s">
        <v>2154</v>
      </c>
      <c r="AI65" s="1208" t="s">
        <v>2155</v>
      </c>
      <c r="AJ65" s="1244">
        <v>0.33333333333333331</v>
      </c>
      <c r="AK65" s="1209"/>
      <c r="AL65" s="1209"/>
      <c r="AM65" s="1209"/>
      <c r="AN65" s="1209"/>
      <c r="AO65" s="1209"/>
      <c r="AP65" s="1209"/>
      <c r="AQ65" s="1223"/>
      <c r="AR65" s="1244">
        <v>0.33333333333333331</v>
      </c>
      <c r="AS65" s="1226">
        <v>0.5</v>
      </c>
      <c r="AT65" s="1214">
        <v>1</v>
      </c>
      <c r="AU65" s="1213">
        <v>0.5</v>
      </c>
      <c r="AV65" s="1213"/>
      <c r="AX65" s="1207" t="s">
        <v>2304</v>
      </c>
      <c r="AY65" s="1211" t="s">
        <v>2154</v>
      </c>
      <c r="AZ65" s="1208" t="s">
        <v>2155</v>
      </c>
      <c r="BA65" s="1213">
        <v>0.33333333333333331</v>
      </c>
      <c r="BB65" s="1213"/>
      <c r="BC65" s="1213"/>
      <c r="BD65" s="1213"/>
      <c r="BE65" s="1213"/>
      <c r="BF65" s="1213"/>
      <c r="BG65" s="1213"/>
      <c r="BH65" s="1220"/>
      <c r="BI65" s="1213">
        <v>0.33333333333333331</v>
      </c>
      <c r="BJ65" s="1213">
        <v>0.5</v>
      </c>
      <c r="BK65" s="1214">
        <v>1</v>
      </c>
      <c r="BL65" s="1213">
        <v>0.5</v>
      </c>
      <c r="BM65" s="1213"/>
      <c r="BO65" s="1207" t="s">
        <v>2304</v>
      </c>
      <c r="BP65" s="1211" t="s">
        <v>2154</v>
      </c>
      <c r="BQ65" s="1208" t="s">
        <v>2155</v>
      </c>
      <c r="BR65" s="1213">
        <v>0.33333333333333331</v>
      </c>
      <c r="BS65" s="1213"/>
      <c r="BT65" s="1213"/>
      <c r="BU65" s="1213"/>
      <c r="BV65" s="1213"/>
      <c r="BW65" s="1213"/>
      <c r="BX65" s="1213"/>
      <c r="BY65" s="1220"/>
      <c r="BZ65" s="1213">
        <v>0.33333333333333331</v>
      </c>
      <c r="CA65" s="1213"/>
      <c r="CB65" s="1214">
        <v>1</v>
      </c>
      <c r="CC65" s="1213">
        <v>0.5</v>
      </c>
      <c r="CD65" s="1213"/>
      <c r="CE65" s="1469"/>
      <c r="CG65" s="1207" t="s">
        <v>2304</v>
      </c>
      <c r="CH65" s="1211" t="s">
        <v>2154</v>
      </c>
      <c r="CI65" s="1208" t="s">
        <v>2155</v>
      </c>
      <c r="CJ65" s="1689">
        <f t="shared" si="19"/>
        <v>0.33333333333333331</v>
      </c>
      <c r="CK65" s="1689">
        <f t="shared" si="20"/>
        <v>0</v>
      </c>
      <c r="CL65" s="1689">
        <f t="shared" si="21"/>
        <v>0</v>
      </c>
      <c r="CM65" s="1689">
        <f t="shared" si="22"/>
        <v>0</v>
      </c>
      <c r="CN65" s="1689">
        <f t="shared" si="23"/>
        <v>0</v>
      </c>
      <c r="CO65" s="1689">
        <f t="shared" si="24"/>
        <v>0</v>
      </c>
      <c r="CP65" s="1689">
        <f t="shared" si="25"/>
        <v>0</v>
      </c>
      <c r="CQ65" s="1701">
        <f t="shared" si="26"/>
        <v>0</v>
      </c>
      <c r="CR65" s="1689">
        <f t="shared" si="27"/>
        <v>0.33333333333333331</v>
      </c>
      <c r="CS65" s="1689">
        <f t="shared" si="28"/>
        <v>0</v>
      </c>
      <c r="CT65" s="1691">
        <f t="shared" si="13"/>
        <v>1</v>
      </c>
      <c r="CU65" s="1689">
        <f t="shared" si="14"/>
        <v>0.5</v>
      </c>
      <c r="CV65" s="1689">
        <f t="shared" si="15"/>
        <v>0</v>
      </c>
      <c r="CX65" s="1207" t="s">
        <v>2304</v>
      </c>
      <c r="CY65" s="1211" t="s">
        <v>2154</v>
      </c>
      <c r="CZ65" s="1208" t="s">
        <v>2155</v>
      </c>
      <c r="DA65" s="1678">
        <f t="shared" si="29"/>
        <v>0.33333333333333331</v>
      </c>
      <c r="DB65" s="1678"/>
      <c r="DC65" s="1678"/>
      <c r="DD65" s="1678"/>
      <c r="DE65" s="1678"/>
      <c r="DF65" s="1678"/>
      <c r="DG65" s="1678"/>
      <c r="DH65" s="1738"/>
      <c r="DI65" s="1678"/>
      <c r="DJ65" s="1678"/>
      <c r="DK65" s="1795"/>
      <c r="DL65" s="1678"/>
      <c r="DM65" s="1678"/>
    </row>
    <row r="66" spans="2:117">
      <c r="B66" s="1186" t="str">
        <f t="shared" si="68"/>
        <v>1.1.2</v>
      </c>
      <c r="C66" s="1208" t="str">
        <f t="shared" si="1"/>
        <v>高度情報通信設備対応</v>
      </c>
      <c r="D66" s="1196">
        <f t="shared" si="87"/>
        <v>0.33333333333333331</v>
      </c>
      <c r="E66" s="1206">
        <f t="shared" si="87"/>
        <v>0</v>
      </c>
      <c r="G66" s="1206">
        <f t="shared" si="64"/>
        <v>0.33333333333333331</v>
      </c>
      <c r="H66" s="1206">
        <f t="shared" si="65"/>
        <v>0</v>
      </c>
      <c r="I66" s="1206"/>
      <c r="J66" s="1206"/>
      <c r="K66" s="1206">
        <f>IF(スコア!Q66=0,0,1)</f>
        <v>1</v>
      </c>
      <c r="L66" s="1206">
        <f>IF(スコア!S66=0,0,1)</f>
        <v>1</v>
      </c>
      <c r="M66" s="1206">
        <f t="shared" si="66"/>
        <v>0.33333333333333331</v>
      </c>
      <c r="N66" s="1206">
        <f t="shared" si="67"/>
        <v>0</v>
      </c>
      <c r="P66" s="1207" t="str">
        <f t="shared" si="6"/>
        <v>1.1.2</v>
      </c>
      <c r="Q66" s="1207" t="str">
        <f t="shared" si="7"/>
        <v xml:space="preserve"> Q2 1.1</v>
      </c>
      <c r="R66" s="1208" t="str">
        <f t="shared" si="8"/>
        <v>高度情報通信設備対応</v>
      </c>
      <c r="S66" s="1747">
        <f t="shared" si="74"/>
        <v>0.33333333333333331</v>
      </c>
      <c r="T66" s="1747">
        <f t="shared" si="75"/>
        <v>0</v>
      </c>
      <c r="U66" s="1747">
        <f t="shared" si="76"/>
        <v>0</v>
      </c>
      <c r="V66" s="1747">
        <f t="shared" si="77"/>
        <v>0</v>
      </c>
      <c r="W66" s="1747">
        <f t="shared" si="78"/>
        <v>0</v>
      </c>
      <c r="X66" s="1747">
        <f t="shared" si="79"/>
        <v>0</v>
      </c>
      <c r="Y66" s="1747">
        <f t="shared" si="80"/>
        <v>0</v>
      </c>
      <c r="Z66" s="1751">
        <f t="shared" si="81"/>
        <v>0</v>
      </c>
      <c r="AA66" s="1747">
        <f t="shared" si="82"/>
        <v>0.33333333333333331</v>
      </c>
      <c r="AB66" s="1747">
        <f t="shared" si="83"/>
        <v>0</v>
      </c>
      <c r="AC66" s="1748">
        <f t="shared" si="84"/>
        <v>0</v>
      </c>
      <c r="AD66" s="1747">
        <f t="shared" si="85"/>
        <v>0.5</v>
      </c>
      <c r="AE66" s="1747">
        <f t="shared" si="86"/>
        <v>1</v>
      </c>
      <c r="AG66" s="1207" t="s">
        <v>2305</v>
      </c>
      <c r="AH66" s="1211" t="s">
        <v>2154</v>
      </c>
      <c r="AI66" s="1208" t="s">
        <v>2306</v>
      </c>
      <c r="AJ66" s="1244">
        <v>0.33333333333333331</v>
      </c>
      <c r="AK66" s="1209"/>
      <c r="AL66" s="1209"/>
      <c r="AM66" s="1209"/>
      <c r="AN66" s="1209"/>
      <c r="AO66" s="1209"/>
      <c r="AP66" s="1209"/>
      <c r="AQ66" s="1223"/>
      <c r="AR66" s="1244">
        <v>0.33333333333333331</v>
      </c>
      <c r="AS66" s="1226"/>
      <c r="AT66" s="1214"/>
      <c r="AU66" s="1213">
        <v>0.5</v>
      </c>
      <c r="AV66" s="1213">
        <v>1</v>
      </c>
      <c r="AX66" s="1207" t="s">
        <v>2305</v>
      </c>
      <c r="AY66" s="1211" t="s">
        <v>2154</v>
      </c>
      <c r="AZ66" s="1208" t="s">
        <v>2306</v>
      </c>
      <c r="BA66" s="1213">
        <v>0.33333333333333331</v>
      </c>
      <c r="BB66" s="1213"/>
      <c r="BC66" s="1213"/>
      <c r="BD66" s="1213"/>
      <c r="BE66" s="1213"/>
      <c r="BF66" s="1213"/>
      <c r="BG66" s="1213"/>
      <c r="BH66" s="1220"/>
      <c r="BI66" s="1213">
        <v>0.33333333333333331</v>
      </c>
      <c r="BJ66" s="1213"/>
      <c r="BK66" s="1214"/>
      <c r="BL66" s="1213">
        <v>0.5</v>
      </c>
      <c r="BM66" s="1213">
        <v>1</v>
      </c>
      <c r="BO66" s="1207" t="s">
        <v>2305</v>
      </c>
      <c r="BP66" s="1211" t="s">
        <v>2154</v>
      </c>
      <c r="BQ66" s="1208" t="s">
        <v>2306</v>
      </c>
      <c r="BR66" s="1213">
        <v>0.33333333333333331</v>
      </c>
      <c r="BS66" s="1213"/>
      <c r="BT66" s="1213"/>
      <c r="BU66" s="1213"/>
      <c r="BV66" s="1213"/>
      <c r="BW66" s="1213"/>
      <c r="BX66" s="1213"/>
      <c r="BY66" s="1220"/>
      <c r="BZ66" s="1213">
        <v>0.33333333333333331</v>
      </c>
      <c r="CA66" s="1213"/>
      <c r="CB66" s="1214"/>
      <c r="CC66" s="1213">
        <v>0.5</v>
      </c>
      <c r="CD66" s="1213">
        <v>1</v>
      </c>
      <c r="CE66" s="1469"/>
      <c r="CG66" s="1207" t="s">
        <v>2305</v>
      </c>
      <c r="CH66" s="1211" t="s">
        <v>2154</v>
      </c>
      <c r="CI66" s="1208" t="s">
        <v>2306</v>
      </c>
      <c r="CJ66" s="1689">
        <f t="shared" si="19"/>
        <v>0.33333333333333331</v>
      </c>
      <c r="CK66" s="1689">
        <f t="shared" si="20"/>
        <v>0</v>
      </c>
      <c r="CL66" s="1689">
        <f t="shared" si="21"/>
        <v>0</v>
      </c>
      <c r="CM66" s="1689">
        <f t="shared" si="22"/>
        <v>0</v>
      </c>
      <c r="CN66" s="1689">
        <f t="shared" si="23"/>
        <v>0</v>
      </c>
      <c r="CO66" s="1689">
        <f t="shared" si="24"/>
        <v>0</v>
      </c>
      <c r="CP66" s="1689">
        <f t="shared" si="25"/>
        <v>0</v>
      </c>
      <c r="CQ66" s="1701">
        <f t="shared" si="26"/>
        <v>0</v>
      </c>
      <c r="CR66" s="1689">
        <f t="shared" si="27"/>
        <v>0.33333333333333331</v>
      </c>
      <c r="CS66" s="1689">
        <f t="shared" si="28"/>
        <v>0</v>
      </c>
      <c r="CT66" s="1691">
        <f t="shared" si="13"/>
        <v>0</v>
      </c>
      <c r="CU66" s="1689">
        <f t="shared" si="14"/>
        <v>0.5</v>
      </c>
      <c r="CV66" s="1689">
        <f t="shared" si="15"/>
        <v>1</v>
      </c>
      <c r="CX66" s="1207" t="s">
        <v>2305</v>
      </c>
      <c r="CY66" s="1211" t="s">
        <v>2154</v>
      </c>
      <c r="CZ66" s="1208" t="s">
        <v>2306</v>
      </c>
      <c r="DA66" s="1678">
        <f t="shared" si="29"/>
        <v>0.33333333333333331</v>
      </c>
      <c r="DB66" s="1678"/>
      <c r="DC66" s="1678"/>
      <c r="DD66" s="1678"/>
      <c r="DE66" s="1678"/>
      <c r="DF66" s="1678"/>
      <c r="DG66" s="1678"/>
      <c r="DH66" s="1738"/>
      <c r="DI66" s="1678"/>
      <c r="DJ66" s="1678"/>
      <c r="DK66" s="1795"/>
      <c r="DL66" s="1678"/>
      <c r="DM66" s="1678"/>
    </row>
    <row r="67" spans="2:117">
      <c r="B67" s="1186" t="str">
        <f t="shared" si="68"/>
        <v>1.1.3</v>
      </c>
      <c r="C67" s="1208" t="str">
        <f t="shared" si="1"/>
        <v>バリアフリー計画</v>
      </c>
      <c r="D67" s="1196">
        <f t="shared" si="87"/>
        <v>0.33333333333333331</v>
      </c>
      <c r="E67" s="1206">
        <f t="shared" si="87"/>
        <v>0</v>
      </c>
      <c r="G67" s="1206">
        <f t="shared" si="64"/>
        <v>0.33333333333333331</v>
      </c>
      <c r="H67" s="1206">
        <f t="shared" si="65"/>
        <v>0</v>
      </c>
      <c r="I67" s="1206"/>
      <c r="J67" s="1206"/>
      <c r="K67" s="1206">
        <f>IF(スコア!Q67=0,0,1)</f>
        <v>1</v>
      </c>
      <c r="L67" s="1206">
        <f>IF(スコア!S67=0,0,1)</f>
        <v>0</v>
      </c>
      <c r="M67" s="1206">
        <f t="shared" si="66"/>
        <v>0.33333333333333331</v>
      </c>
      <c r="N67" s="1206">
        <f t="shared" si="67"/>
        <v>0</v>
      </c>
      <c r="P67" s="1207" t="str">
        <f t="shared" si="6"/>
        <v>1.1.3</v>
      </c>
      <c r="Q67" s="1207" t="str">
        <f t="shared" si="7"/>
        <v xml:space="preserve"> Q2 1.1</v>
      </c>
      <c r="R67" s="1208" t="str">
        <f t="shared" si="8"/>
        <v>バリアフリー計画</v>
      </c>
      <c r="S67" s="1747">
        <f t="shared" si="74"/>
        <v>0.33333333333333331</v>
      </c>
      <c r="T67" s="1747">
        <f t="shared" si="75"/>
        <v>1</v>
      </c>
      <c r="U67" s="1747">
        <f t="shared" si="76"/>
        <v>1</v>
      </c>
      <c r="V67" s="1747">
        <f t="shared" si="77"/>
        <v>1</v>
      </c>
      <c r="W67" s="1747">
        <f t="shared" si="78"/>
        <v>1</v>
      </c>
      <c r="X67" s="1747">
        <f t="shared" si="79"/>
        <v>1</v>
      </c>
      <c r="Y67" s="1747">
        <f t="shared" si="80"/>
        <v>1</v>
      </c>
      <c r="Z67" s="1751">
        <f t="shared" si="81"/>
        <v>1</v>
      </c>
      <c r="AA67" s="1747">
        <f t="shared" si="82"/>
        <v>0.33333333333333331</v>
      </c>
      <c r="AB67" s="1747">
        <f t="shared" si="83"/>
        <v>1</v>
      </c>
      <c r="AC67" s="1748">
        <f t="shared" si="84"/>
        <v>0</v>
      </c>
      <c r="AD67" s="1747">
        <f t="shared" si="85"/>
        <v>0</v>
      </c>
      <c r="AE67" s="1747">
        <f t="shared" si="86"/>
        <v>0</v>
      </c>
      <c r="AG67" s="1207" t="s">
        <v>2307</v>
      </c>
      <c r="AH67" s="1211" t="s">
        <v>2154</v>
      </c>
      <c r="AI67" s="1208" t="s">
        <v>2156</v>
      </c>
      <c r="AJ67" s="1244">
        <v>0.33333333333333331</v>
      </c>
      <c r="AK67" s="1209">
        <v>1</v>
      </c>
      <c r="AL67" s="1209">
        <v>1</v>
      </c>
      <c r="AM67" s="1209">
        <v>1</v>
      </c>
      <c r="AN67" s="1209">
        <v>1</v>
      </c>
      <c r="AO67" s="1209">
        <v>1</v>
      </c>
      <c r="AP67" s="1209">
        <v>1</v>
      </c>
      <c r="AQ67" s="1223">
        <v>1</v>
      </c>
      <c r="AR67" s="1244">
        <v>0.33333333333333331</v>
      </c>
      <c r="AS67" s="1226">
        <v>0.5</v>
      </c>
      <c r="AT67" s="1214"/>
      <c r="AU67" s="1213"/>
      <c r="AV67" s="1213"/>
      <c r="AX67" s="1207" t="s">
        <v>2307</v>
      </c>
      <c r="AY67" s="1211" t="s">
        <v>2154</v>
      </c>
      <c r="AZ67" s="1208" t="s">
        <v>2156</v>
      </c>
      <c r="BA67" s="1213">
        <v>0.33333333333333331</v>
      </c>
      <c r="BB67" s="1213">
        <v>1</v>
      </c>
      <c r="BC67" s="1213">
        <v>1</v>
      </c>
      <c r="BD67" s="1213">
        <v>1</v>
      </c>
      <c r="BE67" s="1213">
        <v>1</v>
      </c>
      <c r="BF67" s="1213">
        <v>1</v>
      </c>
      <c r="BG67" s="1213">
        <v>1</v>
      </c>
      <c r="BH67" s="1220">
        <v>1</v>
      </c>
      <c r="BI67" s="1213">
        <v>0.33333333333333331</v>
      </c>
      <c r="BJ67" s="1213">
        <v>0.5</v>
      </c>
      <c r="BK67" s="1214"/>
      <c r="BL67" s="1213"/>
      <c r="BM67" s="1213"/>
      <c r="BO67" s="1207" t="s">
        <v>2307</v>
      </c>
      <c r="BP67" s="1211" t="s">
        <v>2154</v>
      </c>
      <c r="BQ67" s="1208" t="s">
        <v>2156</v>
      </c>
      <c r="BR67" s="1213">
        <v>0.33333333333333331</v>
      </c>
      <c r="BS67" s="1213">
        <v>1</v>
      </c>
      <c r="BT67" s="1213">
        <v>1</v>
      </c>
      <c r="BU67" s="1213">
        <v>1</v>
      </c>
      <c r="BV67" s="1213">
        <v>1</v>
      </c>
      <c r="BW67" s="1213">
        <v>1</v>
      </c>
      <c r="BX67" s="1213">
        <v>1</v>
      </c>
      <c r="BY67" s="1220">
        <v>1</v>
      </c>
      <c r="BZ67" s="1213">
        <v>0.33333333333333331</v>
      </c>
      <c r="CA67" s="1213">
        <v>1</v>
      </c>
      <c r="CB67" s="1214"/>
      <c r="CC67" s="1213"/>
      <c r="CD67" s="1213"/>
      <c r="CE67" s="1469"/>
      <c r="CG67" s="1207" t="s">
        <v>2307</v>
      </c>
      <c r="CH67" s="1211" t="s">
        <v>2154</v>
      </c>
      <c r="CI67" s="1208" t="s">
        <v>2156</v>
      </c>
      <c r="CJ67" s="1689">
        <f t="shared" si="19"/>
        <v>0.33333333333333331</v>
      </c>
      <c r="CK67" s="1689">
        <f t="shared" si="20"/>
        <v>1</v>
      </c>
      <c r="CL67" s="1689">
        <f t="shared" si="21"/>
        <v>1</v>
      </c>
      <c r="CM67" s="1689">
        <f t="shared" si="22"/>
        <v>1</v>
      </c>
      <c r="CN67" s="1689">
        <f t="shared" si="23"/>
        <v>1</v>
      </c>
      <c r="CO67" s="1689">
        <f t="shared" si="24"/>
        <v>1</v>
      </c>
      <c r="CP67" s="1689">
        <f t="shared" si="25"/>
        <v>1</v>
      </c>
      <c r="CQ67" s="1701">
        <f t="shared" si="26"/>
        <v>1</v>
      </c>
      <c r="CR67" s="1689">
        <f t="shared" si="27"/>
        <v>0.33333333333333331</v>
      </c>
      <c r="CS67" s="1689">
        <f t="shared" si="28"/>
        <v>1</v>
      </c>
      <c r="CT67" s="1691">
        <f t="shared" si="13"/>
        <v>0</v>
      </c>
      <c r="CU67" s="1689">
        <f t="shared" si="14"/>
        <v>0</v>
      </c>
      <c r="CV67" s="1689">
        <f t="shared" si="15"/>
        <v>0</v>
      </c>
      <c r="CX67" s="1207" t="s">
        <v>2307</v>
      </c>
      <c r="CY67" s="1211" t="s">
        <v>2154</v>
      </c>
      <c r="CZ67" s="1208" t="s">
        <v>2156</v>
      </c>
      <c r="DA67" s="1678">
        <f t="shared" si="29"/>
        <v>0.33333333333333331</v>
      </c>
      <c r="DB67" s="1678"/>
      <c r="DC67" s="1678"/>
      <c r="DD67" s="1678"/>
      <c r="DE67" s="1678"/>
      <c r="DF67" s="1678"/>
      <c r="DG67" s="1678"/>
      <c r="DH67" s="1738"/>
      <c r="DI67" s="1678"/>
      <c r="DJ67" s="1678"/>
      <c r="DK67" s="1795"/>
      <c r="DL67" s="1678"/>
      <c r="DM67" s="1678"/>
    </row>
    <row r="68" spans="2:117">
      <c r="B68" s="1186">
        <f t="shared" si="68"/>
        <v>1.2</v>
      </c>
      <c r="C68" s="1208" t="str">
        <f t="shared" si="1"/>
        <v>心理性・快適性</v>
      </c>
      <c r="D68" s="1205">
        <f>IF(I$63=0,0,G68/I$63)</f>
        <v>0.3</v>
      </c>
      <c r="E68" s="1206">
        <f>IF(J$63=0,0,H68/J$63)</f>
        <v>0</v>
      </c>
      <c r="G68" s="1206">
        <f t="shared" si="64"/>
        <v>0.3</v>
      </c>
      <c r="H68" s="1206">
        <f t="shared" si="65"/>
        <v>0</v>
      </c>
      <c r="I68" s="1206">
        <f>SUM(G69:G73)</f>
        <v>1</v>
      </c>
      <c r="J68" s="1206">
        <f>SUM(H69:H73)</f>
        <v>0</v>
      </c>
      <c r="K68" s="1206">
        <f>IF(スコア!Q68=0,0,1)</f>
        <v>1</v>
      </c>
      <c r="L68" s="1206">
        <f>IF(スコア!S68=0,0,1)</f>
        <v>0</v>
      </c>
      <c r="M68" s="1206">
        <f t="shared" si="66"/>
        <v>0.3</v>
      </c>
      <c r="N68" s="1206">
        <f t="shared" si="67"/>
        <v>0</v>
      </c>
      <c r="P68" s="1207">
        <f t="shared" si="6"/>
        <v>1.2</v>
      </c>
      <c r="Q68" s="1207" t="str">
        <f t="shared" si="7"/>
        <v xml:space="preserve"> Q2 1</v>
      </c>
      <c r="R68" s="1208" t="str">
        <f t="shared" si="8"/>
        <v>心理性・快適性</v>
      </c>
      <c r="S68" s="1747">
        <f t="shared" si="74"/>
        <v>0.3</v>
      </c>
      <c r="T68" s="1747">
        <f t="shared" si="75"/>
        <v>0.3</v>
      </c>
      <c r="U68" s="1747">
        <f t="shared" si="76"/>
        <v>0.3</v>
      </c>
      <c r="V68" s="1747">
        <f t="shared" si="77"/>
        <v>0.3</v>
      </c>
      <c r="W68" s="1747">
        <f t="shared" si="78"/>
        <v>0.3</v>
      </c>
      <c r="X68" s="1747">
        <f t="shared" si="79"/>
        <v>0.3</v>
      </c>
      <c r="Y68" s="1747">
        <f t="shared" si="80"/>
        <v>0.3</v>
      </c>
      <c r="Z68" s="1751">
        <f t="shared" si="81"/>
        <v>0.3</v>
      </c>
      <c r="AA68" s="1747">
        <f t="shared" si="82"/>
        <v>0.3</v>
      </c>
      <c r="AB68" s="1747">
        <f t="shared" si="83"/>
        <v>0.3</v>
      </c>
      <c r="AC68" s="1748">
        <f t="shared" si="84"/>
        <v>0.4</v>
      </c>
      <c r="AD68" s="1747">
        <f t="shared" si="85"/>
        <v>0.4</v>
      </c>
      <c r="AE68" s="1747">
        <f t="shared" si="86"/>
        <v>0.4</v>
      </c>
      <c r="AG68" s="1207">
        <v>1.2</v>
      </c>
      <c r="AH68" s="1211" t="s">
        <v>2152</v>
      </c>
      <c r="AI68" s="1208" t="s">
        <v>2225</v>
      </c>
      <c r="AJ68" s="1209">
        <v>0.3</v>
      </c>
      <c r="AK68" s="1209">
        <v>0.3</v>
      </c>
      <c r="AL68" s="1209">
        <v>0.3</v>
      </c>
      <c r="AM68" s="1212">
        <v>0.3</v>
      </c>
      <c r="AN68" s="1212">
        <v>0.3</v>
      </c>
      <c r="AO68" s="1209">
        <v>0.3</v>
      </c>
      <c r="AP68" s="1212">
        <v>0.3</v>
      </c>
      <c r="AQ68" s="1209">
        <v>0.3</v>
      </c>
      <c r="AR68" s="1212">
        <v>0.3</v>
      </c>
      <c r="AS68" s="1213">
        <v>0.3</v>
      </c>
      <c r="AT68" s="1213">
        <v>0.4</v>
      </c>
      <c r="AU68" s="1213">
        <v>0.4</v>
      </c>
      <c r="AV68" s="1213">
        <v>0.4</v>
      </c>
      <c r="AX68" s="1207">
        <v>1.2</v>
      </c>
      <c r="AY68" s="1211" t="s">
        <v>2152</v>
      </c>
      <c r="AZ68" s="1208" t="s">
        <v>2225</v>
      </c>
      <c r="BA68" s="1213">
        <v>0.3</v>
      </c>
      <c r="BB68" s="1213">
        <v>0.3</v>
      </c>
      <c r="BC68" s="1213">
        <v>0.3</v>
      </c>
      <c r="BD68" s="1213">
        <v>0.3</v>
      </c>
      <c r="BE68" s="1213">
        <v>0.3</v>
      </c>
      <c r="BF68" s="1213">
        <v>0.3</v>
      </c>
      <c r="BG68" s="1213">
        <v>0.3</v>
      </c>
      <c r="BH68" s="1220">
        <v>0.3</v>
      </c>
      <c r="BI68" s="1213">
        <v>0.3</v>
      </c>
      <c r="BJ68" s="1213">
        <v>0.3</v>
      </c>
      <c r="BK68" s="1213">
        <v>0.4</v>
      </c>
      <c r="BL68" s="1213">
        <v>0.4</v>
      </c>
      <c r="BM68" s="1213">
        <v>0.4</v>
      </c>
      <c r="BO68" s="1207">
        <v>1.2</v>
      </c>
      <c r="BP68" s="1211" t="s">
        <v>2152</v>
      </c>
      <c r="BQ68" s="1208" t="s">
        <v>2225</v>
      </c>
      <c r="BR68" s="1213">
        <v>0.3</v>
      </c>
      <c r="BS68" s="1213">
        <v>0.3</v>
      </c>
      <c r="BT68" s="1213">
        <v>0.3</v>
      </c>
      <c r="BU68" s="1213">
        <v>0.3</v>
      </c>
      <c r="BV68" s="1213">
        <v>0.3</v>
      </c>
      <c r="BW68" s="1213">
        <v>0.3</v>
      </c>
      <c r="BX68" s="1213">
        <v>0.3</v>
      </c>
      <c r="BY68" s="1220">
        <v>0.3</v>
      </c>
      <c r="BZ68" s="1213">
        <v>0.3</v>
      </c>
      <c r="CA68" s="1213">
        <v>0.3</v>
      </c>
      <c r="CB68" s="1213">
        <v>0.4</v>
      </c>
      <c r="CC68" s="1213">
        <v>0.4</v>
      </c>
      <c r="CD68" s="1213">
        <v>0.4</v>
      </c>
      <c r="CE68" s="1469"/>
      <c r="CG68" s="1207">
        <v>1.2</v>
      </c>
      <c r="CH68" s="1211" t="s">
        <v>2152</v>
      </c>
      <c r="CI68" s="1208" t="s">
        <v>2225</v>
      </c>
      <c r="CJ68" s="1689">
        <f t="shared" si="19"/>
        <v>0.3</v>
      </c>
      <c r="CK68" s="1689">
        <f t="shared" si="20"/>
        <v>0.3</v>
      </c>
      <c r="CL68" s="1689">
        <f t="shared" si="21"/>
        <v>0.3</v>
      </c>
      <c r="CM68" s="1689">
        <f t="shared" si="22"/>
        <v>0.3</v>
      </c>
      <c r="CN68" s="1689">
        <f t="shared" si="23"/>
        <v>0.3</v>
      </c>
      <c r="CO68" s="1689">
        <f t="shared" si="24"/>
        <v>0.3</v>
      </c>
      <c r="CP68" s="1689">
        <f t="shared" si="25"/>
        <v>0.3</v>
      </c>
      <c r="CQ68" s="1701">
        <f t="shared" si="26"/>
        <v>0.3</v>
      </c>
      <c r="CR68" s="1689">
        <f t="shared" si="27"/>
        <v>0.3</v>
      </c>
      <c r="CS68" s="1689">
        <f t="shared" si="28"/>
        <v>0.3</v>
      </c>
      <c r="CT68" s="1689">
        <f t="shared" si="13"/>
        <v>0.4</v>
      </c>
      <c r="CU68" s="1689">
        <f t="shared" si="14"/>
        <v>0.4</v>
      </c>
      <c r="CV68" s="1689">
        <f t="shared" si="15"/>
        <v>0.4</v>
      </c>
      <c r="CX68" s="1207">
        <v>1.2</v>
      </c>
      <c r="CY68" s="1211" t="s">
        <v>2152</v>
      </c>
      <c r="CZ68" s="1208" t="s">
        <v>2225</v>
      </c>
      <c r="DA68" s="1820">
        <v>0.45</v>
      </c>
      <c r="DB68" s="1678"/>
      <c r="DC68" s="1678"/>
      <c r="DD68" s="1678"/>
      <c r="DE68" s="1678"/>
      <c r="DF68" s="1678"/>
      <c r="DG68" s="1678"/>
      <c r="DH68" s="1738"/>
      <c r="DI68" s="1678"/>
      <c r="DJ68" s="1678"/>
      <c r="DK68" s="1678"/>
      <c r="DL68" s="1678"/>
      <c r="DM68" s="1678"/>
    </row>
    <row r="69" spans="2:117">
      <c r="B69" s="1186" t="str">
        <f t="shared" si="68"/>
        <v>1.2.1</v>
      </c>
      <c r="C69" s="1208" t="str">
        <f t="shared" si="1"/>
        <v>広さ感・景観</v>
      </c>
      <c r="D69" s="1196">
        <f>IF(I$68&gt;0,G69/I$68,0)</f>
        <v>0.33333333333333331</v>
      </c>
      <c r="E69" s="1196">
        <f>IF(J$68&gt;0,H69/J$68,0)</f>
        <v>0</v>
      </c>
      <c r="G69" s="1206">
        <f t="shared" si="64"/>
        <v>0.33333333333333331</v>
      </c>
      <c r="H69" s="1206">
        <f t="shared" si="65"/>
        <v>0</v>
      </c>
      <c r="I69" s="1206"/>
      <c r="J69" s="1206"/>
      <c r="K69" s="1206">
        <f>IF(スコア!Q69=0,0,1)</f>
        <v>1</v>
      </c>
      <c r="L69" s="1206">
        <f>IF(スコア!S69=0,0,1)</f>
        <v>1</v>
      </c>
      <c r="M69" s="1206">
        <f t="shared" si="66"/>
        <v>0.33333333333333331</v>
      </c>
      <c r="N69" s="1206">
        <f t="shared" si="67"/>
        <v>0</v>
      </c>
      <c r="P69" s="1207" t="str">
        <f t="shared" si="6"/>
        <v>1.2.1</v>
      </c>
      <c r="Q69" s="1207" t="str">
        <f t="shared" si="7"/>
        <v xml:space="preserve"> Q2 1.2</v>
      </c>
      <c r="R69" s="1208" t="str">
        <f t="shared" si="8"/>
        <v>広さ感・景観</v>
      </c>
      <c r="S69" s="1747">
        <f t="shared" si="74"/>
        <v>0.33333333333333331</v>
      </c>
      <c r="T69" s="1747">
        <f t="shared" si="75"/>
        <v>0.5</v>
      </c>
      <c r="U69" s="1747">
        <f t="shared" si="76"/>
        <v>0.33333333333333331</v>
      </c>
      <c r="V69" s="1747">
        <f t="shared" si="77"/>
        <v>0.5</v>
      </c>
      <c r="W69" s="1747">
        <f t="shared" si="78"/>
        <v>0</v>
      </c>
      <c r="X69" s="1747">
        <f t="shared" si="79"/>
        <v>0</v>
      </c>
      <c r="Y69" s="1747">
        <f t="shared" si="80"/>
        <v>0</v>
      </c>
      <c r="Z69" s="1751">
        <f t="shared" si="81"/>
        <v>0</v>
      </c>
      <c r="AA69" s="1747">
        <f t="shared" si="82"/>
        <v>0.33333333333333331</v>
      </c>
      <c r="AB69" s="1747">
        <f t="shared" si="83"/>
        <v>0.5</v>
      </c>
      <c r="AC69" s="1748">
        <f t="shared" si="84"/>
        <v>0.5</v>
      </c>
      <c r="AD69" s="1748">
        <f t="shared" si="85"/>
        <v>0.5</v>
      </c>
      <c r="AE69" s="1748">
        <f t="shared" si="86"/>
        <v>0.5</v>
      </c>
      <c r="AG69" s="1207" t="s">
        <v>2308</v>
      </c>
      <c r="AH69" s="1211" t="s">
        <v>2157</v>
      </c>
      <c r="AI69" s="1208" t="s">
        <v>2158</v>
      </c>
      <c r="AJ69" s="1244">
        <v>0.33333333333333331</v>
      </c>
      <c r="AK69" s="1209"/>
      <c r="AL69" s="1209"/>
      <c r="AM69" s="1209"/>
      <c r="AN69" s="1209"/>
      <c r="AO69" s="1209"/>
      <c r="AP69" s="1209"/>
      <c r="AQ69" s="1223"/>
      <c r="AR69" s="1209"/>
      <c r="AS69" s="1213"/>
      <c r="AT69" s="1214"/>
      <c r="AU69" s="1214"/>
      <c r="AV69" s="1214"/>
      <c r="AX69" s="1207" t="s">
        <v>2308</v>
      </c>
      <c r="AY69" s="1211" t="s">
        <v>2157</v>
      </c>
      <c r="AZ69" s="1208" t="s">
        <v>2158</v>
      </c>
      <c r="BA69" s="1213">
        <v>0.33333333333333331</v>
      </c>
      <c r="BB69" s="1213">
        <v>0.5</v>
      </c>
      <c r="BC69" s="1213">
        <v>0.33333333333333331</v>
      </c>
      <c r="BD69" s="1213">
        <v>0.5</v>
      </c>
      <c r="BE69" s="1213"/>
      <c r="BF69" s="1213"/>
      <c r="BG69" s="1213"/>
      <c r="BH69" s="1220"/>
      <c r="BI69" s="1213">
        <v>0.33333333333333331</v>
      </c>
      <c r="BJ69" s="1213">
        <v>0.5</v>
      </c>
      <c r="BK69" s="1214">
        <v>0.5</v>
      </c>
      <c r="BL69" s="1214">
        <v>0.5</v>
      </c>
      <c r="BM69" s="1214">
        <v>0.5</v>
      </c>
      <c r="BO69" s="1207" t="s">
        <v>2308</v>
      </c>
      <c r="BP69" s="1211" t="s">
        <v>2157</v>
      </c>
      <c r="BQ69" s="1208" t="s">
        <v>2158</v>
      </c>
      <c r="BR69" s="1213">
        <v>0.33333333333333331</v>
      </c>
      <c r="BS69" s="1213">
        <v>0.5</v>
      </c>
      <c r="BT69" s="1213">
        <v>0.33333333333333331</v>
      </c>
      <c r="BU69" s="1213">
        <v>0.5</v>
      </c>
      <c r="BV69" s="1213"/>
      <c r="BW69" s="1213"/>
      <c r="BX69" s="1213"/>
      <c r="BY69" s="1220"/>
      <c r="BZ69" s="1213">
        <v>0.33333333333333331</v>
      </c>
      <c r="CA69" s="1213">
        <v>0.5</v>
      </c>
      <c r="CB69" s="1214">
        <v>0.5</v>
      </c>
      <c r="CC69" s="1214">
        <v>0.5</v>
      </c>
      <c r="CD69" s="1214">
        <v>0.5</v>
      </c>
      <c r="CE69" s="1469"/>
      <c r="CG69" s="1207" t="s">
        <v>207</v>
      </c>
      <c r="CH69" s="1211" t="s">
        <v>2157</v>
      </c>
      <c r="CI69" s="1208" t="s">
        <v>2158</v>
      </c>
      <c r="CJ69" s="1689">
        <f t="shared" si="19"/>
        <v>0.33333333333333331</v>
      </c>
      <c r="CK69" s="1689">
        <f t="shared" si="20"/>
        <v>0.5</v>
      </c>
      <c r="CL69" s="1689">
        <f t="shared" si="21"/>
        <v>0.33333333333333331</v>
      </c>
      <c r="CM69" s="1689">
        <f t="shared" si="22"/>
        <v>0.5</v>
      </c>
      <c r="CN69" s="1689">
        <f t="shared" si="23"/>
        <v>0</v>
      </c>
      <c r="CO69" s="1689">
        <f t="shared" si="24"/>
        <v>0</v>
      </c>
      <c r="CP69" s="1689">
        <f t="shared" si="25"/>
        <v>0</v>
      </c>
      <c r="CQ69" s="1701">
        <f t="shared" si="26"/>
        <v>0</v>
      </c>
      <c r="CR69" s="1689">
        <f t="shared" si="27"/>
        <v>0.33333333333333331</v>
      </c>
      <c r="CS69" s="1689">
        <f t="shared" si="28"/>
        <v>0.5</v>
      </c>
      <c r="CT69" s="1691">
        <f t="shared" si="13"/>
        <v>0.5</v>
      </c>
      <c r="CU69" s="1691">
        <f t="shared" si="14"/>
        <v>0.5</v>
      </c>
      <c r="CV69" s="1691">
        <f t="shared" si="15"/>
        <v>0.5</v>
      </c>
      <c r="CX69" s="1207" t="s">
        <v>207</v>
      </c>
      <c r="CY69" s="1211" t="s">
        <v>2157</v>
      </c>
      <c r="CZ69" s="1819" t="s">
        <v>2939</v>
      </c>
      <c r="DA69" s="1820">
        <v>0.15</v>
      </c>
      <c r="DB69" s="1678"/>
      <c r="DC69" s="1678"/>
      <c r="DD69" s="1678"/>
      <c r="DE69" s="1678"/>
      <c r="DF69" s="1678"/>
      <c r="DG69" s="1678"/>
      <c r="DH69" s="1738"/>
      <c r="DI69" s="1678"/>
      <c r="DJ69" s="1678"/>
      <c r="DK69" s="1795"/>
      <c r="DL69" s="1795"/>
      <c r="DM69" s="1795"/>
    </row>
    <row r="70" spans="2:117" hidden="1">
      <c r="B70" s="1186"/>
      <c r="C70" s="1208">
        <f t="shared" si="1"/>
        <v>0</v>
      </c>
      <c r="D70" s="1196">
        <f>IF(I$68&gt;0,G70/I$68,0)</f>
        <v>0</v>
      </c>
      <c r="E70" s="1196">
        <f>IF(J$68&gt;0,H70/J$68,0)</f>
        <v>0</v>
      </c>
      <c r="G70" s="1206">
        <f>K70*M70</f>
        <v>0</v>
      </c>
      <c r="H70" s="1206">
        <f t="shared" si="65"/>
        <v>0</v>
      </c>
      <c r="I70" s="1206"/>
      <c r="J70" s="1206"/>
      <c r="K70" s="1206">
        <f>IF(スコア!Q70=0,0,1)</f>
        <v>1</v>
      </c>
      <c r="L70" s="1206">
        <f>IF(スコア!S70=0,0,1)</f>
        <v>0</v>
      </c>
      <c r="M70" s="1206">
        <f t="shared" ref="M70:M73" si="88">SUMPRODUCT($S$7:$AB$7,S70:AB70)</f>
        <v>0</v>
      </c>
      <c r="N70" s="1206">
        <f t="shared" ref="N70:N73" si="89">(AC$7*AC70)+(AD$7*AD70)+(AE$7*AE70)</f>
        <v>0</v>
      </c>
      <c r="P70" s="1207">
        <f t="shared" si="6"/>
        <v>0</v>
      </c>
      <c r="Q70" s="1207">
        <f t="shared" si="7"/>
        <v>0</v>
      </c>
      <c r="R70" s="1208">
        <f t="shared" si="8"/>
        <v>0</v>
      </c>
      <c r="S70" s="1747">
        <f t="shared" si="74"/>
        <v>0</v>
      </c>
      <c r="T70" s="1747">
        <f t="shared" si="75"/>
        <v>0</v>
      </c>
      <c r="U70" s="1747">
        <f t="shared" si="76"/>
        <v>0</v>
      </c>
      <c r="V70" s="1747">
        <f t="shared" si="77"/>
        <v>0</v>
      </c>
      <c r="W70" s="1747">
        <f t="shared" si="78"/>
        <v>0</v>
      </c>
      <c r="X70" s="1747">
        <f t="shared" si="79"/>
        <v>0</v>
      </c>
      <c r="Y70" s="1747">
        <f t="shared" si="80"/>
        <v>0</v>
      </c>
      <c r="Z70" s="1751">
        <f t="shared" si="81"/>
        <v>0</v>
      </c>
      <c r="AA70" s="1747">
        <f t="shared" si="82"/>
        <v>0</v>
      </c>
      <c r="AB70" s="1747">
        <f t="shared" si="83"/>
        <v>0</v>
      </c>
      <c r="AC70" s="1748">
        <f t="shared" si="84"/>
        <v>0</v>
      </c>
      <c r="AD70" s="1748">
        <f t="shared" si="85"/>
        <v>0</v>
      </c>
      <c r="AE70" s="1748">
        <f t="shared" si="86"/>
        <v>0</v>
      </c>
      <c r="AG70" s="1207"/>
      <c r="AH70" s="1211"/>
      <c r="AI70" s="1208"/>
      <c r="AJ70" s="1244"/>
      <c r="AK70" s="1209"/>
      <c r="AL70" s="1209"/>
      <c r="AM70" s="1209"/>
      <c r="AN70" s="1209"/>
      <c r="AO70" s="1209"/>
      <c r="AP70" s="1209"/>
      <c r="AQ70" s="1223"/>
      <c r="AR70" s="1209"/>
      <c r="AS70" s="1213"/>
      <c r="AT70" s="1214"/>
      <c r="AU70" s="1214"/>
      <c r="AV70" s="1214"/>
      <c r="AX70" s="1207"/>
      <c r="AY70" s="1211"/>
      <c r="AZ70" s="1208"/>
      <c r="BA70" s="1213"/>
      <c r="BB70" s="1213"/>
      <c r="BC70" s="1213"/>
      <c r="BD70" s="1213"/>
      <c r="BE70" s="1213"/>
      <c r="BF70" s="1213"/>
      <c r="BG70" s="1213"/>
      <c r="BH70" s="1220"/>
      <c r="BI70" s="1213"/>
      <c r="BJ70" s="1213"/>
      <c r="BK70" s="1214"/>
      <c r="BL70" s="1214"/>
      <c r="BM70" s="1214"/>
      <c r="BO70" s="1207"/>
      <c r="BP70" s="1211"/>
      <c r="BQ70" s="1208"/>
      <c r="BR70" s="1213"/>
      <c r="BS70" s="1213"/>
      <c r="BT70" s="1213"/>
      <c r="BU70" s="1213"/>
      <c r="BV70" s="1213"/>
      <c r="BW70" s="1213"/>
      <c r="BX70" s="1213"/>
      <c r="BY70" s="1220"/>
      <c r="BZ70" s="1213"/>
      <c r="CA70" s="1213"/>
      <c r="CB70" s="1214"/>
      <c r="CC70" s="1214"/>
      <c r="CD70" s="1214"/>
      <c r="CE70" s="1469"/>
      <c r="CG70" s="1207"/>
      <c r="CH70" s="1211"/>
      <c r="CI70" s="1208"/>
      <c r="CJ70" s="1689"/>
      <c r="CK70" s="1689"/>
      <c r="CL70" s="1689"/>
      <c r="CM70" s="1689"/>
      <c r="CN70" s="1689"/>
      <c r="CO70" s="1689"/>
      <c r="CP70" s="1689"/>
      <c r="CQ70" s="1701"/>
      <c r="CR70" s="1689"/>
      <c r="CS70" s="1689"/>
      <c r="CT70" s="1691"/>
      <c r="CU70" s="1691"/>
      <c r="CV70" s="1691"/>
      <c r="CX70" s="1207" t="s">
        <v>2941</v>
      </c>
      <c r="CY70" s="1211" t="s">
        <v>2157</v>
      </c>
      <c r="CZ70" s="1819" t="s">
        <v>2940</v>
      </c>
      <c r="DA70" s="1820">
        <v>0.15</v>
      </c>
      <c r="DB70" s="1678"/>
      <c r="DC70" s="1678"/>
      <c r="DD70" s="1678"/>
      <c r="DE70" s="1678"/>
      <c r="DF70" s="1678"/>
      <c r="DG70" s="1678"/>
      <c r="DH70" s="1738"/>
      <c r="DI70" s="1678"/>
      <c r="DJ70" s="1678"/>
      <c r="DK70" s="1795"/>
      <c r="DL70" s="1795"/>
      <c r="DM70" s="1795"/>
    </row>
    <row r="71" spans="2:117">
      <c r="B71" s="1186" t="str">
        <f t="shared" si="68"/>
        <v>1.2.2</v>
      </c>
      <c r="C71" s="1208" t="str">
        <f t="shared" si="1"/>
        <v>リフレッシュスペース</v>
      </c>
      <c r="D71" s="1196">
        <f t="shared" ref="D71:E73" si="90">IF(I$68&gt;0,G71/I$68,0)</f>
        <v>0.33333333333333331</v>
      </c>
      <c r="E71" s="1196">
        <f t="shared" si="90"/>
        <v>0</v>
      </c>
      <c r="G71" s="1206">
        <f t="shared" si="64"/>
        <v>0.33333333333333331</v>
      </c>
      <c r="H71" s="1206">
        <f>L71*N71</f>
        <v>0</v>
      </c>
      <c r="I71" s="1206"/>
      <c r="J71" s="1206"/>
      <c r="K71" s="1206">
        <f>IF(スコア!Q71=0,0,1)</f>
        <v>1</v>
      </c>
      <c r="L71" s="1206">
        <f>IF(スコア!S71=0,0,1)</f>
        <v>0</v>
      </c>
      <c r="M71" s="1206">
        <f t="shared" si="88"/>
        <v>0.33333333333333331</v>
      </c>
      <c r="N71" s="1206">
        <f t="shared" si="89"/>
        <v>0</v>
      </c>
      <c r="P71" s="1207" t="str">
        <f t="shared" si="6"/>
        <v>1.2.2</v>
      </c>
      <c r="Q71" s="1207" t="str">
        <f t="shared" si="7"/>
        <v xml:space="preserve"> Q2 1.2</v>
      </c>
      <c r="R71" s="1208" t="str">
        <f t="shared" si="8"/>
        <v>リフレッシュスペース</v>
      </c>
      <c r="S71" s="1747">
        <f t="shared" si="74"/>
        <v>0.33333333333333331</v>
      </c>
      <c r="T71" s="1747">
        <f t="shared" si="75"/>
        <v>0</v>
      </c>
      <c r="U71" s="1747">
        <f t="shared" si="76"/>
        <v>0.33333333333333331</v>
      </c>
      <c r="V71" s="1747">
        <f t="shared" si="77"/>
        <v>0</v>
      </c>
      <c r="W71" s="1747">
        <f t="shared" si="78"/>
        <v>0</v>
      </c>
      <c r="X71" s="1747">
        <f t="shared" si="79"/>
        <v>0</v>
      </c>
      <c r="Y71" s="1747">
        <f t="shared" si="80"/>
        <v>0</v>
      </c>
      <c r="Z71" s="1751">
        <f t="shared" si="81"/>
        <v>0</v>
      </c>
      <c r="AA71" s="1747">
        <f t="shared" si="82"/>
        <v>0.33333333333333331</v>
      </c>
      <c r="AB71" s="1747">
        <f t="shared" si="83"/>
        <v>0</v>
      </c>
      <c r="AC71" s="1748">
        <f t="shared" si="84"/>
        <v>0</v>
      </c>
      <c r="AD71" s="1748">
        <f t="shared" si="85"/>
        <v>0</v>
      </c>
      <c r="AE71" s="1748">
        <f t="shared" si="86"/>
        <v>0</v>
      </c>
      <c r="AG71" s="1207" t="s">
        <v>2309</v>
      </c>
      <c r="AH71" s="1211" t="s">
        <v>2157</v>
      </c>
      <c r="AI71" s="1208" t="s">
        <v>2159</v>
      </c>
      <c r="AJ71" s="1244">
        <v>0.33333333333333331</v>
      </c>
      <c r="AK71" s="1209"/>
      <c r="AL71" s="1209">
        <v>0.5</v>
      </c>
      <c r="AM71" s="1209"/>
      <c r="AN71" s="1209"/>
      <c r="AO71" s="1209"/>
      <c r="AP71" s="1209"/>
      <c r="AQ71" s="1223"/>
      <c r="AR71" s="1209"/>
      <c r="AS71" s="1213"/>
      <c r="AT71" s="1214"/>
      <c r="AU71" s="1214"/>
      <c r="AV71" s="1214"/>
      <c r="AX71" s="1207" t="s">
        <v>2309</v>
      </c>
      <c r="AY71" s="1211" t="s">
        <v>2157</v>
      </c>
      <c r="AZ71" s="1208" t="s">
        <v>2159</v>
      </c>
      <c r="BA71" s="1213">
        <v>0.33333333333333331</v>
      </c>
      <c r="BB71" s="1213">
        <v>0</v>
      </c>
      <c r="BC71" s="1213">
        <v>0.33333333333333331</v>
      </c>
      <c r="BD71" s="1213"/>
      <c r="BE71" s="1213"/>
      <c r="BF71" s="1213"/>
      <c r="BG71" s="1213"/>
      <c r="BH71" s="1220"/>
      <c r="BI71" s="1213">
        <v>0.33333333333333331</v>
      </c>
      <c r="BJ71" s="1213">
        <v>0</v>
      </c>
      <c r="BK71" s="1214"/>
      <c r="BL71" s="1214"/>
      <c r="BM71" s="1214"/>
      <c r="BO71" s="1207" t="s">
        <v>2309</v>
      </c>
      <c r="BP71" s="1211" t="s">
        <v>2157</v>
      </c>
      <c r="BQ71" s="1208" t="s">
        <v>2159</v>
      </c>
      <c r="BR71" s="1213">
        <v>0.33333333333333331</v>
      </c>
      <c r="BS71" s="1213"/>
      <c r="BT71" s="1213">
        <v>0.33333333333333331</v>
      </c>
      <c r="BU71" s="1213"/>
      <c r="BV71" s="1213"/>
      <c r="BW71" s="1213"/>
      <c r="BX71" s="1213"/>
      <c r="BY71" s="1220"/>
      <c r="BZ71" s="1213">
        <v>0.33333333333333331</v>
      </c>
      <c r="CA71" s="1213"/>
      <c r="CB71" s="1214"/>
      <c r="CC71" s="1214"/>
      <c r="CD71" s="1214"/>
      <c r="CE71" s="1469"/>
      <c r="CG71" s="1207" t="s">
        <v>209</v>
      </c>
      <c r="CH71" s="1211" t="s">
        <v>2157</v>
      </c>
      <c r="CI71" s="1208" t="s">
        <v>2159</v>
      </c>
      <c r="CJ71" s="1689">
        <f t="shared" si="19"/>
        <v>0.33333333333333331</v>
      </c>
      <c r="CK71" s="1689">
        <f t="shared" si="20"/>
        <v>0</v>
      </c>
      <c r="CL71" s="1689">
        <f t="shared" si="21"/>
        <v>0.33333333333333331</v>
      </c>
      <c r="CM71" s="1689">
        <f t="shared" si="22"/>
        <v>0</v>
      </c>
      <c r="CN71" s="1689">
        <f t="shared" si="23"/>
        <v>0</v>
      </c>
      <c r="CO71" s="1689">
        <f t="shared" si="24"/>
        <v>0</v>
      </c>
      <c r="CP71" s="1689">
        <f t="shared" si="25"/>
        <v>0</v>
      </c>
      <c r="CQ71" s="1701">
        <f t="shared" si="26"/>
        <v>0</v>
      </c>
      <c r="CR71" s="1689">
        <f t="shared" si="27"/>
        <v>0.33333333333333331</v>
      </c>
      <c r="CS71" s="1689">
        <f t="shared" si="28"/>
        <v>0</v>
      </c>
      <c r="CT71" s="1691">
        <f t="shared" si="13"/>
        <v>0</v>
      </c>
      <c r="CU71" s="1691">
        <f t="shared" si="14"/>
        <v>0</v>
      </c>
      <c r="CV71" s="1691">
        <f t="shared" si="15"/>
        <v>0</v>
      </c>
      <c r="CX71" s="1207" t="s">
        <v>2942</v>
      </c>
      <c r="CY71" s="1211" t="s">
        <v>2157</v>
      </c>
      <c r="CZ71" s="1208" t="s">
        <v>2159</v>
      </c>
      <c r="DA71" s="1820">
        <v>0.25</v>
      </c>
      <c r="DB71" s="1678"/>
      <c r="DC71" s="1678"/>
      <c r="DD71" s="1678"/>
      <c r="DE71" s="1678"/>
      <c r="DF71" s="1678"/>
      <c r="DG71" s="1678"/>
      <c r="DH71" s="1738"/>
      <c r="DI71" s="1678"/>
      <c r="DJ71" s="1678"/>
      <c r="DK71" s="1795"/>
      <c r="DL71" s="1795"/>
      <c r="DM71" s="1795"/>
    </row>
    <row r="72" spans="2:117">
      <c r="B72" s="1186" t="str">
        <f t="shared" si="68"/>
        <v>1.2.3</v>
      </c>
      <c r="C72" s="1208" t="str">
        <f t="shared" si="1"/>
        <v>内装計画</v>
      </c>
      <c r="D72" s="1196">
        <f t="shared" si="90"/>
        <v>0.33333333333333331</v>
      </c>
      <c r="E72" s="1196">
        <f t="shared" si="90"/>
        <v>0</v>
      </c>
      <c r="G72" s="1206">
        <f t="shared" ref="G72:G73" si="91">K72*M72</f>
        <v>0.33333333333333331</v>
      </c>
      <c r="H72" s="1206">
        <f t="shared" ref="H72:H73" si="92">L72*N72</f>
        <v>0</v>
      </c>
      <c r="I72" s="1206"/>
      <c r="J72" s="1206"/>
      <c r="K72" s="1206">
        <f>IF(スコア!Q72=0,0,1)</f>
        <v>1</v>
      </c>
      <c r="L72" s="1206">
        <f>IF(スコア!S72=0,0,1)</f>
        <v>1</v>
      </c>
      <c r="M72" s="1206">
        <f t="shared" si="88"/>
        <v>0.33333333333333331</v>
      </c>
      <c r="N72" s="1206">
        <f t="shared" si="89"/>
        <v>0</v>
      </c>
      <c r="P72" s="1207" t="str">
        <f t="shared" si="6"/>
        <v>1.2.3</v>
      </c>
      <c r="Q72" s="1207" t="str">
        <f t="shared" si="7"/>
        <v xml:space="preserve"> Q2 1.2</v>
      </c>
      <c r="R72" s="1208" t="str">
        <f t="shared" si="8"/>
        <v>内装計画</v>
      </c>
      <c r="S72" s="1747">
        <f t="shared" si="74"/>
        <v>0.33333333333333331</v>
      </c>
      <c r="T72" s="1747">
        <f t="shared" si="75"/>
        <v>0.5</v>
      </c>
      <c r="U72" s="1747">
        <f t="shared" si="76"/>
        <v>0.33333333333333331</v>
      </c>
      <c r="V72" s="1747">
        <f t="shared" si="77"/>
        <v>0.5</v>
      </c>
      <c r="W72" s="1747">
        <f t="shared" si="78"/>
        <v>1</v>
      </c>
      <c r="X72" s="1747">
        <f t="shared" si="79"/>
        <v>1</v>
      </c>
      <c r="Y72" s="1747">
        <f t="shared" si="80"/>
        <v>1</v>
      </c>
      <c r="Z72" s="1751">
        <f t="shared" si="81"/>
        <v>1</v>
      </c>
      <c r="AA72" s="1747">
        <f t="shared" si="82"/>
        <v>0.33333333333333331</v>
      </c>
      <c r="AB72" s="1747">
        <f t="shared" si="83"/>
        <v>0.5</v>
      </c>
      <c r="AC72" s="1748">
        <f t="shared" si="84"/>
        <v>0.5</v>
      </c>
      <c r="AD72" s="1748">
        <f t="shared" si="85"/>
        <v>0.5</v>
      </c>
      <c r="AE72" s="1748">
        <f t="shared" si="86"/>
        <v>0.5</v>
      </c>
      <c r="AG72" s="1207" t="s">
        <v>2310</v>
      </c>
      <c r="AH72" s="1211" t="s">
        <v>2157</v>
      </c>
      <c r="AI72" s="1208" t="s">
        <v>2160</v>
      </c>
      <c r="AJ72" s="1244">
        <v>0.33333333333333331</v>
      </c>
      <c r="AK72" s="1209">
        <v>1</v>
      </c>
      <c r="AL72" s="1209">
        <v>0.5</v>
      </c>
      <c r="AM72" s="1209">
        <v>1</v>
      </c>
      <c r="AN72" s="1209">
        <v>1</v>
      </c>
      <c r="AO72" s="1209">
        <v>1</v>
      </c>
      <c r="AP72" s="1209">
        <v>1</v>
      </c>
      <c r="AQ72" s="1223">
        <v>1</v>
      </c>
      <c r="AR72" s="1209">
        <v>1</v>
      </c>
      <c r="AS72" s="1213">
        <v>1</v>
      </c>
      <c r="AT72" s="1214">
        <v>1</v>
      </c>
      <c r="AU72" s="1214">
        <v>1</v>
      </c>
      <c r="AV72" s="1214">
        <v>1</v>
      </c>
      <c r="AX72" s="1207" t="s">
        <v>2310</v>
      </c>
      <c r="AY72" s="1211" t="s">
        <v>2157</v>
      </c>
      <c r="AZ72" s="1208" t="s">
        <v>2160</v>
      </c>
      <c r="BA72" s="1213">
        <v>0.33333333333333331</v>
      </c>
      <c r="BB72" s="1213">
        <v>0.5</v>
      </c>
      <c r="BC72" s="1213">
        <v>0.33333333333333331</v>
      </c>
      <c r="BD72" s="1213">
        <v>0.5</v>
      </c>
      <c r="BE72" s="1213">
        <v>1</v>
      </c>
      <c r="BF72" s="1213">
        <v>1</v>
      </c>
      <c r="BG72" s="1213">
        <v>1</v>
      </c>
      <c r="BH72" s="1220">
        <v>1</v>
      </c>
      <c r="BI72" s="1213">
        <v>0.33333333333333331</v>
      </c>
      <c r="BJ72" s="1213">
        <v>0.5</v>
      </c>
      <c r="BK72" s="1214">
        <v>0.5</v>
      </c>
      <c r="BL72" s="1214">
        <v>0.5</v>
      </c>
      <c r="BM72" s="1214">
        <v>0.5</v>
      </c>
      <c r="BO72" s="1207" t="s">
        <v>2310</v>
      </c>
      <c r="BP72" s="1211" t="s">
        <v>2157</v>
      </c>
      <c r="BQ72" s="1208" t="s">
        <v>2160</v>
      </c>
      <c r="BR72" s="1213">
        <v>0.33333333333333331</v>
      </c>
      <c r="BS72" s="1213">
        <v>0.5</v>
      </c>
      <c r="BT72" s="1213">
        <v>0.33333333333333331</v>
      </c>
      <c r="BU72" s="1213">
        <v>0.5</v>
      </c>
      <c r="BV72" s="1213">
        <v>1</v>
      </c>
      <c r="BW72" s="1213">
        <v>1</v>
      </c>
      <c r="BX72" s="1213">
        <v>1</v>
      </c>
      <c r="BY72" s="1220">
        <v>1</v>
      </c>
      <c r="BZ72" s="1213">
        <v>0.33333333333333331</v>
      </c>
      <c r="CA72" s="1213">
        <v>0.5</v>
      </c>
      <c r="CB72" s="1214">
        <v>0.5</v>
      </c>
      <c r="CC72" s="1214">
        <v>0.5</v>
      </c>
      <c r="CD72" s="1214">
        <v>0.5</v>
      </c>
      <c r="CE72" s="1469"/>
      <c r="CG72" s="1207" t="s">
        <v>210</v>
      </c>
      <c r="CH72" s="1211" t="s">
        <v>2157</v>
      </c>
      <c r="CI72" s="1208" t="s">
        <v>2160</v>
      </c>
      <c r="CJ72" s="1689">
        <f t="shared" si="19"/>
        <v>0.33333333333333331</v>
      </c>
      <c r="CK72" s="1689">
        <f t="shared" si="20"/>
        <v>0.5</v>
      </c>
      <c r="CL72" s="1689">
        <f t="shared" si="21"/>
        <v>0.33333333333333331</v>
      </c>
      <c r="CM72" s="1689">
        <f t="shared" si="22"/>
        <v>0.5</v>
      </c>
      <c r="CN72" s="1689">
        <f t="shared" si="23"/>
        <v>1</v>
      </c>
      <c r="CO72" s="1689">
        <f t="shared" si="24"/>
        <v>1</v>
      </c>
      <c r="CP72" s="1689">
        <f t="shared" si="25"/>
        <v>1</v>
      </c>
      <c r="CQ72" s="1701">
        <f t="shared" si="26"/>
        <v>1</v>
      </c>
      <c r="CR72" s="1689">
        <f t="shared" si="27"/>
        <v>0.33333333333333331</v>
      </c>
      <c r="CS72" s="1689">
        <f t="shared" si="28"/>
        <v>0.5</v>
      </c>
      <c r="CT72" s="1691">
        <f t="shared" si="13"/>
        <v>0.5</v>
      </c>
      <c r="CU72" s="1691">
        <f t="shared" si="14"/>
        <v>0.5</v>
      </c>
      <c r="CV72" s="1691">
        <f t="shared" si="15"/>
        <v>0.5</v>
      </c>
      <c r="CX72" s="1207" t="s">
        <v>2943</v>
      </c>
      <c r="CY72" s="1211" t="s">
        <v>2157</v>
      </c>
      <c r="CZ72" s="1208" t="s">
        <v>2160</v>
      </c>
      <c r="DA72" s="1820">
        <v>0.25</v>
      </c>
      <c r="DB72" s="1678"/>
      <c r="DC72" s="1678"/>
      <c r="DD72" s="1678"/>
      <c r="DE72" s="1678"/>
      <c r="DF72" s="1678"/>
      <c r="DG72" s="1678"/>
      <c r="DH72" s="1738"/>
      <c r="DI72" s="1678"/>
      <c r="DJ72" s="1678"/>
      <c r="DK72" s="1795"/>
      <c r="DL72" s="1795"/>
      <c r="DM72" s="1795"/>
    </row>
    <row r="73" spans="2:117" hidden="1">
      <c r="B73" s="1186"/>
      <c r="C73" s="1208">
        <f t="shared" ref="C73:C136" si="93">R73</f>
        <v>0</v>
      </c>
      <c r="D73" s="1196">
        <f t="shared" si="90"/>
        <v>0</v>
      </c>
      <c r="E73" s="1196">
        <f>IF(J$68&gt;0,H73/J$68,0)</f>
        <v>0</v>
      </c>
      <c r="G73" s="1206">
        <f t="shared" si="91"/>
        <v>0</v>
      </c>
      <c r="H73" s="1206">
        <f t="shared" si="92"/>
        <v>0</v>
      </c>
      <c r="I73" s="1206"/>
      <c r="J73" s="1206"/>
      <c r="K73" s="1206">
        <f>IF(スコア!Q73=0,0,1)</f>
        <v>1</v>
      </c>
      <c r="L73" s="1206">
        <f>IF(スコア!S73=0,0,1)</f>
        <v>0</v>
      </c>
      <c r="M73" s="1206">
        <f t="shared" si="88"/>
        <v>0</v>
      </c>
      <c r="N73" s="1206">
        <f t="shared" si="89"/>
        <v>0</v>
      </c>
      <c r="P73" s="1207">
        <f t="shared" si="6"/>
        <v>0</v>
      </c>
      <c r="Q73" s="1207">
        <f t="shared" si="7"/>
        <v>0</v>
      </c>
      <c r="R73" s="1208">
        <f t="shared" si="8"/>
        <v>0</v>
      </c>
      <c r="S73" s="1747">
        <f t="shared" si="74"/>
        <v>0</v>
      </c>
      <c r="T73" s="1747">
        <f t="shared" si="75"/>
        <v>0</v>
      </c>
      <c r="U73" s="1747">
        <f t="shared" si="76"/>
        <v>0</v>
      </c>
      <c r="V73" s="1747">
        <f t="shared" si="77"/>
        <v>0</v>
      </c>
      <c r="W73" s="1747">
        <f t="shared" si="78"/>
        <v>0</v>
      </c>
      <c r="X73" s="1747">
        <f t="shared" si="79"/>
        <v>0</v>
      </c>
      <c r="Y73" s="1747">
        <f t="shared" si="80"/>
        <v>0</v>
      </c>
      <c r="Z73" s="1751">
        <f t="shared" si="81"/>
        <v>0</v>
      </c>
      <c r="AA73" s="1747">
        <f t="shared" si="82"/>
        <v>0</v>
      </c>
      <c r="AB73" s="1747">
        <f t="shared" si="83"/>
        <v>0</v>
      </c>
      <c r="AC73" s="1748">
        <f t="shared" si="84"/>
        <v>0</v>
      </c>
      <c r="AD73" s="1748">
        <f t="shared" si="85"/>
        <v>0</v>
      </c>
      <c r="AE73" s="1748">
        <f t="shared" si="86"/>
        <v>0</v>
      </c>
      <c r="AG73" s="1207"/>
      <c r="AH73" s="1211"/>
      <c r="AI73" s="1208"/>
      <c r="AJ73" s="1244"/>
      <c r="AK73" s="1209"/>
      <c r="AL73" s="1209"/>
      <c r="AM73" s="1209"/>
      <c r="AN73" s="1209"/>
      <c r="AO73" s="1209"/>
      <c r="AP73" s="1209"/>
      <c r="AQ73" s="1223"/>
      <c r="AR73" s="1209"/>
      <c r="AS73" s="1213"/>
      <c r="AT73" s="1214"/>
      <c r="AU73" s="1214"/>
      <c r="AV73" s="1214"/>
      <c r="AX73" s="1207"/>
      <c r="AY73" s="1211"/>
      <c r="AZ73" s="1208"/>
      <c r="BA73" s="1213"/>
      <c r="BB73" s="1213"/>
      <c r="BC73" s="1213"/>
      <c r="BD73" s="1213"/>
      <c r="BE73" s="1213"/>
      <c r="BF73" s="1213"/>
      <c r="BG73" s="1213"/>
      <c r="BH73" s="1220"/>
      <c r="BI73" s="1213"/>
      <c r="BJ73" s="1213"/>
      <c r="BK73" s="1214"/>
      <c r="BL73" s="1214"/>
      <c r="BM73" s="1214"/>
      <c r="BO73" s="1207"/>
      <c r="BP73" s="1211"/>
      <c r="BQ73" s="1208"/>
      <c r="BR73" s="1213"/>
      <c r="BS73" s="1213"/>
      <c r="BT73" s="1213"/>
      <c r="BU73" s="1213"/>
      <c r="BV73" s="1213"/>
      <c r="BW73" s="1213"/>
      <c r="BX73" s="1213"/>
      <c r="BY73" s="1220"/>
      <c r="BZ73" s="1213"/>
      <c r="CA73" s="1213"/>
      <c r="CB73" s="1214"/>
      <c r="CC73" s="1214"/>
      <c r="CD73" s="1214"/>
      <c r="CE73" s="1469"/>
      <c r="CG73" s="1207"/>
      <c r="CH73" s="1211"/>
      <c r="CI73" s="1208"/>
      <c r="CJ73" s="1689"/>
      <c r="CK73" s="1689"/>
      <c r="CL73" s="1689"/>
      <c r="CM73" s="1689"/>
      <c r="CN73" s="1689"/>
      <c r="CO73" s="1689"/>
      <c r="CP73" s="1689"/>
      <c r="CQ73" s="1701"/>
      <c r="CR73" s="1689"/>
      <c r="CS73" s="1689"/>
      <c r="CT73" s="1691"/>
      <c r="CU73" s="1691"/>
      <c r="CV73" s="1691"/>
      <c r="CX73" s="1207" t="s">
        <v>2944</v>
      </c>
      <c r="CY73" s="1818" t="s">
        <v>2157</v>
      </c>
      <c r="CZ73" s="1819" t="s">
        <v>2936</v>
      </c>
      <c r="DA73" s="1820">
        <v>0.2</v>
      </c>
      <c r="DB73" s="1678"/>
      <c r="DC73" s="1678"/>
      <c r="DD73" s="1678"/>
      <c r="DE73" s="1678"/>
      <c r="DF73" s="1678"/>
      <c r="DG73" s="1678"/>
      <c r="DH73" s="1738"/>
      <c r="DI73" s="1678"/>
      <c r="DJ73" s="1678"/>
      <c r="DK73" s="1795"/>
      <c r="DL73" s="1795"/>
      <c r="DM73" s="1795"/>
    </row>
    <row r="74" spans="2:117">
      <c r="B74" s="1186">
        <f t="shared" si="68"/>
        <v>1.3</v>
      </c>
      <c r="C74" s="1208" t="str">
        <f t="shared" si="93"/>
        <v>維持管理</v>
      </c>
      <c r="D74" s="1205">
        <f>IF(I$63=0,0,G74/I$63)</f>
        <v>0.3</v>
      </c>
      <c r="E74" s="1206">
        <f>IF(J$63=0,0,H74/J$63)</f>
        <v>0</v>
      </c>
      <c r="G74" s="1206">
        <f t="shared" si="64"/>
        <v>0.3</v>
      </c>
      <c r="H74" s="1206">
        <f t="shared" si="65"/>
        <v>0</v>
      </c>
      <c r="I74" s="1206">
        <f>G75+G76+G77</f>
        <v>1</v>
      </c>
      <c r="J74" s="1206">
        <f>H75+H76+H77</f>
        <v>0</v>
      </c>
      <c r="K74" s="1206">
        <f>IF(スコア!Q74=0,0,1)</f>
        <v>1</v>
      </c>
      <c r="L74" s="1206">
        <f>IF(スコア!S78=0,0,1)</f>
        <v>0</v>
      </c>
      <c r="M74" s="1206">
        <f t="shared" si="66"/>
        <v>0.3</v>
      </c>
      <c r="N74" s="1206">
        <f t="shared" si="67"/>
        <v>0</v>
      </c>
      <c r="P74" s="1207">
        <f t="shared" ref="P74:P137" si="94">IF($P$3=1,AX74,IF($P$3=2,BO74,IF($P$3=3,CG74,IF($P$3=4,CX74,AG74))))</f>
        <v>1.3</v>
      </c>
      <c r="Q74" s="1207" t="str">
        <f t="shared" ref="Q74:Q137" si="95">IF($P$3=1,AY74,IF($P$3=2,BP74,IF($P$3=3,CH74,IF($P$3=4,CY74,AH74))))</f>
        <v xml:space="preserve"> Q2 1</v>
      </c>
      <c r="R74" s="1208" t="str">
        <f t="shared" ref="R74:R137" si="96">IF($P$3=1,AZ74,IF($P$3=2,BQ74,IF($P$3=3,CI74,IF($P$3=4,CZ74,AI74))))</f>
        <v>維持管理</v>
      </c>
      <c r="S74" s="1747">
        <f t="shared" si="74"/>
        <v>0.3</v>
      </c>
      <c r="T74" s="1747">
        <f t="shared" si="75"/>
        <v>0.3</v>
      </c>
      <c r="U74" s="1747">
        <f t="shared" si="76"/>
        <v>0.3</v>
      </c>
      <c r="V74" s="1747">
        <f t="shared" si="77"/>
        <v>0.3</v>
      </c>
      <c r="W74" s="1747">
        <f t="shared" si="78"/>
        <v>0.3</v>
      </c>
      <c r="X74" s="1747">
        <f t="shared" si="79"/>
        <v>0.3</v>
      </c>
      <c r="Y74" s="1747">
        <f t="shared" si="80"/>
        <v>0.3</v>
      </c>
      <c r="Z74" s="1751">
        <f t="shared" si="81"/>
        <v>0.3</v>
      </c>
      <c r="AA74" s="1747">
        <f t="shared" si="82"/>
        <v>0.3</v>
      </c>
      <c r="AB74" s="1747">
        <f t="shared" si="83"/>
        <v>0.3</v>
      </c>
      <c r="AC74" s="1748">
        <f t="shared" si="84"/>
        <v>0</v>
      </c>
      <c r="AD74" s="1748">
        <f t="shared" si="85"/>
        <v>0</v>
      </c>
      <c r="AE74" s="1748">
        <f t="shared" si="86"/>
        <v>0</v>
      </c>
      <c r="AG74" s="1207">
        <v>1.3</v>
      </c>
      <c r="AH74" s="1211" t="s">
        <v>2152</v>
      </c>
      <c r="AI74" s="1208" t="s">
        <v>1</v>
      </c>
      <c r="AJ74" s="1244">
        <v>0.3</v>
      </c>
      <c r="AK74" s="1244">
        <v>0.3</v>
      </c>
      <c r="AL74" s="1244">
        <v>0.3</v>
      </c>
      <c r="AM74" s="1212">
        <v>0.3</v>
      </c>
      <c r="AN74" s="1212">
        <v>0.3</v>
      </c>
      <c r="AO74" s="1244">
        <v>0.3</v>
      </c>
      <c r="AP74" s="1212">
        <v>0.3</v>
      </c>
      <c r="AQ74" s="1244">
        <v>0.3</v>
      </c>
      <c r="AR74" s="1212">
        <v>0.3</v>
      </c>
      <c r="AS74" s="1213">
        <v>0.3</v>
      </c>
      <c r="AT74" s="1214">
        <v>0</v>
      </c>
      <c r="AU74" s="1214">
        <v>0</v>
      </c>
      <c r="AV74" s="1214">
        <v>0</v>
      </c>
      <c r="AX74" s="1207">
        <v>1.3</v>
      </c>
      <c r="AY74" s="1211" t="s">
        <v>2152</v>
      </c>
      <c r="AZ74" s="1208" t="s">
        <v>1</v>
      </c>
      <c r="BA74" s="1213">
        <v>0.3</v>
      </c>
      <c r="BB74" s="1213">
        <v>0.3</v>
      </c>
      <c r="BC74" s="1213">
        <v>0.3</v>
      </c>
      <c r="BD74" s="1213">
        <v>0.3</v>
      </c>
      <c r="BE74" s="1213">
        <v>0.3</v>
      </c>
      <c r="BF74" s="1213">
        <v>0.3</v>
      </c>
      <c r="BG74" s="1213">
        <v>0.3</v>
      </c>
      <c r="BH74" s="1220">
        <v>0.3</v>
      </c>
      <c r="BI74" s="1213">
        <v>0.3</v>
      </c>
      <c r="BJ74" s="1213">
        <v>0.3</v>
      </c>
      <c r="BK74" s="1214"/>
      <c r="BL74" s="1214"/>
      <c r="BM74" s="1214"/>
      <c r="BO74" s="1207">
        <v>1.3</v>
      </c>
      <c r="BP74" s="1211" t="s">
        <v>2152</v>
      </c>
      <c r="BQ74" s="1208" t="s">
        <v>1</v>
      </c>
      <c r="BR74" s="1213">
        <v>0.3</v>
      </c>
      <c r="BS74" s="1213">
        <v>0.3</v>
      </c>
      <c r="BT74" s="1213">
        <v>0.3</v>
      </c>
      <c r="BU74" s="1213">
        <v>0.3</v>
      </c>
      <c r="BV74" s="1213">
        <v>0.3</v>
      </c>
      <c r="BW74" s="1213">
        <v>0.3</v>
      </c>
      <c r="BX74" s="1213">
        <v>0.3</v>
      </c>
      <c r="BY74" s="1220">
        <v>0.3</v>
      </c>
      <c r="BZ74" s="1213">
        <v>0.3</v>
      </c>
      <c r="CA74" s="1213">
        <v>0.3</v>
      </c>
      <c r="CB74" s="1214"/>
      <c r="CC74" s="1214"/>
      <c r="CD74" s="1214"/>
      <c r="CE74" s="1469"/>
      <c r="CG74" s="1207">
        <v>1.3</v>
      </c>
      <c r="CH74" s="1211" t="s">
        <v>2152</v>
      </c>
      <c r="CI74" s="1208" t="s">
        <v>1</v>
      </c>
      <c r="CJ74" s="1689">
        <f t="shared" si="19"/>
        <v>0.3</v>
      </c>
      <c r="CK74" s="1689">
        <f t="shared" si="20"/>
        <v>0.3</v>
      </c>
      <c r="CL74" s="1689">
        <f t="shared" si="21"/>
        <v>0.3</v>
      </c>
      <c r="CM74" s="1689">
        <f t="shared" si="22"/>
        <v>0.3</v>
      </c>
      <c r="CN74" s="1689">
        <f t="shared" si="23"/>
        <v>0.3</v>
      </c>
      <c r="CO74" s="1689">
        <f t="shared" si="24"/>
        <v>0.3</v>
      </c>
      <c r="CP74" s="1689">
        <f t="shared" si="25"/>
        <v>0.3</v>
      </c>
      <c r="CQ74" s="1701">
        <f t="shared" si="26"/>
        <v>0.3</v>
      </c>
      <c r="CR74" s="1689">
        <f t="shared" si="27"/>
        <v>0.3</v>
      </c>
      <c r="CS74" s="1689">
        <f t="shared" si="28"/>
        <v>0.3</v>
      </c>
      <c r="CT74" s="1691">
        <f t="shared" si="13"/>
        <v>0</v>
      </c>
      <c r="CU74" s="1691">
        <f t="shared" si="14"/>
        <v>0</v>
      </c>
      <c r="CV74" s="1691">
        <f t="shared" si="15"/>
        <v>0</v>
      </c>
      <c r="CX74" s="1207">
        <v>1.3</v>
      </c>
      <c r="CY74" s="1211" t="s">
        <v>2152</v>
      </c>
      <c r="CZ74" s="1208" t="s">
        <v>1</v>
      </c>
      <c r="DA74" s="1814">
        <v>0.15</v>
      </c>
      <c r="DB74" s="1678"/>
      <c r="DC74" s="1678"/>
      <c r="DD74" s="1678"/>
      <c r="DE74" s="1678"/>
      <c r="DF74" s="1678"/>
      <c r="DG74" s="1678"/>
      <c r="DH74" s="1738"/>
      <c r="DI74" s="1678"/>
      <c r="DJ74" s="1678"/>
      <c r="DK74" s="1795"/>
      <c r="DL74" s="1795"/>
      <c r="DM74" s="1795"/>
    </row>
    <row r="75" spans="2:117">
      <c r="B75" s="1186" t="str">
        <f t="shared" si="68"/>
        <v>1.3.1</v>
      </c>
      <c r="C75" s="1208" t="str">
        <f t="shared" si="93"/>
        <v>維持管理に配慮した設計</v>
      </c>
      <c r="D75" s="1196">
        <f t="shared" ref="D75:E77" si="97">IF(I$74&gt;0,G75/I$74,0)</f>
        <v>0.5</v>
      </c>
      <c r="E75" s="1196">
        <f t="shared" si="97"/>
        <v>0</v>
      </c>
      <c r="G75" s="1206">
        <f t="shared" si="64"/>
        <v>0.5</v>
      </c>
      <c r="H75" s="1206">
        <f t="shared" si="65"/>
        <v>0</v>
      </c>
      <c r="I75" s="1206"/>
      <c r="J75" s="1206"/>
      <c r="K75" s="1206">
        <f>IF(スコア!Q75=0,0,1)</f>
        <v>1</v>
      </c>
      <c r="L75" s="1206">
        <f>IF(スコア!S79=0,0,1)</f>
        <v>0</v>
      </c>
      <c r="M75" s="1206">
        <f t="shared" si="66"/>
        <v>0.5</v>
      </c>
      <c r="N75" s="1206">
        <f t="shared" si="67"/>
        <v>0</v>
      </c>
      <c r="P75" s="1207" t="str">
        <f t="shared" si="94"/>
        <v>1.3.1</v>
      </c>
      <c r="Q75" s="1207" t="str">
        <f t="shared" si="95"/>
        <v xml:space="preserve"> Q2 1.3</v>
      </c>
      <c r="R75" s="1208" t="str">
        <f t="shared" si="96"/>
        <v>維持管理に配慮した設計</v>
      </c>
      <c r="S75" s="1747">
        <f t="shared" si="74"/>
        <v>0.5</v>
      </c>
      <c r="T75" s="1747">
        <f t="shared" si="75"/>
        <v>0.5</v>
      </c>
      <c r="U75" s="1747">
        <f t="shared" si="76"/>
        <v>0.5</v>
      </c>
      <c r="V75" s="1747">
        <f t="shared" si="77"/>
        <v>0.5</v>
      </c>
      <c r="W75" s="1747">
        <f t="shared" si="78"/>
        <v>0.5</v>
      </c>
      <c r="X75" s="1747">
        <f t="shared" si="79"/>
        <v>0.5</v>
      </c>
      <c r="Y75" s="1747">
        <f t="shared" si="80"/>
        <v>0.5</v>
      </c>
      <c r="Z75" s="1751">
        <f t="shared" si="81"/>
        <v>0.5</v>
      </c>
      <c r="AA75" s="1747">
        <f t="shared" si="82"/>
        <v>0.5</v>
      </c>
      <c r="AB75" s="1747">
        <f t="shared" si="83"/>
        <v>0.5</v>
      </c>
      <c r="AC75" s="1748">
        <f t="shared" si="84"/>
        <v>0</v>
      </c>
      <c r="AD75" s="1748">
        <f t="shared" si="85"/>
        <v>0</v>
      </c>
      <c r="AE75" s="1748">
        <f t="shared" si="86"/>
        <v>0</v>
      </c>
      <c r="AG75" s="1207" t="s">
        <v>2161</v>
      </c>
      <c r="AH75" s="1211" t="s">
        <v>1714</v>
      </c>
      <c r="AI75" s="452" t="s">
        <v>1715</v>
      </c>
      <c r="AJ75" s="1244">
        <v>0.5</v>
      </c>
      <c r="AK75" s="1244">
        <v>0.5</v>
      </c>
      <c r="AL75" s="1244">
        <v>0.5</v>
      </c>
      <c r="AM75" s="1219">
        <v>0.5</v>
      </c>
      <c r="AN75" s="1219">
        <v>0.5</v>
      </c>
      <c r="AO75" s="1244">
        <v>0.5</v>
      </c>
      <c r="AP75" s="1219">
        <v>0.5</v>
      </c>
      <c r="AQ75" s="1244">
        <v>0.5</v>
      </c>
      <c r="AR75" s="1219">
        <v>0.5</v>
      </c>
      <c r="AS75" s="1213">
        <v>0.5</v>
      </c>
      <c r="AT75" s="1214">
        <v>0</v>
      </c>
      <c r="AU75" s="1214">
        <v>0</v>
      </c>
      <c r="AV75" s="1214">
        <v>0</v>
      </c>
      <c r="AX75" s="1207" t="s">
        <v>2161</v>
      </c>
      <c r="AY75" s="1211" t="s">
        <v>1714</v>
      </c>
      <c r="AZ75" s="1208" t="s">
        <v>1716</v>
      </c>
      <c r="BA75" s="1213">
        <v>0.5</v>
      </c>
      <c r="BB75" s="1213">
        <v>0.5</v>
      </c>
      <c r="BC75" s="1213">
        <v>0.5</v>
      </c>
      <c r="BD75" s="1213">
        <v>0.5</v>
      </c>
      <c r="BE75" s="1213">
        <v>0.5</v>
      </c>
      <c r="BF75" s="1213">
        <v>0.5</v>
      </c>
      <c r="BG75" s="1213">
        <v>0.5</v>
      </c>
      <c r="BH75" s="1220">
        <v>0.5</v>
      </c>
      <c r="BI75" s="1213">
        <v>0.5</v>
      </c>
      <c r="BJ75" s="1213">
        <v>0.5</v>
      </c>
      <c r="BK75" s="1214"/>
      <c r="BL75" s="1214"/>
      <c r="BM75" s="1214"/>
      <c r="BO75" s="1207" t="s">
        <v>2161</v>
      </c>
      <c r="BP75" s="1211" t="s">
        <v>1714</v>
      </c>
      <c r="BQ75" s="1208" t="s">
        <v>1716</v>
      </c>
      <c r="BR75" s="1213">
        <v>0.5</v>
      </c>
      <c r="BS75" s="1213">
        <v>0.5</v>
      </c>
      <c r="BT75" s="1213">
        <v>0.5</v>
      </c>
      <c r="BU75" s="1213">
        <v>0.5</v>
      </c>
      <c r="BV75" s="1213">
        <v>0.5</v>
      </c>
      <c r="BW75" s="1213">
        <v>0.5</v>
      </c>
      <c r="BX75" s="1213">
        <v>0.5</v>
      </c>
      <c r="BY75" s="1220">
        <v>0.5</v>
      </c>
      <c r="BZ75" s="1213">
        <v>0.5</v>
      </c>
      <c r="CA75" s="1213">
        <v>0.5</v>
      </c>
      <c r="CB75" s="1214"/>
      <c r="CC75" s="1214"/>
      <c r="CD75" s="1214"/>
      <c r="CE75" s="1469"/>
      <c r="CG75" s="1207" t="s">
        <v>2161</v>
      </c>
      <c r="CH75" s="1211" t="s">
        <v>1714</v>
      </c>
      <c r="CI75" s="1208" t="s">
        <v>1716</v>
      </c>
      <c r="CJ75" s="1689">
        <f t="shared" si="19"/>
        <v>0.5</v>
      </c>
      <c r="CK75" s="1689">
        <f t="shared" si="20"/>
        <v>0.5</v>
      </c>
      <c r="CL75" s="1689">
        <f t="shared" si="21"/>
        <v>0.5</v>
      </c>
      <c r="CM75" s="1689">
        <f t="shared" si="22"/>
        <v>0.5</v>
      </c>
      <c r="CN75" s="1689">
        <f t="shared" si="23"/>
        <v>0.5</v>
      </c>
      <c r="CO75" s="1689">
        <f t="shared" si="24"/>
        <v>0.5</v>
      </c>
      <c r="CP75" s="1689">
        <f t="shared" si="25"/>
        <v>0.5</v>
      </c>
      <c r="CQ75" s="1701">
        <f t="shared" si="26"/>
        <v>0.5</v>
      </c>
      <c r="CR75" s="1689">
        <f t="shared" si="27"/>
        <v>0.5</v>
      </c>
      <c r="CS75" s="1689">
        <f t="shared" si="28"/>
        <v>0.5</v>
      </c>
      <c r="CT75" s="1691">
        <f t="shared" si="13"/>
        <v>0</v>
      </c>
      <c r="CU75" s="1691">
        <f t="shared" si="14"/>
        <v>0</v>
      </c>
      <c r="CV75" s="1691">
        <f t="shared" si="15"/>
        <v>0</v>
      </c>
      <c r="CX75" s="1207" t="s">
        <v>2161</v>
      </c>
      <c r="CY75" s="1211" t="s">
        <v>1714</v>
      </c>
      <c r="CZ75" s="1208" t="s">
        <v>1716</v>
      </c>
      <c r="DA75" s="1814">
        <v>1</v>
      </c>
      <c r="DB75" s="1678"/>
      <c r="DC75" s="1678"/>
      <c r="DD75" s="1678"/>
      <c r="DE75" s="1678"/>
      <c r="DF75" s="1678"/>
      <c r="DG75" s="1678"/>
      <c r="DH75" s="1738"/>
      <c r="DI75" s="1678"/>
      <c r="DJ75" s="1678"/>
      <c r="DK75" s="1795"/>
      <c r="DL75" s="1795"/>
      <c r="DM75" s="1795"/>
    </row>
    <row r="76" spans="2:117">
      <c r="B76" s="1186" t="str">
        <f t="shared" si="68"/>
        <v>1.3.2</v>
      </c>
      <c r="C76" s="1208" t="str">
        <f t="shared" si="93"/>
        <v>維持管理用機能の確保</v>
      </c>
      <c r="D76" s="1196">
        <f t="shared" si="97"/>
        <v>0.5</v>
      </c>
      <c r="E76" s="1196">
        <f t="shared" si="97"/>
        <v>0</v>
      </c>
      <c r="G76" s="1206">
        <f t="shared" ref="G76:G107" si="98">K76*M76</f>
        <v>0.5</v>
      </c>
      <c r="H76" s="1206">
        <f t="shared" ref="H76:H107" si="99">L76*N76</f>
        <v>0</v>
      </c>
      <c r="I76" s="1206"/>
      <c r="J76" s="1206"/>
      <c r="K76" s="1206">
        <f>IF(スコア!Q76=0,0,1)</f>
        <v>1</v>
      </c>
      <c r="L76" s="1206">
        <f>IF(スコア!S80=0,0,1)</f>
        <v>0</v>
      </c>
      <c r="M76" s="1206">
        <f t="shared" ref="M76:M107" si="100">SUMPRODUCT($S$7:$AB$7,S76:AB76)</f>
        <v>0.5</v>
      </c>
      <c r="N76" s="1206">
        <f t="shared" ref="N76:N98" si="101">(AC$7*AC76)+(AD$7*AD76)+(AE$7*AE76)</f>
        <v>0</v>
      </c>
      <c r="P76" s="1207" t="str">
        <f t="shared" si="94"/>
        <v>1.3.2</v>
      </c>
      <c r="Q76" s="1207" t="str">
        <f t="shared" si="95"/>
        <v xml:space="preserve"> Q2 1.3</v>
      </c>
      <c r="R76" s="1208" t="str">
        <f t="shared" si="96"/>
        <v>維持管理用機能の確保</v>
      </c>
      <c r="S76" s="1747">
        <f t="shared" si="74"/>
        <v>0.5</v>
      </c>
      <c r="T76" s="1747">
        <f t="shared" si="75"/>
        <v>0.5</v>
      </c>
      <c r="U76" s="1747">
        <f t="shared" si="76"/>
        <v>0.5</v>
      </c>
      <c r="V76" s="1747">
        <f t="shared" si="77"/>
        <v>0.5</v>
      </c>
      <c r="W76" s="1747">
        <f t="shared" si="78"/>
        <v>0.5</v>
      </c>
      <c r="X76" s="1747">
        <f t="shared" si="79"/>
        <v>0.5</v>
      </c>
      <c r="Y76" s="1747">
        <f t="shared" si="80"/>
        <v>0.5</v>
      </c>
      <c r="Z76" s="1751">
        <f t="shared" si="81"/>
        <v>0.5</v>
      </c>
      <c r="AA76" s="1747">
        <f t="shared" si="82"/>
        <v>0.5</v>
      </c>
      <c r="AB76" s="1747">
        <f t="shared" si="83"/>
        <v>0.5</v>
      </c>
      <c r="AC76" s="1748">
        <f t="shared" si="84"/>
        <v>0</v>
      </c>
      <c r="AD76" s="1748">
        <f t="shared" si="85"/>
        <v>0</v>
      </c>
      <c r="AE76" s="1748">
        <f t="shared" si="86"/>
        <v>0</v>
      </c>
      <c r="AG76" s="1207" t="s">
        <v>1717</v>
      </c>
      <c r="AH76" s="1211" t="s">
        <v>1714</v>
      </c>
      <c r="AI76" s="452" t="s">
        <v>1718</v>
      </c>
      <c r="AJ76" s="1244">
        <v>0.3</v>
      </c>
      <c r="AK76" s="1244">
        <v>0.3</v>
      </c>
      <c r="AL76" s="1244">
        <v>0.3</v>
      </c>
      <c r="AM76" s="1219">
        <v>0.3</v>
      </c>
      <c r="AN76" s="1219">
        <v>0.3</v>
      </c>
      <c r="AO76" s="1244">
        <v>0.3</v>
      </c>
      <c r="AP76" s="1219">
        <v>0.3</v>
      </c>
      <c r="AQ76" s="1244">
        <v>0.3</v>
      </c>
      <c r="AR76" s="1219">
        <v>0.3</v>
      </c>
      <c r="AS76" s="1213">
        <v>0.3</v>
      </c>
      <c r="AT76" s="1214">
        <v>0</v>
      </c>
      <c r="AU76" s="1214">
        <v>0</v>
      </c>
      <c r="AV76" s="1214">
        <v>0</v>
      </c>
      <c r="AX76" s="1207" t="s">
        <v>1717</v>
      </c>
      <c r="AY76" s="1211" t="s">
        <v>1714</v>
      </c>
      <c r="AZ76" s="1208" t="s">
        <v>1719</v>
      </c>
      <c r="BA76" s="1213">
        <v>0.5</v>
      </c>
      <c r="BB76" s="1213">
        <v>0.5</v>
      </c>
      <c r="BC76" s="1213">
        <v>0.5</v>
      </c>
      <c r="BD76" s="1213">
        <v>0.5</v>
      </c>
      <c r="BE76" s="1213">
        <v>0.5</v>
      </c>
      <c r="BF76" s="1213">
        <v>0.5</v>
      </c>
      <c r="BG76" s="1213">
        <v>0.5</v>
      </c>
      <c r="BH76" s="1220">
        <v>0.5</v>
      </c>
      <c r="BI76" s="1213">
        <v>0.5</v>
      </c>
      <c r="BJ76" s="1213">
        <v>0.5</v>
      </c>
      <c r="BK76" s="1214"/>
      <c r="BL76" s="1214"/>
      <c r="BM76" s="1214"/>
      <c r="BO76" s="1207" t="s">
        <v>1717</v>
      </c>
      <c r="BP76" s="1211" t="s">
        <v>1714</v>
      </c>
      <c r="BQ76" s="1208" t="s">
        <v>1719</v>
      </c>
      <c r="BR76" s="1213">
        <v>0.5</v>
      </c>
      <c r="BS76" s="1213">
        <v>0.5</v>
      </c>
      <c r="BT76" s="1213">
        <v>0.5</v>
      </c>
      <c r="BU76" s="1213">
        <v>0.5</v>
      </c>
      <c r="BV76" s="1213">
        <v>0.5</v>
      </c>
      <c r="BW76" s="1213">
        <v>0.5</v>
      </c>
      <c r="BX76" s="1213">
        <v>0.5</v>
      </c>
      <c r="BY76" s="1220">
        <v>0.5</v>
      </c>
      <c r="BZ76" s="1213">
        <v>0.5</v>
      </c>
      <c r="CA76" s="1213">
        <v>0.5</v>
      </c>
      <c r="CB76" s="1214"/>
      <c r="CC76" s="1214"/>
      <c r="CD76" s="1214"/>
      <c r="CE76" s="1469"/>
      <c r="CG76" s="1207" t="s">
        <v>1717</v>
      </c>
      <c r="CH76" s="1211" t="s">
        <v>1714</v>
      </c>
      <c r="CI76" s="1208" t="s">
        <v>1719</v>
      </c>
      <c r="CJ76" s="1689">
        <f t="shared" si="19"/>
        <v>0.5</v>
      </c>
      <c r="CK76" s="1689">
        <f t="shared" ref="CK76:CK141" si="102">BS76</f>
        <v>0.5</v>
      </c>
      <c r="CL76" s="1689">
        <f t="shared" ref="CL76:CL141" si="103">BT76</f>
        <v>0.5</v>
      </c>
      <c r="CM76" s="1689">
        <f t="shared" ref="CM76:CM141" si="104">BU76</f>
        <v>0.5</v>
      </c>
      <c r="CN76" s="1689">
        <f t="shared" ref="CN76:CN141" si="105">BV76</f>
        <v>0.5</v>
      </c>
      <c r="CO76" s="1689">
        <f t="shared" ref="CO76:CO141" si="106">BW76</f>
        <v>0.5</v>
      </c>
      <c r="CP76" s="1689">
        <f t="shared" ref="CP76:CP141" si="107">BX76</f>
        <v>0.5</v>
      </c>
      <c r="CQ76" s="1701">
        <f t="shared" ref="CQ76:CQ141" si="108">BY76</f>
        <v>0.5</v>
      </c>
      <c r="CR76" s="1689">
        <f t="shared" ref="CR76:CR141" si="109">BZ76</f>
        <v>0.5</v>
      </c>
      <c r="CS76" s="1689">
        <f t="shared" ref="CS76:CS141" si="110">CA76</f>
        <v>0.5</v>
      </c>
      <c r="CT76" s="1691">
        <f t="shared" ref="CT76:CT141" si="111">CB76</f>
        <v>0</v>
      </c>
      <c r="CU76" s="1691">
        <f t="shared" ref="CU76:CU141" si="112">CC76</f>
        <v>0</v>
      </c>
      <c r="CV76" s="1691">
        <f t="shared" ref="CV76:CV141" si="113">CD76</f>
        <v>0</v>
      </c>
      <c r="CX76" s="1207" t="s">
        <v>1717</v>
      </c>
      <c r="CY76" s="1211" t="s">
        <v>1714</v>
      </c>
      <c r="CZ76" s="1208" t="s">
        <v>1719</v>
      </c>
      <c r="DA76" s="1814">
        <v>0</v>
      </c>
      <c r="DB76" s="1678"/>
      <c r="DC76" s="1678"/>
      <c r="DD76" s="1678"/>
      <c r="DE76" s="1678"/>
      <c r="DF76" s="1678"/>
      <c r="DG76" s="1678"/>
      <c r="DH76" s="1738"/>
      <c r="DI76" s="1678"/>
      <c r="DJ76" s="1678"/>
      <c r="DK76" s="1795"/>
      <c r="DL76" s="1795"/>
      <c r="DM76" s="1795"/>
    </row>
    <row r="77" spans="2:117" hidden="1">
      <c r="B77" s="1186">
        <f t="shared" si="68"/>
        <v>0</v>
      </c>
      <c r="C77" s="1208">
        <f t="shared" si="93"/>
        <v>0</v>
      </c>
      <c r="D77" s="1196">
        <f t="shared" si="97"/>
        <v>0</v>
      </c>
      <c r="E77" s="1196">
        <f t="shared" si="97"/>
        <v>0</v>
      </c>
      <c r="G77" s="1206">
        <f t="shared" si="98"/>
        <v>0</v>
      </c>
      <c r="H77" s="1206">
        <f t="shared" si="99"/>
        <v>0</v>
      </c>
      <c r="I77" s="1206"/>
      <c r="J77" s="1206"/>
      <c r="K77" s="1206">
        <f>IF(スコア!Q77=0,0,1)</f>
        <v>1</v>
      </c>
      <c r="L77" s="1206">
        <f>IF(スコア!S81=0,0,1)</f>
        <v>0</v>
      </c>
      <c r="M77" s="1206">
        <f t="shared" si="100"/>
        <v>0</v>
      </c>
      <c r="N77" s="1206">
        <f t="shared" si="101"/>
        <v>0</v>
      </c>
      <c r="P77" s="1207">
        <f t="shared" si="94"/>
        <v>0</v>
      </c>
      <c r="Q77" s="1207" t="str">
        <f t="shared" si="95"/>
        <v>0</v>
      </c>
      <c r="R77" s="1208">
        <f t="shared" si="96"/>
        <v>0</v>
      </c>
      <c r="S77" s="1747">
        <f t="shared" si="74"/>
        <v>0</v>
      </c>
      <c r="T77" s="1747">
        <f t="shared" si="75"/>
        <v>0</v>
      </c>
      <c r="U77" s="1747">
        <f t="shared" si="76"/>
        <v>0</v>
      </c>
      <c r="V77" s="1747">
        <f t="shared" si="77"/>
        <v>0</v>
      </c>
      <c r="W77" s="1747">
        <f t="shared" si="78"/>
        <v>0</v>
      </c>
      <c r="X77" s="1747">
        <f t="shared" si="79"/>
        <v>0</v>
      </c>
      <c r="Y77" s="1747">
        <f t="shared" si="80"/>
        <v>0</v>
      </c>
      <c r="Z77" s="1751">
        <f t="shared" si="81"/>
        <v>0</v>
      </c>
      <c r="AA77" s="1747">
        <f t="shared" si="82"/>
        <v>0</v>
      </c>
      <c r="AB77" s="1747">
        <f t="shared" si="83"/>
        <v>0</v>
      </c>
      <c r="AC77" s="1748">
        <f t="shared" si="84"/>
        <v>0</v>
      </c>
      <c r="AD77" s="1748">
        <f t="shared" si="85"/>
        <v>0</v>
      </c>
      <c r="AE77" s="1748">
        <f t="shared" si="86"/>
        <v>0</v>
      </c>
      <c r="AG77" s="1207" t="s">
        <v>1720</v>
      </c>
      <c r="AH77" s="1211" t="s">
        <v>2311</v>
      </c>
      <c r="AI77" s="452" t="s">
        <v>4</v>
      </c>
      <c r="AJ77" s="1244">
        <v>0.2</v>
      </c>
      <c r="AK77" s="1244">
        <v>0.2</v>
      </c>
      <c r="AL77" s="1244">
        <v>0.2</v>
      </c>
      <c r="AM77" s="1219">
        <v>0.2</v>
      </c>
      <c r="AN77" s="1219">
        <v>0.2</v>
      </c>
      <c r="AO77" s="1244">
        <v>0.2</v>
      </c>
      <c r="AP77" s="1219">
        <v>0.2</v>
      </c>
      <c r="AQ77" s="1244">
        <v>0.2</v>
      </c>
      <c r="AR77" s="1219">
        <v>0.2</v>
      </c>
      <c r="AS77" s="1213">
        <v>0.2</v>
      </c>
      <c r="AT77" s="1214">
        <v>0</v>
      </c>
      <c r="AU77" s="1214">
        <v>0</v>
      </c>
      <c r="AV77" s="1214">
        <v>0</v>
      </c>
      <c r="AX77" s="1207">
        <v>0</v>
      </c>
      <c r="AY77" s="1211" t="s">
        <v>2312</v>
      </c>
      <c r="AZ77" s="1208"/>
      <c r="BA77" s="1213"/>
      <c r="BB77" s="1213"/>
      <c r="BC77" s="1213"/>
      <c r="BD77" s="1213"/>
      <c r="BE77" s="1213"/>
      <c r="BF77" s="1213"/>
      <c r="BG77" s="1213"/>
      <c r="BH77" s="1250"/>
      <c r="BI77" s="1213"/>
      <c r="BJ77" s="1213"/>
      <c r="BK77" s="1214"/>
      <c r="BL77" s="1214"/>
      <c r="BM77" s="1214"/>
      <c r="BO77" s="1207">
        <v>0</v>
      </c>
      <c r="BP77" s="1211" t="s">
        <v>2312</v>
      </c>
      <c r="BQ77" s="1208"/>
      <c r="BR77" s="1213"/>
      <c r="BS77" s="1213"/>
      <c r="BT77" s="1213"/>
      <c r="BU77" s="1213"/>
      <c r="BV77" s="1213"/>
      <c r="BW77" s="1213"/>
      <c r="BX77" s="1213"/>
      <c r="BY77" s="1250"/>
      <c r="BZ77" s="1213"/>
      <c r="CA77" s="1213"/>
      <c r="CB77" s="1214"/>
      <c r="CC77" s="1214"/>
      <c r="CD77" s="1214"/>
      <c r="CE77" s="1469"/>
      <c r="CG77" s="1207">
        <v>0</v>
      </c>
      <c r="CH77" s="1211" t="s">
        <v>2312</v>
      </c>
      <c r="CI77" s="1208"/>
      <c r="CJ77" s="1689">
        <f t="shared" ref="CJ77:CJ142" si="114">BR77</f>
        <v>0</v>
      </c>
      <c r="CK77" s="1689">
        <f t="shared" si="102"/>
        <v>0</v>
      </c>
      <c r="CL77" s="1689">
        <f t="shared" si="103"/>
        <v>0</v>
      </c>
      <c r="CM77" s="1689">
        <f t="shared" si="104"/>
        <v>0</v>
      </c>
      <c r="CN77" s="1689">
        <f t="shared" si="105"/>
        <v>0</v>
      </c>
      <c r="CO77" s="1689">
        <f t="shared" si="106"/>
        <v>0</v>
      </c>
      <c r="CP77" s="1689">
        <f t="shared" si="107"/>
        <v>0</v>
      </c>
      <c r="CQ77" s="1702">
        <f t="shared" si="108"/>
        <v>0</v>
      </c>
      <c r="CR77" s="1689">
        <f t="shared" si="109"/>
        <v>0</v>
      </c>
      <c r="CS77" s="1689">
        <f t="shared" si="110"/>
        <v>0</v>
      </c>
      <c r="CT77" s="1691">
        <f t="shared" si="111"/>
        <v>0</v>
      </c>
      <c r="CU77" s="1691">
        <f t="shared" si="112"/>
        <v>0</v>
      </c>
      <c r="CV77" s="1691">
        <f t="shared" si="113"/>
        <v>0</v>
      </c>
      <c r="CX77" s="1207">
        <v>0</v>
      </c>
      <c r="CY77" s="1211" t="s">
        <v>2312</v>
      </c>
      <c r="CZ77" s="1208"/>
      <c r="DA77" s="1678">
        <f t="shared" ref="DA77:DA139" si="115">BR77</f>
        <v>0</v>
      </c>
      <c r="DB77" s="1678"/>
      <c r="DC77" s="1678"/>
      <c r="DD77" s="1678"/>
      <c r="DE77" s="1678"/>
      <c r="DF77" s="1678"/>
      <c r="DG77" s="1678"/>
      <c r="DH77" s="1803"/>
      <c r="DI77" s="1678"/>
      <c r="DJ77" s="1678"/>
      <c r="DK77" s="1795"/>
      <c r="DL77" s="1795"/>
      <c r="DM77" s="1795"/>
    </row>
    <row r="78" spans="2:117">
      <c r="B78" s="1186">
        <f t="shared" ref="B78:B109" si="116">P78</f>
        <v>2</v>
      </c>
      <c r="C78" s="1198" t="str">
        <f t="shared" si="93"/>
        <v>耐用性・信頼性</v>
      </c>
      <c r="D78" s="1194">
        <f>IF(I$62=0,0,G78/I$62)</f>
        <v>0.3</v>
      </c>
      <c r="E78" s="1195">
        <f>IF(J$62=0,0,H78/J$62)</f>
        <v>0</v>
      </c>
      <c r="G78" s="1195">
        <f t="shared" si="98"/>
        <v>0.3</v>
      </c>
      <c r="H78" s="1195">
        <f t="shared" si="99"/>
        <v>0</v>
      </c>
      <c r="I78" s="1195">
        <f>G79+G82++G89+G93</f>
        <v>1</v>
      </c>
      <c r="J78" s="1195">
        <f>H79+H82++H89+H93</f>
        <v>0</v>
      </c>
      <c r="K78" s="1195">
        <f>IF(スコア!Q78=0,0,1)</f>
        <v>1</v>
      </c>
      <c r="L78" s="1195">
        <f>IF(スコア!S78=0,0,1)</f>
        <v>0</v>
      </c>
      <c r="M78" s="1195">
        <f t="shared" si="100"/>
        <v>0.3</v>
      </c>
      <c r="N78" s="1195">
        <f t="shared" si="101"/>
        <v>0</v>
      </c>
      <c r="P78" s="1197">
        <f t="shared" si="94"/>
        <v>2</v>
      </c>
      <c r="Q78" s="1197" t="str">
        <f t="shared" si="95"/>
        <v xml:space="preserve"> Q2</v>
      </c>
      <c r="R78" s="1198" t="str">
        <f t="shared" si="96"/>
        <v>耐用性・信頼性</v>
      </c>
      <c r="S78" s="1744">
        <f t="shared" si="74"/>
        <v>0.3</v>
      </c>
      <c r="T78" s="1744">
        <f t="shared" si="75"/>
        <v>0.3</v>
      </c>
      <c r="U78" s="1744">
        <f t="shared" si="76"/>
        <v>0.3</v>
      </c>
      <c r="V78" s="1744">
        <f t="shared" si="77"/>
        <v>0.3</v>
      </c>
      <c r="W78" s="1744">
        <f t="shared" si="78"/>
        <v>0.3</v>
      </c>
      <c r="X78" s="1744">
        <f t="shared" si="79"/>
        <v>0.3</v>
      </c>
      <c r="Y78" s="1744">
        <f t="shared" si="80"/>
        <v>0.3</v>
      </c>
      <c r="Z78" s="1758">
        <f t="shared" si="81"/>
        <v>0.3</v>
      </c>
      <c r="AA78" s="1744">
        <f t="shared" si="82"/>
        <v>0.3</v>
      </c>
      <c r="AB78" s="1744">
        <f t="shared" si="83"/>
        <v>0.3</v>
      </c>
      <c r="AC78" s="1746">
        <f t="shared" si="84"/>
        <v>0</v>
      </c>
      <c r="AD78" s="1744">
        <f t="shared" si="85"/>
        <v>0</v>
      </c>
      <c r="AE78" s="1744">
        <f t="shared" si="86"/>
        <v>0</v>
      </c>
      <c r="AG78" s="1197">
        <v>2</v>
      </c>
      <c r="AH78" s="1201" t="s">
        <v>2150</v>
      </c>
      <c r="AI78" s="1198" t="s">
        <v>1721</v>
      </c>
      <c r="AJ78" s="1199">
        <v>0.3</v>
      </c>
      <c r="AK78" s="1199">
        <v>0.3</v>
      </c>
      <c r="AL78" s="1199">
        <v>0.3</v>
      </c>
      <c r="AM78" s="1199">
        <v>0.3</v>
      </c>
      <c r="AN78" s="1199">
        <v>0.3</v>
      </c>
      <c r="AO78" s="1199">
        <v>0.3</v>
      </c>
      <c r="AP78" s="1199">
        <v>0.3</v>
      </c>
      <c r="AQ78" s="1251">
        <v>0.3</v>
      </c>
      <c r="AR78" s="1199">
        <v>0.3</v>
      </c>
      <c r="AS78" s="1202">
        <v>0.3</v>
      </c>
      <c r="AT78" s="1203">
        <v>0</v>
      </c>
      <c r="AU78" s="1202">
        <v>0</v>
      </c>
      <c r="AV78" s="1202">
        <v>0</v>
      </c>
      <c r="AX78" s="1197">
        <v>2</v>
      </c>
      <c r="AY78" s="1201" t="s">
        <v>2150</v>
      </c>
      <c r="AZ78" s="1198" t="s">
        <v>1700</v>
      </c>
      <c r="BA78" s="1202">
        <v>0.3</v>
      </c>
      <c r="BB78" s="1202">
        <v>0.3</v>
      </c>
      <c r="BC78" s="1202">
        <v>0.3</v>
      </c>
      <c r="BD78" s="1202">
        <v>0.3</v>
      </c>
      <c r="BE78" s="1202">
        <v>0.3</v>
      </c>
      <c r="BF78" s="1202">
        <v>0.3</v>
      </c>
      <c r="BG78" s="1202">
        <v>0.3</v>
      </c>
      <c r="BH78" s="1252">
        <v>0.3</v>
      </c>
      <c r="BI78" s="1202">
        <v>0.3</v>
      </c>
      <c r="BJ78" s="1202">
        <v>0.3</v>
      </c>
      <c r="BK78" s="1203"/>
      <c r="BL78" s="1202"/>
      <c r="BM78" s="1202"/>
      <c r="BO78" s="1197">
        <v>2</v>
      </c>
      <c r="BP78" s="1201" t="s">
        <v>2150</v>
      </c>
      <c r="BQ78" s="1198" t="s">
        <v>1721</v>
      </c>
      <c r="BR78" s="1202">
        <v>0.3</v>
      </c>
      <c r="BS78" s="1202">
        <v>0.3</v>
      </c>
      <c r="BT78" s="1202">
        <v>0.3</v>
      </c>
      <c r="BU78" s="1202">
        <v>0.3</v>
      </c>
      <c r="BV78" s="1202">
        <v>0.3</v>
      </c>
      <c r="BW78" s="1202">
        <v>0.3</v>
      </c>
      <c r="BX78" s="1202">
        <v>0.3</v>
      </c>
      <c r="BY78" s="1202">
        <v>0.3</v>
      </c>
      <c r="BZ78" s="1202">
        <v>0.3</v>
      </c>
      <c r="CA78" s="1202">
        <v>0.3</v>
      </c>
      <c r="CB78" s="1203"/>
      <c r="CC78" s="1202"/>
      <c r="CD78" s="1202"/>
      <c r="CE78" s="1468"/>
      <c r="CG78" s="1197">
        <v>2</v>
      </c>
      <c r="CH78" s="1201" t="s">
        <v>2150</v>
      </c>
      <c r="CI78" s="1198" t="s">
        <v>1721</v>
      </c>
      <c r="CJ78" s="1676">
        <v>0.25</v>
      </c>
      <c r="CK78" s="1676">
        <v>0.25</v>
      </c>
      <c r="CL78" s="1676">
        <v>0.25</v>
      </c>
      <c r="CM78" s="1676">
        <v>0.25</v>
      </c>
      <c r="CN78" s="1676">
        <v>0.25</v>
      </c>
      <c r="CO78" s="1676">
        <v>0.25</v>
      </c>
      <c r="CP78" s="1676">
        <v>0.25</v>
      </c>
      <c r="CQ78" s="1676">
        <v>0.25</v>
      </c>
      <c r="CR78" s="1676">
        <v>0.25</v>
      </c>
      <c r="CS78" s="1676">
        <v>0.25</v>
      </c>
      <c r="CT78" s="1677">
        <f t="shared" si="111"/>
        <v>0</v>
      </c>
      <c r="CU78" s="1676">
        <f t="shared" si="112"/>
        <v>0</v>
      </c>
      <c r="CV78" s="1676">
        <f t="shared" si="113"/>
        <v>0</v>
      </c>
      <c r="CX78" s="1197">
        <v>2</v>
      </c>
      <c r="CY78" s="1201" t="s">
        <v>2150</v>
      </c>
      <c r="CZ78" s="1198" t="s">
        <v>1721</v>
      </c>
      <c r="DA78" s="1821">
        <v>0.2</v>
      </c>
      <c r="DB78" s="1676"/>
      <c r="DC78" s="1676"/>
      <c r="DD78" s="1676"/>
      <c r="DE78" s="1676"/>
      <c r="DF78" s="1676"/>
      <c r="DG78" s="1676"/>
      <c r="DH78" s="1676"/>
      <c r="DI78" s="1676"/>
      <c r="DJ78" s="1676"/>
      <c r="DK78" s="1677"/>
      <c r="DL78" s="1676"/>
      <c r="DM78" s="1676"/>
    </row>
    <row r="79" spans="2:117">
      <c r="B79" s="1186">
        <f t="shared" si="116"/>
        <v>2.1</v>
      </c>
      <c r="C79" s="1208" t="str">
        <f t="shared" si="93"/>
        <v>耐震･免震・制震・制振</v>
      </c>
      <c r="D79" s="1205">
        <f>IF(I$78=0,0,G79/I$78)</f>
        <v>0.5</v>
      </c>
      <c r="E79" s="1206">
        <f>IF(J$78=0,0,H79/J$78)</f>
        <v>0</v>
      </c>
      <c r="G79" s="1206">
        <f t="shared" si="98"/>
        <v>0.5</v>
      </c>
      <c r="H79" s="1206">
        <f t="shared" si="99"/>
        <v>0</v>
      </c>
      <c r="I79" s="1206">
        <f>SUM(G80:G81)</f>
        <v>1</v>
      </c>
      <c r="J79" s="1206">
        <f>SUM(H80:H81)</f>
        <v>0</v>
      </c>
      <c r="K79" s="1206">
        <f>IF(スコア!Q79=0,0,1)</f>
        <v>1</v>
      </c>
      <c r="L79" s="1206">
        <f>IF(スコア!S79=0,0,1)</f>
        <v>0</v>
      </c>
      <c r="M79" s="1206">
        <f t="shared" si="100"/>
        <v>0.5</v>
      </c>
      <c r="N79" s="1206">
        <f t="shared" si="101"/>
        <v>0</v>
      </c>
      <c r="P79" s="1207">
        <f t="shared" si="94"/>
        <v>2.1</v>
      </c>
      <c r="Q79" s="1207" t="str">
        <f t="shared" si="95"/>
        <v xml:space="preserve"> Q2 2</v>
      </c>
      <c r="R79" s="1208" t="str">
        <f t="shared" si="96"/>
        <v>耐震･免震・制震・制振</v>
      </c>
      <c r="S79" s="1747">
        <f t="shared" si="74"/>
        <v>0.5</v>
      </c>
      <c r="T79" s="1747">
        <f t="shared" si="75"/>
        <v>0.5</v>
      </c>
      <c r="U79" s="1747">
        <f t="shared" si="76"/>
        <v>0.5</v>
      </c>
      <c r="V79" s="1747">
        <f t="shared" si="77"/>
        <v>0.5</v>
      </c>
      <c r="W79" s="1747">
        <f t="shared" si="78"/>
        <v>0.5</v>
      </c>
      <c r="X79" s="1747">
        <f t="shared" si="79"/>
        <v>0.5</v>
      </c>
      <c r="Y79" s="1747">
        <f t="shared" si="80"/>
        <v>0.5</v>
      </c>
      <c r="Z79" s="1749">
        <f t="shared" si="81"/>
        <v>0.5</v>
      </c>
      <c r="AA79" s="1747">
        <f t="shared" si="82"/>
        <v>0.5</v>
      </c>
      <c r="AB79" s="1747">
        <f t="shared" si="83"/>
        <v>0.5</v>
      </c>
      <c r="AC79" s="1748">
        <f t="shared" si="84"/>
        <v>0</v>
      </c>
      <c r="AD79" s="1747">
        <f t="shared" si="85"/>
        <v>0</v>
      </c>
      <c r="AE79" s="1747">
        <f t="shared" si="86"/>
        <v>0</v>
      </c>
      <c r="AG79" s="1207">
        <v>2.1</v>
      </c>
      <c r="AH79" s="1211" t="s">
        <v>1722</v>
      </c>
      <c r="AI79" s="1208" t="s">
        <v>1840</v>
      </c>
      <c r="AJ79" s="1209">
        <v>0.25</v>
      </c>
      <c r="AK79" s="1209">
        <v>0.25</v>
      </c>
      <c r="AL79" s="1209">
        <v>0.25</v>
      </c>
      <c r="AM79" s="1209">
        <v>0.25</v>
      </c>
      <c r="AN79" s="1209">
        <v>0.25</v>
      </c>
      <c r="AO79" s="1209">
        <v>0.25</v>
      </c>
      <c r="AP79" s="1209">
        <v>0.25</v>
      </c>
      <c r="AQ79" s="1217">
        <v>0.25</v>
      </c>
      <c r="AR79" s="1209">
        <v>0.25</v>
      </c>
      <c r="AS79" s="1213">
        <v>0.25</v>
      </c>
      <c r="AT79" s="1214">
        <v>0</v>
      </c>
      <c r="AU79" s="1213">
        <v>0</v>
      </c>
      <c r="AV79" s="1213">
        <v>0</v>
      </c>
      <c r="AX79" s="1207">
        <v>2.1</v>
      </c>
      <c r="AY79" s="1211" t="s">
        <v>1722</v>
      </c>
      <c r="AZ79" s="1208" t="s">
        <v>1701</v>
      </c>
      <c r="BA79" s="1213">
        <v>0.5</v>
      </c>
      <c r="BB79" s="1213">
        <v>0.5</v>
      </c>
      <c r="BC79" s="1213">
        <v>0.5</v>
      </c>
      <c r="BD79" s="1213">
        <v>0.5</v>
      </c>
      <c r="BE79" s="1213">
        <v>0.5</v>
      </c>
      <c r="BF79" s="1213">
        <v>0.5</v>
      </c>
      <c r="BG79" s="1213">
        <v>0.5</v>
      </c>
      <c r="BH79" s="1220">
        <v>0.5</v>
      </c>
      <c r="BI79" s="1213">
        <v>0.5</v>
      </c>
      <c r="BJ79" s="1213">
        <v>0.5</v>
      </c>
      <c r="BK79" s="1214"/>
      <c r="BL79" s="1213"/>
      <c r="BM79" s="1213"/>
      <c r="BO79" s="1207">
        <v>2.1</v>
      </c>
      <c r="BP79" s="1211" t="s">
        <v>1722</v>
      </c>
      <c r="BQ79" s="1208" t="s">
        <v>2867</v>
      </c>
      <c r="BR79" s="1213">
        <v>0.5</v>
      </c>
      <c r="BS79" s="1213">
        <v>0.5</v>
      </c>
      <c r="BT79" s="1213">
        <v>0.5</v>
      </c>
      <c r="BU79" s="1213">
        <v>0.5</v>
      </c>
      <c r="BV79" s="1213">
        <v>0.5</v>
      </c>
      <c r="BW79" s="1213">
        <v>0.5</v>
      </c>
      <c r="BX79" s="1213">
        <v>0.5</v>
      </c>
      <c r="BY79" s="1220">
        <v>0.5</v>
      </c>
      <c r="BZ79" s="1213">
        <v>0.5</v>
      </c>
      <c r="CA79" s="1213">
        <v>0.5</v>
      </c>
      <c r="CB79" s="1214"/>
      <c r="CC79" s="1213"/>
      <c r="CD79" s="1213"/>
      <c r="CE79" s="1469"/>
      <c r="CG79" s="1207">
        <v>2.1</v>
      </c>
      <c r="CH79" s="1211" t="s">
        <v>1722</v>
      </c>
      <c r="CI79" s="1208" t="s">
        <v>2867</v>
      </c>
      <c r="CJ79" s="1678">
        <v>0.9</v>
      </c>
      <c r="CK79" s="1678">
        <v>0.9</v>
      </c>
      <c r="CL79" s="1678">
        <v>0.9</v>
      </c>
      <c r="CM79" s="1678">
        <v>0.9</v>
      </c>
      <c r="CN79" s="1678">
        <v>0.9</v>
      </c>
      <c r="CO79" s="1678">
        <v>0.9</v>
      </c>
      <c r="CP79" s="1678">
        <v>0.9</v>
      </c>
      <c r="CQ79" s="1678">
        <v>0.9</v>
      </c>
      <c r="CR79" s="1678">
        <v>0.9</v>
      </c>
      <c r="CS79" s="1678">
        <v>0.9</v>
      </c>
      <c r="CT79" s="1691">
        <f t="shared" si="111"/>
        <v>0</v>
      </c>
      <c r="CU79" s="1689">
        <f t="shared" si="112"/>
        <v>0</v>
      </c>
      <c r="CV79" s="1689">
        <f t="shared" si="113"/>
        <v>0</v>
      </c>
      <c r="CX79" s="1207">
        <v>2.1</v>
      </c>
      <c r="CY79" s="1211" t="s">
        <v>1722</v>
      </c>
      <c r="CZ79" s="1208" t="s">
        <v>2867</v>
      </c>
      <c r="DA79" s="1814">
        <v>0.4</v>
      </c>
      <c r="DB79" s="1678"/>
      <c r="DC79" s="1678"/>
      <c r="DD79" s="1678"/>
      <c r="DE79" s="1678"/>
      <c r="DF79" s="1678"/>
      <c r="DG79" s="1678"/>
      <c r="DH79" s="1678"/>
      <c r="DI79" s="1678"/>
      <c r="DJ79" s="1678"/>
      <c r="DK79" s="1795"/>
      <c r="DL79" s="1678"/>
      <c r="DM79" s="1678"/>
    </row>
    <row r="80" spans="2:117">
      <c r="B80" s="1186" t="str">
        <f t="shared" si="116"/>
        <v>2.1.1</v>
      </c>
      <c r="C80" s="1208" t="str">
        <f t="shared" si="93"/>
        <v>耐震性</v>
      </c>
      <c r="D80" s="1196">
        <f>IF(I$79&gt;0,G80/I$79,0)</f>
        <v>0.8</v>
      </c>
      <c r="E80" s="1206">
        <f>IF(J$79&gt;0,H80/J$79,0)</f>
        <v>0</v>
      </c>
      <c r="G80" s="1206">
        <f t="shared" si="98"/>
        <v>0.8</v>
      </c>
      <c r="H80" s="1206">
        <f t="shared" si="99"/>
        <v>0</v>
      </c>
      <c r="I80" s="1206"/>
      <c r="J80" s="1206"/>
      <c r="K80" s="1206">
        <f>IF(スコア!Q80=0,0,1)</f>
        <v>1</v>
      </c>
      <c r="L80" s="1206">
        <f>IF(スコア!S80=0,0,1)</f>
        <v>0</v>
      </c>
      <c r="M80" s="1206">
        <f t="shared" si="100"/>
        <v>0.8</v>
      </c>
      <c r="N80" s="1206">
        <f t="shared" si="101"/>
        <v>0</v>
      </c>
      <c r="P80" s="1207" t="str">
        <f t="shared" si="94"/>
        <v>2.1.1</v>
      </c>
      <c r="Q80" s="1207" t="str">
        <f t="shared" si="95"/>
        <v xml:space="preserve"> Q2 2.1</v>
      </c>
      <c r="R80" s="1208" t="str">
        <f t="shared" si="96"/>
        <v>耐震性</v>
      </c>
      <c r="S80" s="1747">
        <f t="shared" si="74"/>
        <v>0.8</v>
      </c>
      <c r="T80" s="1747">
        <f t="shared" si="75"/>
        <v>0.8</v>
      </c>
      <c r="U80" s="1747">
        <f t="shared" si="76"/>
        <v>0.8</v>
      </c>
      <c r="V80" s="1747">
        <f t="shared" si="77"/>
        <v>0.8</v>
      </c>
      <c r="W80" s="1747">
        <f t="shared" si="78"/>
        <v>0.8</v>
      </c>
      <c r="X80" s="1747">
        <f t="shared" si="79"/>
        <v>0.8</v>
      </c>
      <c r="Y80" s="1747">
        <f t="shared" si="80"/>
        <v>0.8</v>
      </c>
      <c r="Z80" s="1749">
        <f t="shared" si="81"/>
        <v>0.8</v>
      </c>
      <c r="AA80" s="1747">
        <f t="shared" si="82"/>
        <v>0.8</v>
      </c>
      <c r="AB80" s="1747">
        <f t="shared" si="83"/>
        <v>0.8</v>
      </c>
      <c r="AC80" s="1748">
        <f t="shared" si="84"/>
        <v>0</v>
      </c>
      <c r="AD80" s="1747">
        <f t="shared" si="85"/>
        <v>0</v>
      </c>
      <c r="AE80" s="1747">
        <f t="shared" si="86"/>
        <v>0</v>
      </c>
      <c r="AG80" s="1207" t="s">
        <v>2313</v>
      </c>
      <c r="AH80" s="1211" t="s">
        <v>1723</v>
      </c>
      <c r="AI80" s="1208" t="s">
        <v>1724</v>
      </c>
      <c r="AJ80" s="1209">
        <v>0.8</v>
      </c>
      <c r="AK80" s="1209">
        <v>0.8</v>
      </c>
      <c r="AL80" s="1209">
        <v>0.8</v>
      </c>
      <c r="AM80" s="1209">
        <v>0.8</v>
      </c>
      <c r="AN80" s="1209">
        <v>0.8</v>
      </c>
      <c r="AO80" s="1209">
        <v>0.8</v>
      </c>
      <c r="AP80" s="1209">
        <v>0.8</v>
      </c>
      <c r="AQ80" s="1217">
        <v>0.8</v>
      </c>
      <c r="AR80" s="1209">
        <v>0.8</v>
      </c>
      <c r="AS80" s="1213">
        <v>0.8</v>
      </c>
      <c r="AT80" s="1214">
        <v>0</v>
      </c>
      <c r="AU80" s="1213">
        <v>0</v>
      </c>
      <c r="AV80" s="1213">
        <v>0</v>
      </c>
      <c r="AX80" s="1207" t="s">
        <v>2313</v>
      </c>
      <c r="AY80" s="1211" t="s">
        <v>1723</v>
      </c>
      <c r="AZ80" s="1208" t="s">
        <v>1724</v>
      </c>
      <c r="BA80" s="1213">
        <v>0.8</v>
      </c>
      <c r="BB80" s="1213">
        <v>0.8</v>
      </c>
      <c r="BC80" s="1213">
        <v>0.8</v>
      </c>
      <c r="BD80" s="1213">
        <v>0.8</v>
      </c>
      <c r="BE80" s="1213">
        <v>0.8</v>
      </c>
      <c r="BF80" s="1213">
        <v>0.8</v>
      </c>
      <c r="BG80" s="1213">
        <v>0.8</v>
      </c>
      <c r="BH80" s="1220">
        <v>0.8</v>
      </c>
      <c r="BI80" s="1213">
        <v>0.8</v>
      </c>
      <c r="BJ80" s="1213">
        <v>0.8</v>
      </c>
      <c r="BK80" s="1214"/>
      <c r="BL80" s="1213"/>
      <c r="BM80" s="1213"/>
      <c r="BO80" s="1207" t="s">
        <v>2313</v>
      </c>
      <c r="BP80" s="1211" t="s">
        <v>1723</v>
      </c>
      <c r="BQ80" s="1208" t="s">
        <v>1724</v>
      </c>
      <c r="BR80" s="1213">
        <v>0.8</v>
      </c>
      <c r="BS80" s="1213">
        <v>0.8</v>
      </c>
      <c r="BT80" s="1213">
        <v>0.8</v>
      </c>
      <c r="BU80" s="1213">
        <v>0.8</v>
      </c>
      <c r="BV80" s="1213">
        <v>0.8</v>
      </c>
      <c r="BW80" s="1213">
        <v>0.8</v>
      </c>
      <c r="BX80" s="1213">
        <v>0.8</v>
      </c>
      <c r="BY80" s="1220">
        <v>0.8</v>
      </c>
      <c r="BZ80" s="1213">
        <v>0.8</v>
      </c>
      <c r="CA80" s="1213">
        <v>0.8</v>
      </c>
      <c r="CB80" s="1214"/>
      <c r="CC80" s="1213"/>
      <c r="CD80" s="1213"/>
      <c r="CE80" s="1469"/>
      <c r="CG80" s="1207" t="s">
        <v>212</v>
      </c>
      <c r="CH80" s="1211" t="s">
        <v>1723</v>
      </c>
      <c r="CI80" s="1208" t="s">
        <v>1724</v>
      </c>
      <c r="CJ80" s="1678">
        <v>1</v>
      </c>
      <c r="CK80" s="1678">
        <v>1</v>
      </c>
      <c r="CL80" s="1678">
        <v>1</v>
      </c>
      <c r="CM80" s="1678">
        <v>1</v>
      </c>
      <c r="CN80" s="1678">
        <v>1</v>
      </c>
      <c r="CO80" s="1678">
        <v>1</v>
      </c>
      <c r="CP80" s="1678">
        <v>1</v>
      </c>
      <c r="CQ80" s="1678">
        <v>1</v>
      </c>
      <c r="CR80" s="1678">
        <v>1</v>
      </c>
      <c r="CS80" s="1678">
        <v>1</v>
      </c>
      <c r="CT80" s="1691">
        <f t="shared" si="111"/>
        <v>0</v>
      </c>
      <c r="CU80" s="1689">
        <f t="shared" si="112"/>
        <v>0</v>
      </c>
      <c r="CV80" s="1689">
        <f t="shared" si="113"/>
        <v>0</v>
      </c>
      <c r="CX80" s="1207" t="s">
        <v>212</v>
      </c>
      <c r="CY80" s="1211" t="s">
        <v>1723</v>
      </c>
      <c r="CZ80" s="1208" t="s">
        <v>1724</v>
      </c>
      <c r="DA80" s="1678">
        <f t="shared" si="115"/>
        <v>0.8</v>
      </c>
      <c r="DB80" s="1678"/>
      <c r="DC80" s="1678"/>
      <c r="DD80" s="1678"/>
      <c r="DE80" s="1678"/>
      <c r="DF80" s="1678"/>
      <c r="DG80" s="1678"/>
      <c r="DH80" s="1678"/>
      <c r="DI80" s="1678"/>
      <c r="DJ80" s="1678"/>
      <c r="DK80" s="1795"/>
      <c r="DL80" s="1678"/>
      <c r="DM80" s="1678"/>
    </row>
    <row r="81" spans="2:117">
      <c r="B81" s="1186" t="str">
        <f t="shared" si="116"/>
        <v>2.1.2</v>
      </c>
      <c r="C81" s="1208" t="str">
        <f t="shared" si="93"/>
        <v>免震・制震・制振性能</v>
      </c>
      <c r="D81" s="1196">
        <f>IF(I$79&gt;0,G81/I$79,0)</f>
        <v>0.2</v>
      </c>
      <c r="E81" s="1206">
        <f>IF(J$79&gt;0,H81/J$79,0)</f>
        <v>0</v>
      </c>
      <c r="G81" s="1206">
        <f t="shared" si="98"/>
        <v>0.2</v>
      </c>
      <c r="H81" s="1206">
        <f t="shared" si="99"/>
        <v>0</v>
      </c>
      <c r="I81" s="1206"/>
      <c r="J81" s="1206"/>
      <c r="K81" s="1206">
        <f>IF(スコア!Q81=0,0,1)</f>
        <v>1</v>
      </c>
      <c r="L81" s="1206">
        <f>IF(スコア!S81=0,0,1)</f>
        <v>0</v>
      </c>
      <c r="M81" s="1206">
        <f t="shared" si="100"/>
        <v>0.2</v>
      </c>
      <c r="N81" s="1206">
        <f t="shared" si="101"/>
        <v>0</v>
      </c>
      <c r="P81" s="1207" t="str">
        <f t="shared" si="94"/>
        <v>2.1.2</v>
      </c>
      <c r="Q81" s="1207" t="str">
        <f t="shared" si="95"/>
        <v xml:space="preserve"> Q2 2.1</v>
      </c>
      <c r="R81" s="1208" t="str">
        <f t="shared" si="96"/>
        <v>免震・制震・制振性能</v>
      </c>
      <c r="S81" s="1747">
        <f t="shared" si="74"/>
        <v>0.2</v>
      </c>
      <c r="T81" s="1747">
        <f t="shared" si="75"/>
        <v>0.2</v>
      </c>
      <c r="U81" s="1747">
        <f t="shared" si="76"/>
        <v>0.2</v>
      </c>
      <c r="V81" s="1747">
        <f t="shared" si="77"/>
        <v>0.2</v>
      </c>
      <c r="W81" s="1747">
        <f t="shared" si="78"/>
        <v>0.2</v>
      </c>
      <c r="X81" s="1747">
        <f t="shared" si="79"/>
        <v>0.2</v>
      </c>
      <c r="Y81" s="1747">
        <f t="shared" si="80"/>
        <v>0.2</v>
      </c>
      <c r="Z81" s="1749">
        <f t="shared" si="81"/>
        <v>0.2</v>
      </c>
      <c r="AA81" s="1747">
        <f t="shared" si="82"/>
        <v>0.2</v>
      </c>
      <c r="AB81" s="1747">
        <f t="shared" si="83"/>
        <v>0.2</v>
      </c>
      <c r="AC81" s="1748">
        <f t="shared" si="84"/>
        <v>0</v>
      </c>
      <c r="AD81" s="1747">
        <f t="shared" si="85"/>
        <v>0</v>
      </c>
      <c r="AE81" s="1747">
        <f t="shared" si="86"/>
        <v>0</v>
      </c>
      <c r="AG81" s="1207" t="s">
        <v>2314</v>
      </c>
      <c r="AH81" s="1211" t="s">
        <v>1723</v>
      </c>
      <c r="AI81" s="1208" t="s">
        <v>1725</v>
      </c>
      <c r="AJ81" s="1209">
        <v>0.2</v>
      </c>
      <c r="AK81" s="1209">
        <v>0.2</v>
      </c>
      <c r="AL81" s="1209">
        <v>0.2</v>
      </c>
      <c r="AM81" s="1209">
        <v>0.2</v>
      </c>
      <c r="AN81" s="1209">
        <v>0.2</v>
      </c>
      <c r="AO81" s="1209">
        <v>0.2</v>
      </c>
      <c r="AP81" s="1209">
        <v>0.2</v>
      </c>
      <c r="AQ81" s="1217">
        <v>0.2</v>
      </c>
      <c r="AR81" s="1209">
        <v>0.2</v>
      </c>
      <c r="AS81" s="1213">
        <v>0.2</v>
      </c>
      <c r="AT81" s="1214">
        <v>0</v>
      </c>
      <c r="AU81" s="1213">
        <v>0</v>
      </c>
      <c r="AV81" s="1213">
        <v>0</v>
      </c>
      <c r="AX81" s="1207" t="s">
        <v>2315</v>
      </c>
      <c r="AY81" s="1211" t="s">
        <v>1723</v>
      </c>
      <c r="AZ81" s="1208" t="s">
        <v>1702</v>
      </c>
      <c r="BA81" s="1213">
        <v>0.2</v>
      </c>
      <c r="BB81" s="1213">
        <v>0.2</v>
      </c>
      <c r="BC81" s="1213">
        <v>0.2</v>
      </c>
      <c r="BD81" s="1213">
        <v>0.2</v>
      </c>
      <c r="BE81" s="1213">
        <v>0.2</v>
      </c>
      <c r="BF81" s="1213">
        <v>0.2</v>
      </c>
      <c r="BG81" s="1213">
        <v>0.2</v>
      </c>
      <c r="BH81" s="1220">
        <v>0.2</v>
      </c>
      <c r="BI81" s="1213">
        <v>0.2</v>
      </c>
      <c r="BJ81" s="1213">
        <v>0.2</v>
      </c>
      <c r="BK81" s="1214"/>
      <c r="BL81" s="1213"/>
      <c r="BM81" s="1213"/>
      <c r="BO81" s="1207" t="s">
        <v>2315</v>
      </c>
      <c r="BP81" s="1211" t="s">
        <v>1723</v>
      </c>
      <c r="BQ81" s="1208" t="s">
        <v>2868</v>
      </c>
      <c r="BR81" s="1213">
        <v>0.2</v>
      </c>
      <c r="BS81" s="1213">
        <v>0.2</v>
      </c>
      <c r="BT81" s="1213">
        <v>0.2</v>
      </c>
      <c r="BU81" s="1213">
        <v>0.2</v>
      </c>
      <c r="BV81" s="1213">
        <v>0.2</v>
      </c>
      <c r="BW81" s="1213">
        <v>0.2</v>
      </c>
      <c r="BX81" s="1213">
        <v>0.2</v>
      </c>
      <c r="BY81" s="1220">
        <v>0.2</v>
      </c>
      <c r="BZ81" s="1213">
        <v>0.2</v>
      </c>
      <c r="CA81" s="1213">
        <v>0.2</v>
      </c>
      <c r="CB81" s="1214"/>
      <c r="CC81" s="1213"/>
      <c r="CD81" s="1213"/>
      <c r="CE81" s="1469"/>
      <c r="CG81" s="1207" t="s">
        <v>2314</v>
      </c>
      <c r="CH81" s="1211" t="s">
        <v>1723</v>
      </c>
      <c r="CI81" s="1208" t="s">
        <v>2868</v>
      </c>
      <c r="CJ81" s="1689">
        <v>0</v>
      </c>
      <c r="CK81" s="1689">
        <v>0</v>
      </c>
      <c r="CL81" s="1689">
        <v>0</v>
      </c>
      <c r="CM81" s="1689">
        <v>0</v>
      </c>
      <c r="CN81" s="1689">
        <v>0</v>
      </c>
      <c r="CO81" s="1689">
        <v>0</v>
      </c>
      <c r="CP81" s="1689">
        <v>0</v>
      </c>
      <c r="CQ81" s="1689">
        <v>0</v>
      </c>
      <c r="CR81" s="1689">
        <v>0</v>
      </c>
      <c r="CS81" s="1689">
        <v>0</v>
      </c>
      <c r="CT81" s="1691">
        <f t="shared" si="111"/>
        <v>0</v>
      </c>
      <c r="CU81" s="1689">
        <f t="shared" si="112"/>
        <v>0</v>
      </c>
      <c r="CV81" s="1689">
        <f t="shared" si="113"/>
        <v>0</v>
      </c>
      <c r="CX81" s="1207" t="s">
        <v>2314</v>
      </c>
      <c r="CY81" s="1211" t="s">
        <v>1723</v>
      </c>
      <c r="CZ81" s="1208" t="s">
        <v>2868</v>
      </c>
      <c r="DA81" s="1678">
        <f t="shared" si="115"/>
        <v>0.2</v>
      </c>
      <c r="DB81" s="1678"/>
      <c r="DC81" s="1678"/>
      <c r="DD81" s="1678"/>
      <c r="DE81" s="1678"/>
      <c r="DF81" s="1678"/>
      <c r="DG81" s="1678"/>
      <c r="DH81" s="1678"/>
      <c r="DI81" s="1678"/>
      <c r="DJ81" s="1678"/>
      <c r="DK81" s="1795"/>
      <c r="DL81" s="1678"/>
      <c r="DM81" s="1678"/>
    </row>
    <row r="82" spans="2:117">
      <c r="B82" s="1186">
        <f t="shared" si="116"/>
        <v>2.2000000000000002</v>
      </c>
      <c r="C82" s="1208" t="str">
        <f t="shared" si="93"/>
        <v>部品・部材の耐用年数</v>
      </c>
      <c r="D82" s="1205">
        <f>IF(I$78=0,0,G82/I$78)</f>
        <v>0.3</v>
      </c>
      <c r="E82" s="1206">
        <f>IF(J$78=0,0,H82/J$78)</f>
        <v>0</v>
      </c>
      <c r="G82" s="1206">
        <f t="shared" si="98"/>
        <v>0.3</v>
      </c>
      <c r="H82" s="1206">
        <f t="shared" si="99"/>
        <v>0</v>
      </c>
      <c r="I82" s="1206">
        <f>SUM(G83:G88)</f>
        <v>1</v>
      </c>
      <c r="J82" s="1206">
        <f>SUM(H83:H88)</f>
        <v>0</v>
      </c>
      <c r="K82" s="1206">
        <f>IF(スコア!Q82=0,0,1)</f>
        <v>1</v>
      </c>
      <c r="L82" s="1206">
        <f>IF(スコア!S82=0,0,1)</f>
        <v>0</v>
      </c>
      <c r="M82" s="1206">
        <f t="shared" si="100"/>
        <v>0.3</v>
      </c>
      <c r="N82" s="1206">
        <f t="shared" si="101"/>
        <v>0</v>
      </c>
      <c r="P82" s="1207">
        <f t="shared" si="94"/>
        <v>2.2000000000000002</v>
      </c>
      <c r="Q82" s="1207" t="str">
        <f t="shared" si="95"/>
        <v xml:space="preserve"> Q2 2</v>
      </c>
      <c r="R82" s="1208" t="str">
        <f t="shared" si="96"/>
        <v>部品・部材の耐用年数</v>
      </c>
      <c r="S82" s="1747">
        <f t="shared" si="74"/>
        <v>0.3</v>
      </c>
      <c r="T82" s="1747">
        <f t="shared" si="75"/>
        <v>0.3</v>
      </c>
      <c r="U82" s="1747">
        <f t="shared" si="76"/>
        <v>0.3</v>
      </c>
      <c r="V82" s="1747">
        <f t="shared" si="77"/>
        <v>0.3</v>
      </c>
      <c r="W82" s="1747">
        <f t="shared" si="78"/>
        <v>0.3</v>
      </c>
      <c r="X82" s="1747">
        <f t="shared" si="79"/>
        <v>0.3</v>
      </c>
      <c r="Y82" s="1747">
        <f t="shared" si="80"/>
        <v>0.3</v>
      </c>
      <c r="Z82" s="1749">
        <f t="shared" si="81"/>
        <v>0.3</v>
      </c>
      <c r="AA82" s="1747">
        <f t="shared" si="82"/>
        <v>0.3</v>
      </c>
      <c r="AB82" s="1747">
        <f t="shared" si="83"/>
        <v>0.3</v>
      </c>
      <c r="AC82" s="1748">
        <f t="shared" si="84"/>
        <v>0</v>
      </c>
      <c r="AD82" s="1747">
        <f t="shared" si="85"/>
        <v>0</v>
      </c>
      <c r="AE82" s="1747">
        <f t="shared" si="86"/>
        <v>0</v>
      </c>
      <c r="AG82" s="1207">
        <v>2.2000000000000002</v>
      </c>
      <c r="AH82" s="1211" t="s">
        <v>1722</v>
      </c>
      <c r="AI82" s="1208" t="s">
        <v>1841</v>
      </c>
      <c r="AJ82" s="1209">
        <v>0.25</v>
      </c>
      <c r="AK82" s="1209">
        <v>0.25</v>
      </c>
      <c r="AL82" s="1209">
        <v>0.25</v>
      </c>
      <c r="AM82" s="1209">
        <v>0.25</v>
      </c>
      <c r="AN82" s="1209">
        <v>0.25</v>
      </c>
      <c r="AO82" s="1209">
        <v>0.25</v>
      </c>
      <c r="AP82" s="1209">
        <v>0.25</v>
      </c>
      <c r="AQ82" s="1217">
        <v>0.25</v>
      </c>
      <c r="AR82" s="1209">
        <v>0.25</v>
      </c>
      <c r="AS82" s="1213">
        <v>0.25</v>
      </c>
      <c r="AT82" s="1214">
        <v>0</v>
      </c>
      <c r="AU82" s="1213">
        <v>0</v>
      </c>
      <c r="AV82" s="1213">
        <v>0</v>
      </c>
      <c r="AX82" s="1207">
        <v>2.2000000000000002</v>
      </c>
      <c r="AY82" s="1211" t="s">
        <v>1722</v>
      </c>
      <c r="AZ82" s="1208" t="s">
        <v>1703</v>
      </c>
      <c r="BA82" s="1213">
        <v>0.3</v>
      </c>
      <c r="BB82" s="1213">
        <v>0.3</v>
      </c>
      <c r="BC82" s="1213">
        <v>0.3</v>
      </c>
      <c r="BD82" s="1213">
        <v>0.3</v>
      </c>
      <c r="BE82" s="1213">
        <v>0.3</v>
      </c>
      <c r="BF82" s="1213">
        <v>0.3</v>
      </c>
      <c r="BG82" s="1213">
        <v>0.3</v>
      </c>
      <c r="BH82" s="1220">
        <v>0.3</v>
      </c>
      <c r="BI82" s="1213">
        <v>0.3</v>
      </c>
      <c r="BJ82" s="1213">
        <v>0.3</v>
      </c>
      <c r="BK82" s="1214"/>
      <c r="BL82" s="1213"/>
      <c r="BM82" s="1213"/>
      <c r="BO82" s="1207">
        <v>2.2000000000000002</v>
      </c>
      <c r="BP82" s="1211" t="s">
        <v>1722</v>
      </c>
      <c r="BQ82" s="1208" t="s">
        <v>1841</v>
      </c>
      <c r="BR82" s="1213">
        <v>0.3</v>
      </c>
      <c r="BS82" s="1213">
        <v>0.3</v>
      </c>
      <c r="BT82" s="1213">
        <v>0.3</v>
      </c>
      <c r="BU82" s="1213">
        <v>0.3</v>
      </c>
      <c r="BV82" s="1213">
        <v>0.3</v>
      </c>
      <c r="BW82" s="1213">
        <v>0.3</v>
      </c>
      <c r="BX82" s="1213">
        <v>0.3</v>
      </c>
      <c r="BY82" s="1220">
        <v>0.3</v>
      </c>
      <c r="BZ82" s="1213">
        <v>0.3</v>
      </c>
      <c r="CA82" s="1213">
        <v>0.3</v>
      </c>
      <c r="CB82" s="1214"/>
      <c r="CC82" s="1213"/>
      <c r="CD82" s="1213"/>
      <c r="CE82" s="1469"/>
      <c r="CG82" s="1207">
        <v>2.2000000000000002</v>
      </c>
      <c r="CH82" s="1211" t="s">
        <v>1722</v>
      </c>
      <c r="CI82" s="1208" t="s">
        <v>1841</v>
      </c>
      <c r="CJ82" s="1689">
        <v>0</v>
      </c>
      <c r="CK82" s="1689">
        <v>0</v>
      </c>
      <c r="CL82" s="1689">
        <v>0</v>
      </c>
      <c r="CM82" s="1689">
        <v>0</v>
      </c>
      <c r="CN82" s="1689">
        <v>0</v>
      </c>
      <c r="CO82" s="1689">
        <v>0</v>
      </c>
      <c r="CP82" s="1689">
        <v>0</v>
      </c>
      <c r="CQ82" s="1689">
        <v>0</v>
      </c>
      <c r="CR82" s="1689">
        <v>0</v>
      </c>
      <c r="CS82" s="1689">
        <v>0</v>
      </c>
      <c r="CT82" s="1691">
        <f t="shared" si="111"/>
        <v>0</v>
      </c>
      <c r="CU82" s="1689">
        <f t="shared" si="112"/>
        <v>0</v>
      </c>
      <c r="CV82" s="1689">
        <f t="shared" si="113"/>
        <v>0</v>
      </c>
      <c r="CX82" s="1207">
        <v>2.2000000000000002</v>
      </c>
      <c r="CY82" s="1211" t="s">
        <v>1722</v>
      </c>
      <c r="CZ82" s="1208" t="s">
        <v>1841</v>
      </c>
      <c r="DA82" s="1814">
        <v>0</v>
      </c>
      <c r="DB82" s="1678"/>
      <c r="DC82" s="1678"/>
      <c r="DD82" s="1678"/>
      <c r="DE82" s="1678"/>
      <c r="DF82" s="1678"/>
      <c r="DG82" s="1678"/>
      <c r="DH82" s="1678"/>
      <c r="DI82" s="1678"/>
      <c r="DJ82" s="1678"/>
      <c r="DK82" s="1795"/>
      <c r="DL82" s="1678"/>
      <c r="DM82" s="1678"/>
    </row>
    <row r="83" spans="2:117">
      <c r="B83" s="1186" t="str">
        <f t="shared" si="116"/>
        <v>2.2.1</v>
      </c>
      <c r="C83" s="1208" t="str">
        <f t="shared" si="93"/>
        <v>躯体材料の耐用年数</v>
      </c>
      <c r="D83" s="1196">
        <f t="shared" ref="D83:E88" si="117">IF(I$82&gt;0,G83/I$82,0)</f>
        <v>0.2</v>
      </c>
      <c r="E83" s="1206">
        <f t="shared" si="117"/>
        <v>0</v>
      </c>
      <c r="G83" s="1206">
        <f t="shared" si="98"/>
        <v>0.2</v>
      </c>
      <c r="H83" s="1206">
        <f t="shared" si="99"/>
        <v>0</v>
      </c>
      <c r="I83" s="1206"/>
      <c r="J83" s="1206"/>
      <c r="K83" s="1206">
        <f>IF(スコア!Q83=0,0,1)</f>
        <v>1</v>
      </c>
      <c r="L83" s="1206">
        <f>IF(スコア!S83=0,0,1)</f>
        <v>0</v>
      </c>
      <c r="M83" s="1206">
        <f t="shared" si="100"/>
        <v>0.2</v>
      </c>
      <c r="N83" s="1206">
        <f t="shared" si="101"/>
        <v>0</v>
      </c>
      <c r="P83" s="1207" t="str">
        <f t="shared" si="94"/>
        <v>2.2.1</v>
      </c>
      <c r="Q83" s="1207" t="str">
        <f t="shared" si="95"/>
        <v xml:space="preserve"> Q2 2.2</v>
      </c>
      <c r="R83" s="1208" t="str">
        <f t="shared" si="96"/>
        <v>躯体材料の耐用年数</v>
      </c>
      <c r="S83" s="1747">
        <f t="shared" si="74"/>
        <v>0.2</v>
      </c>
      <c r="T83" s="1747">
        <f t="shared" si="75"/>
        <v>0.2</v>
      </c>
      <c r="U83" s="1747">
        <f t="shared" si="76"/>
        <v>0.2</v>
      </c>
      <c r="V83" s="1747">
        <f t="shared" si="77"/>
        <v>0.2</v>
      </c>
      <c r="W83" s="1747">
        <f t="shared" si="78"/>
        <v>0.2</v>
      </c>
      <c r="X83" s="1747">
        <f t="shared" si="79"/>
        <v>0.2</v>
      </c>
      <c r="Y83" s="1747">
        <f t="shared" si="80"/>
        <v>0.2</v>
      </c>
      <c r="Z83" s="1749">
        <f t="shared" si="81"/>
        <v>0.2</v>
      </c>
      <c r="AA83" s="1747">
        <f t="shared" si="82"/>
        <v>0.2</v>
      </c>
      <c r="AB83" s="1747">
        <f t="shared" si="83"/>
        <v>0.2</v>
      </c>
      <c r="AC83" s="1748">
        <f t="shared" si="84"/>
        <v>0</v>
      </c>
      <c r="AD83" s="1747">
        <f t="shared" si="85"/>
        <v>0</v>
      </c>
      <c r="AE83" s="1747">
        <f t="shared" si="86"/>
        <v>0</v>
      </c>
      <c r="AG83" s="1207" t="s">
        <v>2316</v>
      </c>
      <c r="AH83" s="1211" t="s">
        <v>1726</v>
      </c>
      <c r="AI83" s="1208" t="s">
        <v>648</v>
      </c>
      <c r="AJ83" s="1210">
        <v>0.2</v>
      </c>
      <c r="AK83" s="1210">
        <v>0.2</v>
      </c>
      <c r="AL83" s="1210">
        <v>0.2</v>
      </c>
      <c r="AM83" s="1210">
        <v>0.2</v>
      </c>
      <c r="AN83" s="1210">
        <v>0.2</v>
      </c>
      <c r="AO83" s="1210">
        <v>0.2</v>
      </c>
      <c r="AP83" s="1210">
        <v>0.2</v>
      </c>
      <c r="AQ83" s="1210">
        <v>0.2</v>
      </c>
      <c r="AR83" s="1210">
        <v>0.2</v>
      </c>
      <c r="AS83" s="1213">
        <v>0.25</v>
      </c>
      <c r="AT83" s="1214">
        <v>0</v>
      </c>
      <c r="AU83" s="1213">
        <v>0</v>
      </c>
      <c r="AV83" s="1213">
        <v>0</v>
      </c>
      <c r="AX83" s="1207" t="s">
        <v>2317</v>
      </c>
      <c r="AY83" s="1211" t="s">
        <v>1726</v>
      </c>
      <c r="AZ83" s="1208" t="s">
        <v>1704</v>
      </c>
      <c r="BA83" s="1213">
        <v>0.2</v>
      </c>
      <c r="BB83" s="1213">
        <v>0.2</v>
      </c>
      <c r="BC83" s="1213">
        <v>0.2</v>
      </c>
      <c r="BD83" s="1213">
        <v>0.2</v>
      </c>
      <c r="BE83" s="1213">
        <v>0.2</v>
      </c>
      <c r="BF83" s="1213">
        <v>0.2</v>
      </c>
      <c r="BG83" s="1213">
        <v>0.2</v>
      </c>
      <c r="BH83" s="1213">
        <v>0.2</v>
      </c>
      <c r="BI83" s="1213">
        <v>0.2</v>
      </c>
      <c r="BJ83" s="1213">
        <v>0.2</v>
      </c>
      <c r="BK83" s="1214"/>
      <c r="BL83" s="1213"/>
      <c r="BM83" s="1213"/>
      <c r="BO83" s="1207" t="s">
        <v>2317</v>
      </c>
      <c r="BP83" s="1211" t="s">
        <v>1726</v>
      </c>
      <c r="BQ83" s="1208" t="s">
        <v>648</v>
      </c>
      <c r="BR83" s="1213">
        <v>0.2</v>
      </c>
      <c r="BS83" s="1213">
        <v>0.2</v>
      </c>
      <c r="BT83" s="1213">
        <v>0.2</v>
      </c>
      <c r="BU83" s="1213">
        <v>0.2</v>
      </c>
      <c r="BV83" s="1213">
        <v>0.2</v>
      </c>
      <c r="BW83" s="1213">
        <v>0.2</v>
      </c>
      <c r="BX83" s="1213">
        <v>0.2</v>
      </c>
      <c r="BY83" s="1213">
        <v>0.2</v>
      </c>
      <c r="BZ83" s="1213">
        <v>0.2</v>
      </c>
      <c r="CA83" s="1213">
        <v>0.2</v>
      </c>
      <c r="CB83" s="1214"/>
      <c r="CC83" s="1213"/>
      <c r="CD83" s="1213"/>
      <c r="CE83" s="1469"/>
      <c r="CG83" s="1207" t="s">
        <v>2316</v>
      </c>
      <c r="CH83" s="1211" t="s">
        <v>1726</v>
      </c>
      <c r="CI83" s="1208" t="s">
        <v>648</v>
      </c>
      <c r="CJ83" s="1689">
        <v>0</v>
      </c>
      <c r="CK83" s="1689">
        <v>0</v>
      </c>
      <c r="CL83" s="1689">
        <v>0</v>
      </c>
      <c r="CM83" s="1689">
        <v>0</v>
      </c>
      <c r="CN83" s="1689">
        <v>0</v>
      </c>
      <c r="CO83" s="1689">
        <v>0</v>
      </c>
      <c r="CP83" s="1689">
        <v>0</v>
      </c>
      <c r="CQ83" s="1689">
        <v>0</v>
      </c>
      <c r="CR83" s="1689">
        <v>0</v>
      </c>
      <c r="CS83" s="1689">
        <v>0</v>
      </c>
      <c r="CT83" s="1689">
        <v>0</v>
      </c>
      <c r="CU83" s="1689">
        <f t="shared" si="112"/>
        <v>0</v>
      </c>
      <c r="CV83" s="1689">
        <f t="shared" si="113"/>
        <v>0</v>
      </c>
      <c r="CX83" s="1207" t="s">
        <v>2316</v>
      </c>
      <c r="CY83" s="1211" t="s">
        <v>1726</v>
      </c>
      <c r="CZ83" s="1208" t="s">
        <v>648</v>
      </c>
      <c r="DA83" s="1814">
        <v>0</v>
      </c>
      <c r="DB83" s="1678"/>
      <c r="DC83" s="1678"/>
      <c r="DD83" s="1678"/>
      <c r="DE83" s="1678"/>
      <c r="DF83" s="1678"/>
      <c r="DG83" s="1678"/>
      <c r="DH83" s="1678"/>
      <c r="DI83" s="1678"/>
      <c r="DJ83" s="1678"/>
      <c r="DK83" s="1678"/>
      <c r="DL83" s="1678"/>
      <c r="DM83" s="1678"/>
    </row>
    <row r="84" spans="2:117">
      <c r="B84" s="1186" t="str">
        <f t="shared" si="116"/>
        <v>2.2.2</v>
      </c>
      <c r="C84" s="1208" t="str">
        <f t="shared" si="93"/>
        <v>外壁仕上げ材の補修必要間隔</v>
      </c>
      <c r="D84" s="1196">
        <f t="shared" si="117"/>
        <v>0.2</v>
      </c>
      <c r="E84" s="1206">
        <f t="shared" si="117"/>
        <v>0</v>
      </c>
      <c r="G84" s="1206">
        <f t="shared" si="98"/>
        <v>0.2</v>
      </c>
      <c r="H84" s="1206">
        <f t="shared" si="99"/>
        <v>0</v>
      </c>
      <c r="I84" s="1206"/>
      <c r="J84" s="1206"/>
      <c r="K84" s="1206">
        <f>IF(スコア!Q84=0,0,1)</f>
        <v>1</v>
      </c>
      <c r="L84" s="1206">
        <f>IF(スコア!S84=0,0,1)</f>
        <v>0</v>
      </c>
      <c r="M84" s="1206">
        <f t="shared" si="100"/>
        <v>0.2</v>
      </c>
      <c r="N84" s="1206">
        <f t="shared" si="101"/>
        <v>0</v>
      </c>
      <c r="P84" s="1207" t="str">
        <f t="shared" si="94"/>
        <v>2.2.2</v>
      </c>
      <c r="Q84" s="1207" t="str">
        <f t="shared" si="95"/>
        <v xml:space="preserve"> Q2 2.2</v>
      </c>
      <c r="R84" s="1208" t="str">
        <f t="shared" si="96"/>
        <v>外壁仕上げ材の補修必要間隔</v>
      </c>
      <c r="S84" s="1747">
        <f t="shared" si="74"/>
        <v>0.2</v>
      </c>
      <c r="T84" s="1747">
        <f t="shared" si="75"/>
        <v>0.2</v>
      </c>
      <c r="U84" s="1747">
        <f t="shared" si="76"/>
        <v>0.2</v>
      </c>
      <c r="V84" s="1747">
        <f t="shared" si="77"/>
        <v>0.2</v>
      </c>
      <c r="W84" s="1747">
        <f t="shared" si="78"/>
        <v>0.2</v>
      </c>
      <c r="X84" s="1747">
        <f t="shared" si="79"/>
        <v>0.2</v>
      </c>
      <c r="Y84" s="1747">
        <f t="shared" si="80"/>
        <v>0.2</v>
      </c>
      <c r="Z84" s="1749">
        <f t="shared" si="81"/>
        <v>0.2</v>
      </c>
      <c r="AA84" s="1747">
        <f t="shared" si="82"/>
        <v>0.2</v>
      </c>
      <c r="AB84" s="1747">
        <f t="shared" si="83"/>
        <v>0.2</v>
      </c>
      <c r="AC84" s="1748">
        <f t="shared" si="84"/>
        <v>0</v>
      </c>
      <c r="AD84" s="1747">
        <f t="shared" si="85"/>
        <v>0</v>
      </c>
      <c r="AE84" s="1747">
        <f t="shared" si="86"/>
        <v>0</v>
      </c>
      <c r="AG84" s="1207" t="s">
        <v>2318</v>
      </c>
      <c r="AH84" s="1211" t="s">
        <v>1726</v>
      </c>
      <c r="AI84" s="1208" t="s">
        <v>1727</v>
      </c>
      <c r="AJ84" s="1210">
        <v>0.2</v>
      </c>
      <c r="AK84" s="1210">
        <v>0.2</v>
      </c>
      <c r="AL84" s="1210">
        <v>0.2</v>
      </c>
      <c r="AM84" s="1210">
        <v>0.2</v>
      </c>
      <c r="AN84" s="1210">
        <v>0.2</v>
      </c>
      <c r="AO84" s="1210">
        <v>0.2</v>
      </c>
      <c r="AP84" s="1210">
        <v>0.2</v>
      </c>
      <c r="AQ84" s="1210">
        <v>0.2</v>
      </c>
      <c r="AR84" s="1210">
        <v>0.2</v>
      </c>
      <c r="AS84" s="1213">
        <v>0.25</v>
      </c>
      <c r="AT84" s="1214">
        <v>0</v>
      </c>
      <c r="AU84" s="1213">
        <v>0</v>
      </c>
      <c r="AV84" s="1213">
        <v>0</v>
      </c>
      <c r="AX84" s="1207" t="s">
        <v>2318</v>
      </c>
      <c r="AY84" s="1211" t="s">
        <v>1726</v>
      </c>
      <c r="AZ84" s="1208" t="s">
        <v>1727</v>
      </c>
      <c r="BA84" s="1213">
        <v>0.2</v>
      </c>
      <c r="BB84" s="1213">
        <v>0.2</v>
      </c>
      <c r="BC84" s="1213">
        <v>0.2</v>
      </c>
      <c r="BD84" s="1213">
        <v>0.2</v>
      </c>
      <c r="BE84" s="1213">
        <v>0.2</v>
      </c>
      <c r="BF84" s="1213">
        <v>0.2</v>
      </c>
      <c r="BG84" s="1213">
        <v>0.2</v>
      </c>
      <c r="BH84" s="1213">
        <v>0.2</v>
      </c>
      <c r="BI84" s="1213">
        <v>0.2</v>
      </c>
      <c r="BJ84" s="1213">
        <v>0.2</v>
      </c>
      <c r="BK84" s="1214"/>
      <c r="BL84" s="1213"/>
      <c r="BM84" s="1213"/>
      <c r="BO84" s="1207" t="s">
        <v>2318</v>
      </c>
      <c r="BP84" s="1211" t="s">
        <v>1726</v>
      </c>
      <c r="BQ84" s="1208" t="s">
        <v>1727</v>
      </c>
      <c r="BR84" s="1213">
        <v>0.2</v>
      </c>
      <c r="BS84" s="1213">
        <v>0.2</v>
      </c>
      <c r="BT84" s="1213">
        <v>0.2</v>
      </c>
      <c r="BU84" s="1213">
        <v>0.2</v>
      </c>
      <c r="BV84" s="1213">
        <v>0.2</v>
      </c>
      <c r="BW84" s="1213">
        <v>0.2</v>
      </c>
      <c r="BX84" s="1213">
        <v>0.2</v>
      </c>
      <c r="BY84" s="1213">
        <v>0.2</v>
      </c>
      <c r="BZ84" s="1213">
        <v>0.2</v>
      </c>
      <c r="CA84" s="1213">
        <v>0.2</v>
      </c>
      <c r="CB84" s="1214"/>
      <c r="CC84" s="1213"/>
      <c r="CD84" s="1213"/>
      <c r="CE84" s="1469"/>
      <c r="CG84" s="1207" t="s">
        <v>2318</v>
      </c>
      <c r="CH84" s="1211" t="s">
        <v>1726</v>
      </c>
      <c r="CI84" s="1208" t="s">
        <v>1727</v>
      </c>
      <c r="CJ84" s="1689">
        <v>0</v>
      </c>
      <c r="CK84" s="1689">
        <v>0</v>
      </c>
      <c r="CL84" s="1689">
        <v>0</v>
      </c>
      <c r="CM84" s="1689">
        <v>0</v>
      </c>
      <c r="CN84" s="1689">
        <v>0</v>
      </c>
      <c r="CO84" s="1689">
        <v>0</v>
      </c>
      <c r="CP84" s="1689">
        <v>0</v>
      </c>
      <c r="CQ84" s="1689">
        <v>0</v>
      </c>
      <c r="CR84" s="1689">
        <v>0</v>
      </c>
      <c r="CS84" s="1689">
        <v>0</v>
      </c>
      <c r="CT84" s="1689">
        <v>0</v>
      </c>
      <c r="CU84" s="1689">
        <f t="shared" si="112"/>
        <v>0</v>
      </c>
      <c r="CV84" s="1689">
        <f t="shared" si="113"/>
        <v>0</v>
      </c>
      <c r="CX84" s="1207" t="s">
        <v>2318</v>
      </c>
      <c r="CY84" s="1211" t="s">
        <v>1726</v>
      </c>
      <c r="CZ84" s="1208" t="s">
        <v>1727</v>
      </c>
      <c r="DA84" s="1814">
        <v>0</v>
      </c>
      <c r="DB84" s="1678"/>
      <c r="DC84" s="1678"/>
      <c r="DD84" s="1678"/>
      <c r="DE84" s="1678"/>
      <c r="DF84" s="1678"/>
      <c r="DG84" s="1678"/>
      <c r="DH84" s="1678"/>
      <c r="DI84" s="1678"/>
      <c r="DJ84" s="1678"/>
      <c r="DK84" s="1678"/>
      <c r="DL84" s="1678"/>
      <c r="DM84" s="1678"/>
    </row>
    <row r="85" spans="2:117">
      <c r="B85" s="1186" t="str">
        <f t="shared" si="116"/>
        <v>2.2.3</v>
      </c>
      <c r="C85" s="1208" t="str">
        <f t="shared" si="93"/>
        <v>主要内装仕上げ材の更新必要間隔</v>
      </c>
      <c r="D85" s="1196">
        <f t="shared" si="117"/>
        <v>0.1</v>
      </c>
      <c r="E85" s="1206">
        <f t="shared" si="117"/>
        <v>0</v>
      </c>
      <c r="G85" s="1206">
        <f t="shared" si="98"/>
        <v>0.1</v>
      </c>
      <c r="H85" s="1206">
        <f t="shared" si="99"/>
        <v>0</v>
      </c>
      <c r="I85" s="1206"/>
      <c r="J85" s="1206"/>
      <c r="K85" s="1206">
        <f>IF(スコア!Q85=0,0,1)</f>
        <v>1</v>
      </c>
      <c r="L85" s="1206">
        <f>IF(スコア!S85=0,0,1)</f>
        <v>0</v>
      </c>
      <c r="M85" s="1206">
        <f t="shared" si="100"/>
        <v>0.1</v>
      </c>
      <c r="N85" s="1206">
        <f t="shared" si="101"/>
        <v>0</v>
      </c>
      <c r="P85" s="1207" t="str">
        <f t="shared" si="94"/>
        <v>2.2.3</v>
      </c>
      <c r="Q85" s="1207" t="str">
        <f t="shared" si="95"/>
        <v xml:space="preserve"> Q2 2.2</v>
      </c>
      <c r="R85" s="1208" t="str">
        <f t="shared" si="96"/>
        <v>主要内装仕上げ材の更新必要間隔</v>
      </c>
      <c r="S85" s="1747">
        <f t="shared" si="74"/>
        <v>0.1</v>
      </c>
      <c r="T85" s="1747">
        <f t="shared" si="75"/>
        <v>0.1</v>
      </c>
      <c r="U85" s="1747">
        <f t="shared" si="76"/>
        <v>0.1</v>
      </c>
      <c r="V85" s="1747">
        <f t="shared" si="77"/>
        <v>0.1</v>
      </c>
      <c r="W85" s="1747">
        <f t="shared" si="78"/>
        <v>0.1</v>
      </c>
      <c r="X85" s="1747">
        <f t="shared" si="79"/>
        <v>0.1</v>
      </c>
      <c r="Y85" s="1747">
        <f t="shared" si="80"/>
        <v>0.1</v>
      </c>
      <c r="Z85" s="1749">
        <f t="shared" si="81"/>
        <v>0.1</v>
      </c>
      <c r="AA85" s="1747">
        <f t="shared" si="82"/>
        <v>0.1</v>
      </c>
      <c r="AB85" s="1747">
        <f t="shared" si="83"/>
        <v>0.1</v>
      </c>
      <c r="AC85" s="1748">
        <f t="shared" si="84"/>
        <v>0</v>
      </c>
      <c r="AD85" s="1747">
        <f t="shared" si="85"/>
        <v>0</v>
      </c>
      <c r="AE85" s="1747">
        <f t="shared" si="86"/>
        <v>0</v>
      </c>
      <c r="AG85" s="1207" t="s">
        <v>2319</v>
      </c>
      <c r="AH85" s="1211" t="s">
        <v>1726</v>
      </c>
      <c r="AI85" s="1208" t="s">
        <v>1728</v>
      </c>
      <c r="AJ85" s="1218">
        <v>0</v>
      </c>
      <c r="AK85" s="1218">
        <v>0</v>
      </c>
      <c r="AL85" s="1218">
        <v>0</v>
      </c>
      <c r="AM85" s="1218">
        <v>0</v>
      </c>
      <c r="AN85" s="1218">
        <v>0</v>
      </c>
      <c r="AO85" s="1218">
        <v>0</v>
      </c>
      <c r="AP85" s="1218">
        <v>0</v>
      </c>
      <c r="AQ85" s="1218">
        <v>0</v>
      </c>
      <c r="AR85" s="1218">
        <v>0</v>
      </c>
      <c r="AS85" s="1213">
        <v>0</v>
      </c>
      <c r="AT85" s="1214">
        <v>0</v>
      </c>
      <c r="AU85" s="1213">
        <v>0</v>
      </c>
      <c r="AV85" s="1213">
        <v>0</v>
      </c>
      <c r="AX85" s="1207" t="s">
        <v>2319</v>
      </c>
      <c r="AY85" s="1211" t="s">
        <v>1726</v>
      </c>
      <c r="AZ85" s="1208" t="s">
        <v>1728</v>
      </c>
      <c r="BA85" s="1213">
        <v>0.1</v>
      </c>
      <c r="BB85" s="1213">
        <v>0.1</v>
      </c>
      <c r="BC85" s="1213">
        <v>0.1</v>
      </c>
      <c r="BD85" s="1213">
        <v>0.1</v>
      </c>
      <c r="BE85" s="1213">
        <v>0.1</v>
      </c>
      <c r="BF85" s="1213">
        <v>0.1</v>
      </c>
      <c r="BG85" s="1213">
        <v>0.1</v>
      </c>
      <c r="BH85" s="1213">
        <v>0.1</v>
      </c>
      <c r="BI85" s="1213">
        <v>0.1</v>
      </c>
      <c r="BJ85" s="1213">
        <v>0.1</v>
      </c>
      <c r="BK85" s="1214"/>
      <c r="BL85" s="1213"/>
      <c r="BM85" s="1213"/>
      <c r="BO85" s="1207" t="s">
        <v>2319</v>
      </c>
      <c r="BP85" s="1211" t="s">
        <v>1726</v>
      </c>
      <c r="BQ85" s="1208" t="s">
        <v>1728</v>
      </c>
      <c r="BR85" s="1213">
        <v>0.1</v>
      </c>
      <c r="BS85" s="1213">
        <v>0.1</v>
      </c>
      <c r="BT85" s="1213">
        <v>0.1</v>
      </c>
      <c r="BU85" s="1213">
        <v>0.1</v>
      </c>
      <c r="BV85" s="1213">
        <v>0.1</v>
      </c>
      <c r="BW85" s="1213">
        <v>0.1</v>
      </c>
      <c r="BX85" s="1213">
        <v>0.1</v>
      </c>
      <c r="BY85" s="1213">
        <v>0.1</v>
      </c>
      <c r="BZ85" s="1213">
        <v>0.1</v>
      </c>
      <c r="CA85" s="1213">
        <v>0.1</v>
      </c>
      <c r="CB85" s="1214"/>
      <c r="CC85" s="1213"/>
      <c r="CD85" s="1213"/>
      <c r="CE85" s="1469"/>
      <c r="CG85" s="1207" t="s">
        <v>2319</v>
      </c>
      <c r="CH85" s="1211" t="s">
        <v>1726</v>
      </c>
      <c r="CI85" s="1208" t="s">
        <v>1728</v>
      </c>
      <c r="CJ85" s="1689">
        <v>0</v>
      </c>
      <c r="CK85" s="1689">
        <v>0</v>
      </c>
      <c r="CL85" s="1689">
        <v>0</v>
      </c>
      <c r="CM85" s="1689">
        <v>0</v>
      </c>
      <c r="CN85" s="1689">
        <v>0</v>
      </c>
      <c r="CO85" s="1689">
        <v>0</v>
      </c>
      <c r="CP85" s="1689">
        <v>0</v>
      </c>
      <c r="CQ85" s="1689">
        <v>0</v>
      </c>
      <c r="CR85" s="1689">
        <v>0</v>
      </c>
      <c r="CS85" s="1689">
        <v>0</v>
      </c>
      <c r="CT85" s="1689">
        <v>0</v>
      </c>
      <c r="CU85" s="1689">
        <f t="shared" si="112"/>
        <v>0</v>
      </c>
      <c r="CV85" s="1689">
        <f t="shared" si="113"/>
        <v>0</v>
      </c>
      <c r="CX85" s="1207" t="s">
        <v>2319</v>
      </c>
      <c r="CY85" s="1211" t="s">
        <v>1726</v>
      </c>
      <c r="CZ85" s="1208" t="s">
        <v>1728</v>
      </c>
      <c r="DA85" s="1814">
        <v>0</v>
      </c>
      <c r="DB85" s="1678"/>
      <c r="DC85" s="1678"/>
      <c r="DD85" s="1678"/>
      <c r="DE85" s="1678"/>
      <c r="DF85" s="1678"/>
      <c r="DG85" s="1678"/>
      <c r="DH85" s="1678"/>
      <c r="DI85" s="1678"/>
      <c r="DJ85" s="1678"/>
      <c r="DK85" s="1678"/>
      <c r="DL85" s="1678"/>
      <c r="DM85" s="1678"/>
    </row>
    <row r="86" spans="2:117">
      <c r="B86" s="1186" t="str">
        <f t="shared" si="116"/>
        <v>2.2.4</v>
      </c>
      <c r="C86" s="1208" t="str">
        <f t="shared" si="93"/>
        <v>空調換気ダクトの更新必要間隔</v>
      </c>
      <c r="D86" s="1196">
        <f t="shared" si="117"/>
        <v>0.1</v>
      </c>
      <c r="E86" s="1206">
        <f t="shared" si="117"/>
        <v>0</v>
      </c>
      <c r="G86" s="1206">
        <f t="shared" si="98"/>
        <v>0.1</v>
      </c>
      <c r="H86" s="1206">
        <f t="shared" si="99"/>
        <v>0</v>
      </c>
      <c r="I86" s="1206"/>
      <c r="J86" s="1206"/>
      <c r="K86" s="1206">
        <f>IF(スコア!Q86=0,0,1)</f>
        <v>1</v>
      </c>
      <c r="L86" s="1206">
        <f>IF(スコア!S86=0,0,1)</f>
        <v>0</v>
      </c>
      <c r="M86" s="1206">
        <f t="shared" si="100"/>
        <v>0.1</v>
      </c>
      <c r="N86" s="1206">
        <f t="shared" si="101"/>
        <v>0</v>
      </c>
      <c r="P86" s="1207" t="str">
        <f t="shared" si="94"/>
        <v>2.2.4</v>
      </c>
      <c r="Q86" s="1207" t="str">
        <f t="shared" si="95"/>
        <v xml:space="preserve"> Q2 2.2</v>
      </c>
      <c r="R86" s="1208" t="str">
        <f t="shared" si="96"/>
        <v>空調換気ダクトの更新必要間隔</v>
      </c>
      <c r="S86" s="1747">
        <f t="shared" si="74"/>
        <v>0.1</v>
      </c>
      <c r="T86" s="1747">
        <f t="shared" si="75"/>
        <v>0.1</v>
      </c>
      <c r="U86" s="1747">
        <f t="shared" si="76"/>
        <v>0.1</v>
      </c>
      <c r="V86" s="1747">
        <f t="shared" si="77"/>
        <v>0.1</v>
      </c>
      <c r="W86" s="1747">
        <f t="shared" si="78"/>
        <v>0.1</v>
      </c>
      <c r="X86" s="1747">
        <f t="shared" si="79"/>
        <v>0.1</v>
      </c>
      <c r="Y86" s="1747">
        <f t="shared" si="80"/>
        <v>0.1</v>
      </c>
      <c r="Z86" s="1749">
        <f t="shared" si="81"/>
        <v>0.1</v>
      </c>
      <c r="AA86" s="1747">
        <f t="shared" si="82"/>
        <v>0.1</v>
      </c>
      <c r="AB86" s="1747">
        <f t="shared" si="83"/>
        <v>0.1</v>
      </c>
      <c r="AC86" s="1748">
        <f t="shared" si="84"/>
        <v>0</v>
      </c>
      <c r="AD86" s="1747">
        <f t="shared" si="85"/>
        <v>0</v>
      </c>
      <c r="AE86" s="1747">
        <f t="shared" si="86"/>
        <v>0</v>
      </c>
      <c r="AG86" s="1207" t="s">
        <v>2320</v>
      </c>
      <c r="AH86" s="1211" t="s">
        <v>1726</v>
      </c>
      <c r="AI86" s="1208" t="s">
        <v>1729</v>
      </c>
      <c r="AJ86" s="1210">
        <v>0.1</v>
      </c>
      <c r="AK86" s="1210">
        <v>0.1</v>
      </c>
      <c r="AL86" s="1210">
        <v>0.1</v>
      </c>
      <c r="AM86" s="1210">
        <v>0.1</v>
      </c>
      <c r="AN86" s="1210">
        <v>0.1</v>
      </c>
      <c r="AO86" s="1210">
        <v>0.1</v>
      </c>
      <c r="AP86" s="1210">
        <v>0.1</v>
      </c>
      <c r="AQ86" s="1210">
        <v>0.1</v>
      </c>
      <c r="AR86" s="1210">
        <v>0.1</v>
      </c>
      <c r="AS86" s="1213">
        <v>0.1</v>
      </c>
      <c r="AT86" s="1214">
        <v>0</v>
      </c>
      <c r="AU86" s="1213">
        <v>0</v>
      </c>
      <c r="AV86" s="1213">
        <v>0</v>
      </c>
      <c r="AX86" s="1207" t="s">
        <v>2321</v>
      </c>
      <c r="AY86" s="1211" t="s">
        <v>1726</v>
      </c>
      <c r="AZ86" s="1208" t="s">
        <v>1705</v>
      </c>
      <c r="BA86" s="1213">
        <v>0.1</v>
      </c>
      <c r="BB86" s="1213">
        <v>0.1</v>
      </c>
      <c r="BC86" s="1213">
        <v>0.1</v>
      </c>
      <c r="BD86" s="1213">
        <v>0.1</v>
      </c>
      <c r="BE86" s="1213">
        <v>0.1</v>
      </c>
      <c r="BF86" s="1213">
        <v>0.1</v>
      </c>
      <c r="BG86" s="1213">
        <v>0.1</v>
      </c>
      <c r="BH86" s="1213">
        <v>0.1</v>
      </c>
      <c r="BI86" s="1213">
        <v>0.1</v>
      </c>
      <c r="BJ86" s="1213">
        <v>0.1</v>
      </c>
      <c r="BK86" s="1214"/>
      <c r="BL86" s="1213"/>
      <c r="BM86" s="1213"/>
      <c r="BO86" s="1207" t="s">
        <v>2321</v>
      </c>
      <c r="BP86" s="1211" t="s">
        <v>1726</v>
      </c>
      <c r="BQ86" s="1208" t="s">
        <v>1729</v>
      </c>
      <c r="BR86" s="1213">
        <v>0.1</v>
      </c>
      <c r="BS86" s="1213">
        <v>0.1</v>
      </c>
      <c r="BT86" s="1213">
        <v>0.1</v>
      </c>
      <c r="BU86" s="1213">
        <v>0.1</v>
      </c>
      <c r="BV86" s="1213">
        <v>0.1</v>
      </c>
      <c r="BW86" s="1213">
        <v>0.1</v>
      </c>
      <c r="BX86" s="1213">
        <v>0.1</v>
      </c>
      <c r="BY86" s="1213">
        <v>0.1</v>
      </c>
      <c r="BZ86" s="1213">
        <v>0.1</v>
      </c>
      <c r="CA86" s="1213">
        <v>0.1</v>
      </c>
      <c r="CB86" s="1214"/>
      <c r="CC86" s="1213"/>
      <c r="CD86" s="1213"/>
      <c r="CE86" s="1469"/>
      <c r="CG86" s="1207" t="s">
        <v>2320</v>
      </c>
      <c r="CH86" s="1211" t="s">
        <v>1726</v>
      </c>
      <c r="CI86" s="1208" t="s">
        <v>1729</v>
      </c>
      <c r="CJ86" s="1689">
        <v>0</v>
      </c>
      <c r="CK86" s="1689">
        <v>0</v>
      </c>
      <c r="CL86" s="1689">
        <v>0</v>
      </c>
      <c r="CM86" s="1689">
        <v>0</v>
      </c>
      <c r="CN86" s="1689">
        <v>0</v>
      </c>
      <c r="CO86" s="1689">
        <v>0</v>
      </c>
      <c r="CP86" s="1689">
        <v>0</v>
      </c>
      <c r="CQ86" s="1689">
        <v>0</v>
      </c>
      <c r="CR86" s="1689">
        <v>0</v>
      </c>
      <c r="CS86" s="1689">
        <v>0</v>
      </c>
      <c r="CT86" s="1689">
        <v>0</v>
      </c>
      <c r="CU86" s="1689">
        <f t="shared" si="112"/>
        <v>0</v>
      </c>
      <c r="CV86" s="1689">
        <f t="shared" si="113"/>
        <v>0</v>
      </c>
      <c r="CX86" s="1207" t="s">
        <v>2320</v>
      </c>
      <c r="CY86" s="1211" t="s">
        <v>1726</v>
      </c>
      <c r="CZ86" s="1208" t="s">
        <v>1729</v>
      </c>
      <c r="DA86" s="1814">
        <v>0</v>
      </c>
      <c r="DB86" s="1678"/>
      <c r="DC86" s="1678"/>
      <c r="DD86" s="1678"/>
      <c r="DE86" s="1678"/>
      <c r="DF86" s="1678"/>
      <c r="DG86" s="1678"/>
      <c r="DH86" s="1678"/>
      <c r="DI86" s="1678"/>
      <c r="DJ86" s="1678"/>
      <c r="DK86" s="1678"/>
      <c r="DL86" s="1678"/>
      <c r="DM86" s="1678"/>
    </row>
    <row r="87" spans="2:117">
      <c r="B87" s="1186" t="str">
        <f t="shared" si="116"/>
        <v>2.2.5</v>
      </c>
      <c r="C87" s="1208" t="str">
        <f t="shared" si="93"/>
        <v>空調・給排水配管の更新必要間隔</v>
      </c>
      <c r="D87" s="1196">
        <f t="shared" si="117"/>
        <v>0.2</v>
      </c>
      <c r="E87" s="1206">
        <f t="shared" si="117"/>
        <v>0</v>
      </c>
      <c r="G87" s="1206">
        <f t="shared" si="98"/>
        <v>0.2</v>
      </c>
      <c r="H87" s="1206">
        <f t="shared" si="99"/>
        <v>0</v>
      </c>
      <c r="I87" s="1206"/>
      <c r="J87" s="1206"/>
      <c r="K87" s="1206">
        <f>IF(スコア!Q88=0,0,1)</f>
        <v>1</v>
      </c>
      <c r="L87" s="1206">
        <f>IF(スコア!S88=0,0,1)</f>
        <v>0</v>
      </c>
      <c r="M87" s="1206">
        <f t="shared" si="100"/>
        <v>0.2</v>
      </c>
      <c r="N87" s="1206">
        <f t="shared" si="101"/>
        <v>0</v>
      </c>
      <c r="P87" s="1207" t="str">
        <f t="shared" si="94"/>
        <v>2.2.5</v>
      </c>
      <c r="Q87" s="1207" t="str">
        <f t="shared" si="95"/>
        <v xml:space="preserve"> Q2 2.2</v>
      </c>
      <c r="R87" s="1208" t="str">
        <f t="shared" si="96"/>
        <v>空調・給排水配管の更新必要間隔</v>
      </c>
      <c r="S87" s="1747">
        <f t="shared" si="74"/>
        <v>0.2</v>
      </c>
      <c r="T87" s="1747">
        <f t="shared" si="75"/>
        <v>0.2</v>
      </c>
      <c r="U87" s="1747">
        <f t="shared" si="76"/>
        <v>0.2</v>
      </c>
      <c r="V87" s="1747">
        <f t="shared" si="77"/>
        <v>0.2</v>
      </c>
      <c r="W87" s="1747">
        <f t="shared" si="78"/>
        <v>0.2</v>
      </c>
      <c r="X87" s="1747">
        <f t="shared" si="79"/>
        <v>0.2</v>
      </c>
      <c r="Y87" s="1747">
        <f t="shared" si="80"/>
        <v>0.2</v>
      </c>
      <c r="Z87" s="1749">
        <f t="shared" si="81"/>
        <v>0.2</v>
      </c>
      <c r="AA87" s="1747">
        <f t="shared" si="82"/>
        <v>0.2</v>
      </c>
      <c r="AB87" s="1747">
        <f t="shared" si="83"/>
        <v>0.2</v>
      </c>
      <c r="AC87" s="1748">
        <f t="shared" si="84"/>
        <v>0</v>
      </c>
      <c r="AD87" s="1747">
        <f t="shared" si="85"/>
        <v>0</v>
      </c>
      <c r="AE87" s="1747">
        <f t="shared" si="86"/>
        <v>0</v>
      </c>
      <c r="AG87" s="1207" t="s">
        <v>2322</v>
      </c>
      <c r="AH87" s="1211" t="s">
        <v>1726</v>
      </c>
      <c r="AI87" s="1208" t="s">
        <v>1730</v>
      </c>
      <c r="AJ87" s="1210">
        <v>0.1</v>
      </c>
      <c r="AK87" s="1210">
        <v>0.1</v>
      </c>
      <c r="AL87" s="1210">
        <v>0.1</v>
      </c>
      <c r="AM87" s="1210">
        <v>0.1</v>
      </c>
      <c r="AN87" s="1210">
        <v>0.1</v>
      </c>
      <c r="AO87" s="1210">
        <v>0.1</v>
      </c>
      <c r="AP87" s="1210">
        <v>0.1</v>
      </c>
      <c r="AQ87" s="1210">
        <v>0.1</v>
      </c>
      <c r="AR87" s="1210">
        <v>0.1</v>
      </c>
      <c r="AS87" s="1213">
        <v>0.1</v>
      </c>
      <c r="AT87" s="1214"/>
      <c r="AU87" s="1213"/>
      <c r="AV87" s="1213"/>
      <c r="AX87" s="1207" t="s">
        <v>2323</v>
      </c>
      <c r="AY87" s="1211" t="s">
        <v>1726</v>
      </c>
      <c r="AZ87" s="1208" t="s">
        <v>1706</v>
      </c>
      <c r="BA87" s="1213">
        <v>0.2</v>
      </c>
      <c r="BB87" s="1213">
        <v>0.2</v>
      </c>
      <c r="BC87" s="1213">
        <v>0.2</v>
      </c>
      <c r="BD87" s="1213">
        <v>0.2</v>
      </c>
      <c r="BE87" s="1213">
        <v>0.2</v>
      </c>
      <c r="BF87" s="1213">
        <v>0.2</v>
      </c>
      <c r="BG87" s="1213">
        <v>0.2</v>
      </c>
      <c r="BH87" s="1213">
        <v>0.2</v>
      </c>
      <c r="BI87" s="1213">
        <v>0.2</v>
      </c>
      <c r="BJ87" s="1213">
        <v>0.2</v>
      </c>
      <c r="BK87" s="1214"/>
      <c r="BL87" s="1213"/>
      <c r="BM87" s="1213"/>
      <c r="BO87" s="1207" t="s">
        <v>2323</v>
      </c>
      <c r="BP87" s="1211" t="s">
        <v>1726</v>
      </c>
      <c r="BQ87" s="1208" t="s">
        <v>1730</v>
      </c>
      <c r="BR87" s="1213">
        <v>0.2</v>
      </c>
      <c r="BS87" s="1213">
        <v>0.2</v>
      </c>
      <c r="BT87" s="1213">
        <v>0.2</v>
      </c>
      <c r="BU87" s="1213">
        <v>0.2</v>
      </c>
      <c r="BV87" s="1213">
        <v>0.2</v>
      </c>
      <c r="BW87" s="1213">
        <v>0.2</v>
      </c>
      <c r="BX87" s="1213">
        <v>0.2</v>
      </c>
      <c r="BY87" s="1213">
        <v>0.2</v>
      </c>
      <c r="BZ87" s="1213">
        <v>0.2</v>
      </c>
      <c r="CA87" s="1213">
        <v>0.2</v>
      </c>
      <c r="CB87" s="1214"/>
      <c r="CC87" s="1213"/>
      <c r="CD87" s="1213"/>
      <c r="CE87" s="1469"/>
      <c r="CG87" s="1207" t="s">
        <v>2322</v>
      </c>
      <c r="CH87" s="1211" t="s">
        <v>1726</v>
      </c>
      <c r="CI87" s="1208" t="s">
        <v>1730</v>
      </c>
      <c r="CJ87" s="1689">
        <v>0</v>
      </c>
      <c r="CK87" s="1689">
        <v>0</v>
      </c>
      <c r="CL87" s="1689">
        <v>0</v>
      </c>
      <c r="CM87" s="1689">
        <v>0</v>
      </c>
      <c r="CN87" s="1689">
        <v>0</v>
      </c>
      <c r="CO87" s="1689">
        <v>0</v>
      </c>
      <c r="CP87" s="1689">
        <v>0</v>
      </c>
      <c r="CQ87" s="1689">
        <v>0</v>
      </c>
      <c r="CR87" s="1689">
        <v>0</v>
      </c>
      <c r="CS87" s="1689">
        <v>0</v>
      </c>
      <c r="CT87" s="1689">
        <v>0</v>
      </c>
      <c r="CU87" s="1689">
        <f t="shared" si="112"/>
        <v>0</v>
      </c>
      <c r="CV87" s="1689">
        <f t="shared" si="113"/>
        <v>0</v>
      </c>
      <c r="CX87" s="1207" t="s">
        <v>2322</v>
      </c>
      <c r="CY87" s="1211" t="s">
        <v>1726</v>
      </c>
      <c r="CZ87" s="1208" t="s">
        <v>1730</v>
      </c>
      <c r="DA87" s="1814">
        <v>0</v>
      </c>
      <c r="DB87" s="1678"/>
      <c r="DC87" s="1678"/>
      <c r="DD87" s="1678"/>
      <c r="DE87" s="1678"/>
      <c r="DF87" s="1678"/>
      <c r="DG87" s="1678"/>
      <c r="DH87" s="1678"/>
      <c r="DI87" s="1678"/>
      <c r="DJ87" s="1678"/>
      <c r="DK87" s="1678"/>
      <c r="DL87" s="1678"/>
      <c r="DM87" s="1678"/>
    </row>
    <row r="88" spans="2:117">
      <c r="B88" s="1186" t="str">
        <f t="shared" si="116"/>
        <v>2.2.6</v>
      </c>
      <c r="C88" s="1853" t="str">
        <f t="shared" si="93"/>
        <v>主要設備機器の更新必要間隔</v>
      </c>
      <c r="D88" s="1196">
        <f t="shared" si="117"/>
        <v>0.2</v>
      </c>
      <c r="E88" s="1206">
        <f t="shared" si="117"/>
        <v>0</v>
      </c>
      <c r="G88" s="1206">
        <f t="shared" si="98"/>
        <v>0.2</v>
      </c>
      <c r="H88" s="1206">
        <f t="shared" si="99"/>
        <v>0</v>
      </c>
      <c r="I88" s="1206"/>
      <c r="J88" s="1206"/>
      <c r="K88" s="1206">
        <f>IF(スコア!Q88=0,0,1)</f>
        <v>1</v>
      </c>
      <c r="L88" s="1206">
        <f>IF(スコア!S88=0,0,1)</f>
        <v>0</v>
      </c>
      <c r="M88" s="1206">
        <f t="shared" si="100"/>
        <v>0.2</v>
      </c>
      <c r="N88" s="1206">
        <f t="shared" si="101"/>
        <v>0</v>
      </c>
      <c r="P88" s="1207" t="str">
        <f t="shared" si="94"/>
        <v>2.2.6</v>
      </c>
      <c r="Q88" s="1207" t="str">
        <f t="shared" si="95"/>
        <v xml:space="preserve"> Q2 2.2</v>
      </c>
      <c r="R88" s="1208" t="str">
        <f t="shared" si="96"/>
        <v>主要設備機器の更新必要間隔</v>
      </c>
      <c r="S88" s="1747">
        <f t="shared" si="74"/>
        <v>0.2</v>
      </c>
      <c r="T88" s="1747">
        <f t="shared" si="75"/>
        <v>0.2</v>
      </c>
      <c r="U88" s="1747">
        <f t="shared" si="76"/>
        <v>0.2</v>
      </c>
      <c r="V88" s="1747">
        <f t="shared" si="77"/>
        <v>0.2</v>
      </c>
      <c r="W88" s="1747">
        <f t="shared" si="78"/>
        <v>0.2</v>
      </c>
      <c r="X88" s="1747">
        <f t="shared" si="79"/>
        <v>0.2</v>
      </c>
      <c r="Y88" s="1747">
        <f t="shared" si="80"/>
        <v>0.2</v>
      </c>
      <c r="Z88" s="1749">
        <f t="shared" si="81"/>
        <v>0.2</v>
      </c>
      <c r="AA88" s="1747">
        <f t="shared" si="82"/>
        <v>0.2</v>
      </c>
      <c r="AB88" s="1747">
        <f t="shared" si="83"/>
        <v>0.2</v>
      </c>
      <c r="AC88" s="1748">
        <f t="shared" si="84"/>
        <v>0</v>
      </c>
      <c r="AD88" s="1747">
        <f t="shared" si="85"/>
        <v>0</v>
      </c>
      <c r="AE88" s="1747">
        <f t="shared" si="86"/>
        <v>0</v>
      </c>
      <c r="AG88" s="1207" t="s">
        <v>2324</v>
      </c>
      <c r="AH88" s="1211" t="s">
        <v>1726</v>
      </c>
      <c r="AI88" s="1208" t="s">
        <v>1731</v>
      </c>
      <c r="AJ88" s="1210">
        <v>0.2</v>
      </c>
      <c r="AK88" s="1210">
        <v>0.2</v>
      </c>
      <c r="AL88" s="1210">
        <v>0.2</v>
      </c>
      <c r="AM88" s="1210">
        <v>0.2</v>
      </c>
      <c r="AN88" s="1210">
        <v>0.2</v>
      </c>
      <c r="AO88" s="1210">
        <v>0.2</v>
      </c>
      <c r="AP88" s="1210">
        <v>0.2</v>
      </c>
      <c r="AQ88" s="1210">
        <v>0.2</v>
      </c>
      <c r="AR88" s="1210">
        <v>0.2</v>
      </c>
      <c r="AS88" s="1213">
        <v>0.25</v>
      </c>
      <c r="AT88" s="1214">
        <v>0</v>
      </c>
      <c r="AU88" s="1213">
        <v>0</v>
      </c>
      <c r="AV88" s="1213">
        <v>0</v>
      </c>
      <c r="AX88" s="1207" t="s">
        <v>2324</v>
      </c>
      <c r="AY88" s="1211" t="s">
        <v>1726</v>
      </c>
      <c r="AZ88" s="1208" t="s">
        <v>1731</v>
      </c>
      <c r="BA88" s="1213">
        <v>0.2</v>
      </c>
      <c r="BB88" s="1213">
        <v>0.2</v>
      </c>
      <c r="BC88" s="1213">
        <v>0.2</v>
      </c>
      <c r="BD88" s="1213">
        <v>0.2</v>
      </c>
      <c r="BE88" s="1213">
        <v>0.2</v>
      </c>
      <c r="BF88" s="1213">
        <v>0.2</v>
      </c>
      <c r="BG88" s="1213">
        <v>0.2</v>
      </c>
      <c r="BH88" s="1213">
        <v>0.2</v>
      </c>
      <c r="BI88" s="1213">
        <v>0.2</v>
      </c>
      <c r="BJ88" s="1213">
        <v>0.2</v>
      </c>
      <c r="BK88" s="1214"/>
      <c r="BL88" s="1213"/>
      <c r="BM88" s="1213"/>
      <c r="BO88" s="1207" t="s">
        <v>2324</v>
      </c>
      <c r="BP88" s="1211" t="s">
        <v>1726</v>
      </c>
      <c r="BQ88" s="1208" t="s">
        <v>1731</v>
      </c>
      <c r="BR88" s="1213">
        <v>0.2</v>
      </c>
      <c r="BS88" s="1213">
        <v>0.2</v>
      </c>
      <c r="BT88" s="1213">
        <v>0.2</v>
      </c>
      <c r="BU88" s="1213">
        <v>0.2</v>
      </c>
      <c r="BV88" s="1213">
        <v>0.2</v>
      </c>
      <c r="BW88" s="1213">
        <v>0.2</v>
      </c>
      <c r="BX88" s="1213">
        <v>0.2</v>
      </c>
      <c r="BY88" s="1213">
        <v>0.2</v>
      </c>
      <c r="BZ88" s="1213">
        <v>0.2</v>
      </c>
      <c r="CA88" s="1213">
        <v>0.2</v>
      </c>
      <c r="CB88" s="1214"/>
      <c r="CC88" s="1213"/>
      <c r="CD88" s="1213"/>
      <c r="CE88" s="1469"/>
      <c r="CG88" s="1207" t="s">
        <v>2324</v>
      </c>
      <c r="CH88" s="1211" t="s">
        <v>1726</v>
      </c>
      <c r="CI88" s="1208" t="s">
        <v>1731</v>
      </c>
      <c r="CJ88" s="1689">
        <v>0</v>
      </c>
      <c r="CK88" s="1689">
        <v>0</v>
      </c>
      <c r="CL88" s="1689">
        <v>0</v>
      </c>
      <c r="CM88" s="1689">
        <v>0</v>
      </c>
      <c r="CN88" s="1689">
        <v>0</v>
      </c>
      <c r="CO88" s="1689">
        <v>0</v>
      </c>
      <c r="CP88" s="1689">
        <v>0</v>
      </c>
      <c r="CQ88" s="1689">
        <v>0</v>
      </c>
      <c r="CR88" s="1689">
        <v>0</v>
      </c>
      <c r="CS88" s="1689">
        <v>0</v>
      </c>
      <c r="CT88" s="1689">
        <v>0</v>
      </c>
      <c r="CU88" s="1689">
        <f t="shared" si="112"/>
        <v>0</v>
      </c>
      <c r="CV88" s="1689">
        <f t="shared" si="113"/>
        <v>0</v>
      </c>
      <c r="CX88" s="1207" t="s">
        <v>2324</v>
      </c>
      <c r="CY88" s="1211" t="s">
        <v>1726</v>
      </c>
      <c r="CZ88" s="1208" t="s">
        <v>1731</v>
      </c>
      <c r="DA88" s="1814">
        <v>0</v>
      </c>
      <c r="DB88" s="1678"/>
      <c r="DC88" s="1678"/>
      <c r="DD88" s="1678"/>
      <c r="DE88" s="1678"/>
      <c r="DF88" s="1678"/>
      <c r="DG88" s="1678"/>
      <c r="DH88" s="1678"/>
      <c r="DI88" s="1678"/>
      <c r="DJ88" s="1678"/>
      <c r="DK88" s="1678"/>
      <c r="DL88" s="1678"/>
      <c r="DM88" s="1678"/>
    </row>
    <row r="89" spans="2:117">
      <c r="B89" s="1186">
        <f t="shared" si="116"/>
        <v>2.2999999999999998</v>
      </c>
      <c r="C89" s="1853" t="str">
        <f t="shared" si="93"/>
        <v>適切な更新</v>
      </c>
      <c r="D89" s="1205">
        <f>IF(I$78=0,0,G89/I$78)</f>
        <v>0</v>
      </c>
      <c r="E89" s="1206">
        <f>IF(J$78=0,0,H89/J$78)</f>
        <v>0</v>
      </c>
      <c r="G89" s="1206">
        <f>K89*M89</f>
        <v>0</v>
      </c>
      <c r="H89" s="1206">
        <f t="shared" si="99"/>
        <v>0</v>
      </c>
      <c r="I89" s="1206">
        <f>G90+G91+G92</f>
        <v>0</v>
      </c>
      <c r="J89" s="1206">
        <f>H90+H91+H92</f>
        <v>0</v>
      </c>
      <c r="K89" s="1206">
        <f>IF(スコア!Q89=0,0,1)</f>
        <v>0</v>
      </c>
      <c r="L89" s="1206">
        <f>IF(スコア!S93=0,0,1)</f>
        <v>0</v>
      </c>
      <c r="M89" s="1206">
        <f t="shared" si="100"/>
        <v>0</v>
      </c>
      <c r="N89" s="1206">
        <f t="shared" si="101"/>
        <v>0</v>
      </c>
      <c r="P89" s="1207">
        <f t="shared" si="94"/>
        <v>2.2999999999999998</v>
      </c>
      <c r="Q89" s="1207" t="str">
        <f t="shared" si="95"/>
        <v xml:space="preserve"> Q2 2</v>
      </c>
      <c r="R89" s="1208" t="str">
        <f t="shared" si="96"/>
        <v>適切な更新</v>
      </c>
      <c r="S89" s="1747">
        <f t="shared" si="74"/>
        <v>0</v>
      </c>
      <c r="T89" s="1747">
        <f t="shared" si="75"/>
        <v>0</v>
      </c>
      <c r="U89" s="1747">
        <f t="shared" si="76"/>
        <v>0</v>
      </c>
      <c r="V89" s="1747">
        <f t="shared" si="77"/>
        <v>0</v>
      </c>
      <c r="W89" s="1747">
        <f t="shared" si="78"/>
        <v>0</v>
      </c>
      <c r="X89" s="1747">
        <f t="shared" si="79"/>
        <v>0</v>
      </c>
      <c r="Y89" s="1747">
        <f t="shared" si="80"/>
        <v>0</v>
      </c>
      <c r="Z89" s="1749">
        <f t="shared" si="81"/>
        <v>0</v>
      </c>
      <c r="AA89" s="1747">
        <f t="shared" si="82"/>
        <v>0</v>
      </c>
      <c r="AB89" s="1747">
        <f t="shared" si="83"/>
        <v>0</v>
      </c>
      <c r="AC89" s="1748">
        <f t="shared" si="84"/>
        <v>0</v>
      </c>
      <c r="AD89" s="1747">
        <f t="shared" si="85"/>
        <v>0</v>
      </c>
      <c r="AE89" s="1747">
        <f t="shared" si="86"/>
        <v>0</v>
      </c>
      <c r="AG89" s="1207">
        <v>2.2999999999999998</v>
      </c>
      <c r="AH89" s="1207" t="s">
        <v>2325</v>
      </c>
      <c r="AI89" s="1211" t="s">
        <v>654</v>
      </c>
      <c r="AJ89" s="1209">
        <v>0.25</v>
      </c>
      <c r="AK89" s="1209">
        <v>0.25</v>
      </c>
      <c r="AL89" s="1209">
        <v>0.25</v>
      </c>
      <c r="AM89" s="1209">
        <v>0.25</v>
      </c>
      <c r="AN89" s="1209">
        <v>0.25</v>
      </c>
      <c r="AO89" s="1209">
        <v>0.25</v>
      </c>
      <c r="AP89" s="1209">
        <v>0.25</v>
      </c>
      <c r="AQ89" s="1217">
        <v>0.25</v>
      </c>
      <c r="AR89" s="1209">
        <v>0.25</v>
      </c>
      <c r="AS89" s="1213">
        <v>0.25</v>
      </c>
      <c r="AT89" s="1213"/>
      <c r="AU89" s="1214"/>
      <c r="AV89" s="1213"/>
      <c r="AX89" s="1229">
        <v>2.2999999999999998</v>
      </c>
      <c r="AY89" s="1253" t="s">
        <v>1722</v>
      </c>
      <c r="AZ89" s="1230" t="s">
        <v>1707</v>
      </c>
      <c r="BA89" s="1233">
        <v>0</v>
      </c>
      <c r="BB89" s="1233">
        <v>0</v>
      </c>
      <c r="BC89" s="1233">
        <v>0</v>
      </c>
      <c r="BD89" s="1233">
        <v>0</v>
      </c>
      <c r="BE89" s="1233">
        <v>0</v>
      </c>
      <c r="BF89" s="1233">
        <v>0</v>
      </c>
      <c r="BG89" s="1233">
        <v>0</v>
      </c>
      <c r="BH89" s="1233">
        <v>0</v>
      </c>
      <c r="BI89" s="1233">
        <v>0</v>
      </c>
      <c r="BJ89" s="1233">
        <v>0</v>
      </c>
      <c r="BK89" s="1235"/>
      <c r="BL89" s="1233"/>
      <c r="BM89" s="1233"/>
      <c r="BO89" s="1229">
        <v>2.2999999999999998</v>
      </c>
      <c r="BP89" s="1253" t="s">
        <v>1722</v>
      </c>
      <c r="BQ89" s="1230" t="s">
        <v>654</v>
      </c>
      <c r="BR89" s="1233">
        <v>0</v>
      </c>
      <c r="BS89" s="1233">
        <v>0</v>
      </c>
      <c r="BT89" s="1233">
        <v>0</v>
      </c>
      <c r="BU89" s="1233">
        <v>0</v>
      </c>
      <c r="BV89" s="1233">
        <v>0</v>
      </c>
      <c r="BW89" s="1233">
        <v>0</v>
      </c>
      <c r="BX89" s="1233">
        <v>0</v>
      </c>
      <c r="BY89" s="1233">
        <v>0</v>
      </c>
      <c r="BZ89" s="1233">
        <v>0</v>
      </c>
      <c r="CA89" s="1233">
        <v>0</v>
      </c>
      <c r="CB89" s="1233"/>
      <c r="CC89" s="1233"/>
      <c r="CD89" s="1233"/>
      <c r="CE89" s="1469"/>
      <c r="CG89" s="1229">
        <v>2.2999999999999998</v>
      </c>
      <c r="CH89" s="1253" t="s">
        <v>1722</v>
      </c>
      <c r="CI89" s="1230" t="s">
        <v>654</v>
      </c>
      <c r="CJ89" s="1696">
        <f t="shared" si="114"/>
        <v>0</v>
      </c>
      <c r="CK89" s="1696">
        <f t="shared" si="102"/>
        <v>0</v>
      </c>
      <c r="CL89" s="1696">
        <f t="shared" si="103"/>
        <v>0</v>
      </c>
      <c r="CM89" s="1696">
        <f t="shared" si="104"/>
        <v>0</v>
      </c>
      <c r="CN89" s="1696">
        <f t="shared" si="105"/>
        <v>0</v>
      </c>
      <c r="CO89" s="1696">
        <f t="shared" si="106"/>
        <v>0</v>
      </c>
      <c r="CP89" s="1696">
        <f t="shared" si="107"/>
        <v>0</v>
      </c>
      <c r="CQ89" s="1696">
        <f t="shared" si="108"/>
        <v>0</v>
      </c>
      <c r="CR89" s="1696">
        <f t="shared" si="109"/>
        <v>0</v>
      </c>
      <c r="CS89" s="1696">
        <f t="shared" si="110"/>
        <v>0</v>
      </c>
      <c r="CT89" s="1696">
        <f t="shared" si="111"/>
        <v>0</v>
      </c>
      <c r="CU89" s="1696">
        <f t="shared" si="112"/>
        <v>0</v>
      </c>
      <c r="CV89" s="1696">
        <f t="shared" si="113"/>
        <v>0</v>
      </c>
      <c r="CX89" s="1229">
        <v>2.2999999999999998</v>
      </c>
      <c r="CY89" s="1253" t="s">
        <v>1722</v>
      </c>
      <c r="CZ89" s="1230" t="s">
        <v>654</v>
      </c>
      <c r="DA89" s="1799">
        <f t="shared" si="115"/>
        <v>0</v>
      </c>
      <c r="DB89" s="1799"/>
      <c r="DC89" s="1799"/>
      <c r="DD89" s="1799"/>
      <c r="DE89" s="1799"/>
      <c r="DF89" s="1799"/>
      <c r="DG89" s="1799"/>
      <c r="DH89" s="1799"/>
      <c r="DI89" s="1799"/>
      <c r="DJ89" s="1799"/>
      <c r="DK89" s="1799"/>
      <c r="DL89" s="1799"/>
      <c r="DM89" s="1799"/>
    </row>
    <row r="90" spans="2:117" hidden="1">
      <c r="B90" s="1186" t="str">
        <f t="shared" si="116"/>
        <v>2.3.1</v>
      </c>
      <c r="C90" s="1853">
        <f t="shared" si="93"/>
        <v>0</v>
      </c>
      <c r="D90" s="1196">
        <f>IF(I$89&gt;0,G90/I$89,0)</f>
        <v>0</v>
      </c>
      <c r="E90" s="1196">
        <f>IF(J$89&gt;0,H90/J$89,0)</f>
        <v>0</v>
      </c>
      <c r="G90" s="1206">
        <f t="shared" si="98"/>
        <v>0</v>
      </c>
      <c r="H90" s="1206">
        <f t="shared" si="99"/>
        <v>0</v>
      </c>
      <c r="I90" s="1206"/>
      <c r="J90" s="1206"/>
      <c r="K90" s="1206">
        <f>IF(スコア!Q90=0,0,1)</f>
        <v>1</v>
      </c>
      <c r="L90" s="1206">
        <f>IF(スコア!S94=0,0,1)</f>
        <v>0</v>
      </c>
      <c r="M90" s="1206">
        <f t="shared" si="100"/>
        <v>0</v>
      </c>
      <c r="N90" s="1206">
        <f t="shared" si="101"/>
        <v>0</v>
      </c>
      <c r="P90" s="1207" t="str">
        <f t="shared" si="94"/>
        <v>2.3.1</v>
      </c>
      <c r="Q90" s="1207" t="str">
        <f t="shared" si="95"/>
        <v xml:space="preserve"> Q2 2.3</v>
      </c>
      <c r="R90" s="1208">
        <f t="shared" si="96"/>
        <v>0</v>
      </c>
      <c r="S90" s="1747">
        <f t="shared" si="74"/>
        <v>0</v>
      </c>
      <c r="T90" s="1747">
        <f t="shared" si="75"/>
        <v>0</v>
      </c>
      <c r="U90" s="1747">
        <f t="shared" si="76"/>
        <v>0</v>
      </c>
      <c r="V90" s="1747">
        <f t="shared" si="77"/>
        <v>0</v>
      </c>
      <c r="W90" s="1747">
        <f t="shared" si="78"/>
        <v>0</v>
      </c>
      <c r="X90" s="1747">
        <f t="shared" si="79"/>
        <v>0</v>
      </c>
      <c r="Y90" s="1747">
        <f t="shared" si="80"/>
        <v>0</v>
      </c>
      <c r="Z90" s="1749">
        <f t="shared" si="81"/>
        <v>0</v>
      </c>
      <c r="AA90" s="1747">
        <f t="shared" si="82"/>
        <v>0</v>
      </c>
      <c r="AB90" s="1747">
        <f t="shared" si="83"/>
        <v>0</v>
      </c>
      <c r="AC90" s="1748">
        <f t="shared" si="84"/>
        <v>0</v>
      </c>
      <c r="AD90" s="1747">
        <f t="shared" si="85"/>
        <v>0</v>
      </c>
      <c r="AE90" s="1747">
        <f t="shared" si="86"/>
        <v>0</v>
      </c>
      <c r="AG90" s="1207" t="s">
        <v>2326</v>
      </c>
      <c r="AH90" s="1207" t="s">
        <v>2327</v>
      </c>
      <c r="AI90" s="1211" t="s">
        <v>63</v>
      </c>
      <c r="AJ90" s="1244">
        <v>0.33333333333333331</v>
      </c>
      <c r="AK90" s="1244">
        <v>0.33333333333333331</v>
      </c>
      <c r="AL90" s="1244">
        <v>0.33333333333333331</v>
      </c>
      <c r="AM90" s="1244">
        <v>0.33333333333333331</v>
      </c>
      <c r="AN90" s="1244">
        <v>0.33333333333333331</v>
      </c>
      <c r="AO90" s="1244">
        <v>0.33333333333333331</v>
      </c>
      <c r="AP90" s="1244">
        <v>0.33333333333333331</v>
      </c>
      <c r="AQ90" s="1244">
        <v>0.33333333333333331</v>
      </c>
      <c r="AR90" s="1244">
        <v>0.33333333333333331</v>
      </c>
      <c r="AS90" s="1213">
        <v>0.33333333333333331</v>
      </c>
      <c r="AT90" s="1213"/>
      <c r="AU90" s="1214"/>
      <c r="AV90" s="1213"/>
      <c r="AX90" s="1229" t="s">
        <v>2328</v>
      </c>
      <c r="AY90" s="455" t="s">
        <v>1732</v>
      </c>
      <c r="AZ90" s="1230" t="s">
        <v>1708</v>
      </c>
      <c r="BA90" s="1233">
        <v>0</v>
      </c>
      <c r="BB90" s="1233">
        <v>0</v>
      </c>
      <c r="BC90" s="1233">
        <v>0</v>
      </c>
      <c r="BD90" s="1233">
        <v>0</v>
      </c>
      <c r="BE90" s="1233">
        <v>0</v>
      </c>
      <c r="BF90" s="1233">
        <v>0</v>
      </c>
      <c r="BG90" s="1233">
        <v>0</v>
      </c>
      <c r="BH90" s="1233">
        <v>0</v>
      </c>
      <c r="BI90" s="1233">
        <v>0</v>
      </c>
      <c r="BJ90" s="1233">
        <v>0</v>
      </c>
      <c r="BK90" s="1235"/>
      <c r="BL90" s="1233"/>
      <c r="BM90" s="1233"/>
      <c r="BO90" s="1229" t="s">
        <v>2328</v>
      </c>
      <c r="BP90" s="455" t="s">
        <v>1732</v>
      </c>
      <c r="BQ90" s="1230"/>
      <c r="BR90" s="1233">
        <v>0</v>
      </c>
      <c r="BS90" s="1233">
        <v>0</v>
      </c>
      <c r="BT90" s="1233">
        <v>0</v>
      </c>
      <c r="BU90" s="1233">
        <v>0</v>
      </c>
      <c r="BV90" s="1233">
        <v>0</v>
      </c>
      <c r="BW90" s="1233">
        <v>0</v>
      </c>
      <c r="BX90" s="1233">
        <v>0</v>
      </c>
      <c r="BY90" s="1233">
        <v>0</v>
      </c>
      <c r="BZ90" s="1233">
        <v>0</v>
      </c>
      <c r="CA90" s="1233">
        <v>0</v>
      </c>
      <c r="CB90" s="1233"/>
      <c r="CC90" s="1233"/>
      <c r="CD90" s="1233"/>
      <c r="CE90" s="1469"/>
      <c r="CG90" s="1229" t="s">
        <v>213</v>
      </c>
      <c r="CH90" s="455" t="s">
        <v>1732</v>
      </c>
      <c r="CI90" s="1230"/>
      <c r="CJ90" s="1696">
        <f t="shared" si="114"/>
        <v>0</v>
      </c>
      <c r="CK90" s="1696">
        <f t="shared" si="102"/>
        <v>0</v>
      </c>
      <c r="CL90" s="1696">
        <f t="shared" si="103"/>
        <v>0</v>
      </c>
      <c r="CM90" s="1696">
        <f t="shared" si="104"/>
        <v>0</v>
      </c>
      <c r="CN90" s="1696">
        <f t="shared" si="105"/>
        <v>0</v>
      </c>
      <c r="CO90" s="1696">
        <f t="shared" si="106"/>
        <v>0</v>
      </c>
      <c r="CP90" s="1696">
        <f t="shared" si="107"/>
        <v>0</v>
      </c>
      <c r="CQ90" s="1696">
        <f t="shared" si="108"/>
        <v>0</v>
      </c>
      <c r="CR90" s="1696">
        <f t="shared" si="109"/>
        <v>0</v>
      </c>
      <c r="CS90" s="1696">
        <f t="shared" si="110"/>
        <v>0</v>
      </c>
      <c r="CT90" s="1696">
        <f t="shared" si="111"/>
        <v>0</v>
      </c>
      <c r="CU90" s="1696">
        <f t="shared" si="112"/>
        <v>0</v>
      </c>
      <c r="CV90" s="1696">
        <f t="shared" si="113"/>
        <v>0</v>
      </c>
      <c r="CX90" s="1229" t="s">
        <v>213</v>
      </c>
      <c r="CY90" s="455" t="s">
        <v>1732</v>
      </c>
      <c r="CZ90" s="1230" t="s">
        <v>63</v>
      </c>
      <c r="DA90" s="1799">
        <f t="shared" si="115"/>
        <v>0</v>
      </c>
      <c r="DB90" s="1799"/>
      <c r="DC90" s="1799"/>
      <c r="DD90" s="1799"/>
      <c r="DE90" s="1799"/>
      <c r="DF90" s="1799"/>
      <c r="DG90" s="1799"/>
      <c r="DH90" s="1799"/>
      <c r="DI90" s="1799"/>
      <c r="DJ90" s="1799"/>
      <c r="DK90" s="1799"/>
      <c r="DL90" s="1799"/>
      <c r="DM90" s="1799"/>
    </row>
    <row r="91" spans="2:117" hidden="1">
      <c r="B91" s="1186" t="str">
        <f t="shared" si="116"/>
        <v>2.3.2</v>
      </c>
      <c r="C91" s="1853">
        <f t="shared" si="93"/>
        <v>0</v>
      </c>
      <c r="D91" s="1196">
        <f t="shared" ref="D91:D92" si="118">IF(I$89&gt;0,G91/I$89,0)</f>
        <v>0</v>
      </c>
      <c r="E91" s="1196">
        <f>IF(J$89&gt;0,H91/J$89,0)</f>
        <v>0</v>
      </c>
      <c r="G91" s="1206">
        <f t="shared" si="98"/>
        <v>0</v>
      </c>
      <c r="H91" s="1206">
        <f t="shared" si="99"/>
        <v>0</v>
      </c>
      <c r="I91" s="1206"/>
      <c r="J91" s="1206"/>
      <c r="K91" s="1206">
        <f>IF(スコア!Q91=0,0,1)</f>
        <v>1</v>
      </c>
      <c r="L91" s="1206">
        <f>IF(スコア!S95=0,0,1)</f>
        <v>0</v>
      </c>
      <c r="M91" s="1206">
        <f t="shared" si="100"/>
        <v>0</v>
      </c>
      <c r="N91" s="1206">
        <f t="shared" si="101"/>
        <v>0</v>
      </c>
      <c r="P91" s="1207" t="str">
        <f t="shared" si="94"/>
        <v>2.3.2</v>
      </c>
      <c r="Q91" s="1207" t="str">
        <f t="shared" si="95"/>
        <v xml:space="preserve"> Q2 2.3</v>
      </c>
      <c r="R91" s="1208">
        <f t="shared" si="96"/>
        <v>0</v>
      </c>
      <c r="S91" s="1747">
        <f t="shared" si="74"/>
        <v>0</v>
      </c>
      <c r="T91" s="1747">
        <f t="shared" si="75"/>
        <v>0</v>
      </c>
      <c r="U91" s="1747">
        <f t="shared" si="76"/>
        <v>0</v>
      </c>
      <c r="V91" s="1747">
        <f t="shared" si="77"/>
        <v>0</v>
      </c>
      <c r="W91" s="1747">
        <f t="shared" si="78"/>
        <v>0</v>
      </c>
      <c r="X91" s="1747">
        <f t="shared" si="79"/>
        <v>0</v>
      </c>
      <c r="Y91" s="1747">
        <f t="shared" si="80"/>
        <v>0</v>
      </c>
      <c r="Z91" s="1749">
        <f t="shared" si="81"/>
        <v>0</v>
      </c>
      <c r="AA91" s="1747">
        <f t="shared" si="82"/>
        <v>0</v>
      </c>
      <c r="AB91" s="1747">
        <f t="shared" si="83"/>
        <v>0</v>
      </c>
      <c r="AC91" s="1748">
        <f t="shared" si="84"/>
        <v>0</v>
      </c>
      <c r="AD91" s="1747">
        <f t="shared" si="85"/>
        <v>0</v>
      </c>
      <c r="AE91" s="1747">
        <f t="shared" si="86"/>
        <v>0</v>
      </c>
      <c r="AG91" s="1207" t="s">
        <v>2329</v>
      </c>
      <c r="AH91" s="1207" t="s">
        <v>2330</v>
      </c>
      <c r="AI91" s="1211" t="s">
        <v>64</v>
      </c>
      <c r="AJ91" s="1244">
        <v>0.33333333333333331</v>
      </c>
      <c r="AK91" s="1244">
        <v>0.33333333333333331</v>
      </c>
      <c r="AL91" s="1244">
        <v>0.33333333333333331</v>
      </c>
      <c r="AM91" s="1244">
        <v>0.33333333333333331</v>
      </c>
      <c r="AN91" s="1244">
        <v>0.33333333333333331</v>
      </c>
      <c r="AO91" s="1244">
        <v>0.33333333333333331</v>
      </c>
      <c r="AP91" s="1244">
        <v>0.33333333333333331</v>
      </c>
      <c r="AQ91" s="1244">
        <v>0.33333333333333331</v>
      </c>
      <c r="AR91" s="1244">
        <v>0.33333333333333331</v>
      </c>
      <c r="AS91" s="1213">
        <v>0.33333333333333331</v>
      </c>
      <c r="AT91" s="1213"/>
      <c r="AU91" s="1214"/>
      <c r="AV91" s="1213"/>
      <c r="AX91" s="1229" t="s">
        <v>1151</v>
      </c>
      <c r="AY91" s="455" t="s">
        <v>1732</v>
      </c>
      <c r="AZ91" s="1230" t="s">
        <v>1709</v>
      </c>
      <c r="BA91" s="1233">
        <v>0</v>
      </c>
      <c r="BB91" s="1233">
        <v>0</v>
      </c>
      <c r="BC91" s="1233">
        <v>0</v>
      </c>
      <c r="BD91" s="1233">
        <v>0</v>
      </c>
      <c r="BE91" s="1233">
        <v>0</v>
      </c>
      <c r="BF91" s="1233">
        <v>0</v>
      </c>
      <c r="BG91" s="1233">
        <v>0</v>
      </c>
      <c r="BH91" s="1233">
        <v>0</v>
      </c>
      <c r="BI91" s="1233">
        <v>0</v>
      </c>
      <c r="BJ91" s="1233">
        <v>0</v>
      </c>
      <c r="BK91" s="1235"/>
      <c r="BL91" s="1233"/>
      <c r="BM91" s="1233"/>
      <c r="BO91" s="1229" t="s">
        <v>1151</v>
      </c>
      <c r="BP91" s="455" t="s">
        <v>1732</v>
      </c>
      <c r="BQ91" s="1230"/>
      <c r="BR91" s="1233">
        <v>0</v>
      </c>
      <c r="BS91" s="1233">
        <v>0</v>
      </c>
      <c r="BT91" s="1233">
        <v>0</v>
      </c>
      <c r="BU91" s="1233">
        <v>0</v>
      </c>
      <c r="BV91" s="1233">
        <v>0</v>
      </c>
      <c r="BW91" s="1233">
        <v>0</v>
      </c>
      <c r="BX91" s="1233">
        <v>0</v>
      </c>
      <c r="BY91" s="1233">
        <v>0</v>
      </c>
      <c r="BZ91" s="1233">
        <v>0</v>
      </c>
      <c r="CA91" s="1233">
        <v>0</v>
      </c>
      <c r="CB91" s="1233"/>
      <c r="CC91" s="1233"/>
      <c r="CD91" s="1233"/>
      <c r="CE91" s="1469"/>
      <c r="CG91" s="1229" t="s">
        <v>215</v>
      </c>
      <c r="CH91" s="455" t="s">
        <v>1732</v>
      </c>
      <c r="CI91" s="1230"/>
      <c r="CJ91" s="1696">
        <f t="shared" si="114"/>
        <v>0</v>
      </c>
      <c r="CK91" s="1696">
        <f t="shared" si="102"/>
        <v>0</v>
      </c>
      <c r="CL91" s="1696">
        <f t="shared" si="103"/>
        <v>0</v>
      </c>
      <c r="CM91" s="1696">
        <f t="shared" si="104"/>
        <v>0</v>
      </c>
      <c r="CN91" s="1696">
        <f t="shared" si="105"/>
        <v>0</v>
      </c>
      <c r="CO91" s="1696">
        <f t="shared" si="106"/>
        <v>0</v>
      </c>
      <c r="CP91" s="1696">
        <f t="shared" si="107"/>
        <v>0</v>
      </c>
      <c r="CQ91" s="1696">
        <f t="shared" si="108"/>
        <v>0</v>
      </c>
      <c r="CR91" s="1696">
        <f t="shared" si="109"/>
        <v>0</v>
      </c>
      <c r="CS91" s="1696">
        <f t="shared" si="110"/>
        <v>0</v>
      </c>
      <c r="CT91" s="1696">
        <f t="shared" si="111"/>
        <v>0</v>
      </c>
      <c r="CU91" s="1696">
        <f t="shared" si="112"/>
        <v>0</v>
      </c>
      <c r="CV91" s="1696">
        <f t="shared" si="113"/>
        <v>0</v>
      </c>
      <c r="CX91" s="1229" t="s">
        <v>215</v>
      </c>
      <c r="CY91" s="455" t="s">
        <v>1732</v>
      </c>
      <c r="CZ91" s="1230" t="s">
        <v>64</v>
      </c>
      <c r="DA91" s="1799">
        <f t="shared" si="115"/>
        <v>0</v>
      </c>
      <c r="DB91" s="1799"/>
      <c r="DC91" s="1799"/>
      <c r="DD91" s="1799"/>
      <c r="DE91" s="1799"/>
      <c r="DF91" s="1799"/>
      <c r="DG91" s="1799"/>
      <c r="DH91" s="1799"/>
      <c r="DI91" s="1799"/>
      <c r="DJ91" s="1799"/>
      <c r="DK91" s="1799"/>
      <c r="DL91" s="1799"/>
      <c r="DM91" s="1799"/>
    </row>
    <row r="92" spans="2:117" hidden="1">
      <c r="B92" s="1186" t="str">
        <f t="shared" si="116"/>
        <v>2.3.3</v>
      </c>
      <c r="C92" s="1853">
        <f t="shared" si="93"/>
        <v>0</v>
      </c>
      <c r="D92" s="1196">
        <f t="shared" si="118"/>
        <v>0</v>
      </c>
      <c r="E92" s="1196">
        <f>IF(J$89&gt;0,H92/J$89,0)</f>
        <v>0</v>
      </c>
      <c r="G92" s="1206">
        <f t="shared" si="98"/>
        <v>0</v>
      </c>
      <c r="H92" s="1206">
        <f t="shared" si="99"/>
        <v>0</v>
      </c>
      <c r="I92" s="1206"/>
      <c r="J92" s="1206"/>
      <c r="K92" s="1206">
        <f>IF(スコア!Q92=0,0,1)</f>
        <v>1</v>
      </c>
      <c r="L92" s="1206">
        <f>IF(スコア!S96=0,0,1)</f>
        <v>0</v>
      </c>
      <c r="M92" s="1206">
        <f t="shared" si="100"/>
        <v>0</v>
      </c>
      <c r="N92" s="1206">
        <f t="shared" si="101"/>
        <v>0</v>
      </c>
      <c r="P92" s="1207" t="str">
        <f t="shared" si="94"/>
        <v>2.3.3</v>
      </c>
      <c r="Q92" s="1207" t="str">
        <f t="shared" si="95"/>
        <v xml:space="preserve"> Q2 2.3</v>
      </c>
      <c r="R92" s="1208">
        <f t="shared" si="96"/>
        <v>0</v>
      </c>
      <c r="S92" s="1747">
        <f t="shared" si="74"/>
        <v>0</v>
      </c>
      <c r="T92" s="1747">
        <f t="shared" si="75"/>
        <v>0</v>
      </c>
      <c r="U92" s="1747">
        <f t="shared" si="76"/>
        <v>0</v>
      </c>
      <c r="V92" s="1747">
        <f t="shared" si="77"/>
        <v>0</v>
      </c>
      <c r="W92" s="1747">
        <f t="shared" si="78"/>
        <v>0</v>
      </c>
      <c r="X92" s="1747">
        <f t="shared" si="79"/>
        <v>0</v>
      </c>
      <c r="Y92" s="1747">
        <f t="shared" si="80"/>
        <v>0</v>
      </c>
      <c r="Z92" s="1749">
        <f t="shared" si="81"/>
        <v>0</v>
      </c>
      <c r="AA92" s="1747">
        <f t="shared" si="82"/>
        <v>0</v>
      </c>
      <c r="AB92" s="1747">
        <f t="shared" si="83"/>
        <v>0</v>
      </c>
      <c r="AC92" s="1748">
        <f t="shared" si="84"/>
        <v>0</v>
      </c>
      <c r="AD92" s="1747">
        <f t="shared" si="85"/>
        <v>0</v>
      </c>
      <c r="AE92" s="1747">
        <f t="shared" si="86"/>
        <v>0</v>
      </c>
      <c r="AG92" s="1207" t="s">
        <v>1152</v>
      </c>
      <c r="AH92" s="1207" t="s">
        <v>1153</v>
      </c>
      <c r="AI92" s="1211" t="s">
        <v>1733</v>
      </c>
      <c r="AJ92" s="1244">
        <v>0.33333333333333331</v>
      </c>
      <c r="AK92" s="1244">
        <v>0.33333333333333331</v>
      </c>
      <c r="AL92" s="1244">
        <v>0.33333333333333331</v>
      </c>
      <c r="AM92" s="1244">
        <v>0.33333333333333331</v>
      </c>
      <c r="AN92" s="1244">
        <v>0.33333333333333331</v>
      </c>
      <c r="AO92" s="1244">
        <v>0.33333333333333331</v>
      </c>
      <c r="AP92" s="1244">
        <v>0.33333333333333331</v>
      </c>
      <c r="AQ92" s="1244">
        <v>0.33333333333333331</v>
      </c>
      <c r="AR92" s="1244">
        <v>0.33333333333333331</v>
      </c>
      <c r="AS92" s="1213">
        <v>0.33333333333333331</v>
      </c>
      <c r="AT92" s="1213"/>
      <c r="AU92" s="1214"/>
      <c r="AV92" s="1213"/>
      <c r="AX92" s="1229" t="s">
        <v>1154</v>
      </c>
      <c r="AY92" s="455" t="s">
        <v>1732</v>
      </c>
      <c r="AZ92" s="1230" t="s">
        <v>1710</v>
      </c>
      <c r="BA92" s="1233">
        <v>0</v>
      </c>
      <c r="BB92" s="1233">
        <v>0</v>
      </c>
      <c r="BC92" s="1233">
        <v>0</v>
      </c>
      <c r="BD92" s="1233">
        <v>0</v>
      </c>
      <c r="BE92" s="1233">
        <v>0</v>
      </c>
      <c r="BF92" s="1233">
        <v>0</v>
      </c>
      <c r="BG92" s="1233">
        <v>0</v>
      </c>
      <c r="BH92" s="1233">
        <v>0</v>
      </c>
      <c r="BI92" s="1233">
        <v>0</v>
      </c>
      <c r="BJ92" s="1233">
        <v>0</v>
      </c>
      <c r="BK92" s="1235"/>
      <c r="BL92" s="1233"/>
      <c r="BM92" s="1233"/>
      <c r="BO92" s="1229" t="s">
        <v>1154</v>
      </c>
      <c r="BP92" s="455" t="s">
        <v>1732</v>
      </c>
      <c r="BQ92" s="1230"/>
      <c r="BR92" s="1233">
        <v>0</v>
      </c>
      <c r="BS92" s="1233">
        <v>0</v>
      </c>
      <c r="BT92" s="1233">
        <v>0</v>
      </c>
      <c r="BU92" s="1233">
        <v>0</v>
      </c>
      <c r="BV92" s="1233">
        <v>0</v>
      </c>
      <c r="BW92" s="1233">
        <v>0</v>
      </c>
      <c r="BX92" s="1233">
        <v>0</v>
      </c>
      <c r="BY92" s="1233">
        <v>0</v>
      </c>
      <c r="BZ92" s="1233">
        <v>0</v>
      </c>
      <c r="CA92" s="1233">
        <v>0</v>
      </c>
      <c r="CB92" s="1233"/>
      <c r="CC92" s="1233"/>
      <c r="CD92" s="1233"/>
      <c r="CE92" s="1469"/>
      <c r="CG92" s="1229" t="s">
        <v>1152</v>
      </c>
      <c r="CH92" s="455" t="s">
        <v>1732</v>
      </c>
      <c r="CI92" s="1230"/>
      <c r="CJ92" s="1696">
        <f t="shared" si="114"/>
        <v>0</v>
      </c>
      <c r="CK92" s="1696">
        <f t="shared" si="102"/>
        <v>0</v>
      </c>
      <c r="CL92" s="1696">
        <f t="shared" si="103"/>
        <v>0</v>
      </c>
      <c r="CM92" s="1696">
        <f t="shared" si="104"/>
        <v>0</v>
      </c>
      <c r="CN92" s="1696">
        <f t="shared" si="105"/>
        <v>0</v>
      </c>
      <c r="CO92" s="1696">
        <f t="shared" si="106"/>
        <v>0</v>
      </c>
      <c r="CP92" s="1696">
        <f t="shared" si="107"/>
        <v>0</v>
      </c>
      <c r="CQ92" s="1696">
        <f t="shared" si="108"/>
        <v>0</v>
      </c>
      <c r="CR92" s="1696">
        <f t="shared" si="109"/>
        <v>0</v>
      </c>
      <c r="CS92" s="1696">
        <f t="shared" si="110"/>
        <v>0</v>
      </c>
      <c r="CT92" s="1696">
        <f t="shared" si="111"/>
        <v>0</v>
      </c>
      <c r="CU92" s="1696">
        <f t="shared" si="112"/>
        <v>0</v>
      </c>
      <c r="CV92" s="1696">
        <f t="shared" si="113"/>
        <v>0</v>
      </c>
      <c r="CX92" s="1229" t="s">
        <v>1152</v>
      </c>
      <c r="CY92" s="455" t="s">
        <v>1732</v>
      </c>
      <c r="CZ92" s="1230" t="s">
        <v>1733</v>
      </c>
      <c r="DA92" s="1799">
        <f t="shared" si="115"/>
        <v>0</v>
      </c>
      <c r="DB92" s="1799"/>
      <c r="DC92" s="1799"/>
      <c r="DD92" s="1799"/>
      <c r="DE92" s="1799"/>
      <c r="DF92" s="1799"/>
      <c r="DG92" s="1799"/>
      <c r="DH92" s="1799"/>
      <c r="DI92" s="1799"/>
      <c r="DJ92" s="1799"/>
      <c r="DK92" s="1799"/>
      <c r="DL92" s="1799"/>
      <c r="DM92" s="1799"/>
    </row>
    <row r="93" spans="2:117">
      <c r="B93" s="1186">
        <f t="shared" si="116"/>
        <v>2.4</v>
      </c>
      <c r="C93" s="1208" t="str">
        <f t="shared" si="93"/>
        <v>信頼性</v>
      </c>
      <c r="D93" s="1205">
        <f>IF(I$78=0,0,G93/I$78)</f>
        <v>0.2</v>
      </c>
      <c r="E93" s="1206">
        <f>IF(J$78=0,0,H93/J$78)</f>
        <v>0</v>
      </c>
      <c r="G93" s="1206">
        <f t="shared" si="98"/>
        <v>0.2</v>
      </c>
      <c r="H93" s="1206">
        <f t="shared" si="99"/>
        <v>0</v>
      </c>
      <c r="I93" s="1206">
        <f>SUM(G94:G98)</f>
        <v>1</v>
      </c>
      <c r="J93" s="1206">
        <f>SUM(H94:H98)</f>
        <v>0</v>
      </c>
      <c r="K93" s="1206">
        <f>IF(スコア!Q93=0,0,1)</f>
        <v>1</v>
      </c>
      <c r="L93" s="1206">
        <f>IF(スコア!S93=0,0,1)</f>
        <v>0</v>
      </c>
      <c r="M93" s="1206">
        <f t="shared" si="100"/>
        <v>0.2</v>
      </c>
      <c r="N93" s="1206">
        <f t="shared" si="101"/>
        <v>0</v>
      </c>
      <c r="P93" s="1207">
        <f t="shared" si="94"/>
        <v>2.4</v>
      </c>
      <c r="Q93" s="1207" t="str">
        <f t="shared" si="95"/>
        <v xml:space="preserve"> Q2 2</v>
      </c>
      <c r="R93" s="1208" t="str">
        <f t="shared" si="96"/>
        <v>信頼性</v>
      </c>
      <c r="S93" s="1747">
        <f t="shared" si="74"/>
        <v>0.2</v>
      </c>
      <c r="T93" s="1747">
        <f t="shared" si="75"/>
        <v>0.2</v>
      </c>
      <c r="U93" s="1747">
        <f t="shared" si="76"/>
        <v>0.2</v>
      </c>
      <c r="V93" s="1747">
        <f t="shared" si="77"/>
        <v>0.2</v>
      </c>
      <c r="W93" s="1747">
        <f t="shared" si="78"/>
        <v>0.2</v>
      </c>
      <c r="X93" s="1747">
        <f t="shared" si="79"/>
        <v>0.2</v>
      </c>
      <c r="Y93" s="1747">
        <f t="shared" si="80"/>
        <v>0.2</v>
      </c>
      <c r="Z93" s="1749">
        <f t="shared" si="81"/>
        <v>0.2</v>
      </c>
      <c r="AA93" s="1747">
        <f t="shared" si="82"/>
        <v>0.2</v>
      </c>
      <c r="AB93" s="1747">
        <f t="shared" si="83"/>
        <v>0.2</v>
      </c>
      <c r="AC93" s="1748">
        <f t="shared" si="84"/>
        <v>0</v>
      </c>
      <c r="AD93" s="1747">
        <f t="shared" si="85"/>
        <v>0</v>
      </c>
      <c r="AE93" s="1747">
        <f t="shared" si="86"/>
        <v>0</v>
      </c>
      <c r="AG93" s="1207">
        <v>2.4</v>
      </c>
      <c r="AH93" s="1211" t="s">
        <v>1722</v>
      </c>
      <c r="AI93" s="1208" t="s">
        <v>66</v>
      </c>
      <c r="AJ93" s="1209">
        <v>0.25</v>
      </c>
      <c r="AK93" s="1209">
        <v>0.25</v>
      </c>
      <c r="AL93" s="1209">
        <v>0.25</v>
      </c>
      <c r="AM93" s="1209">
        <v>0.25</v>
      </c>
      <c r="AN93" s="1209">
        <v>0.25</v>
      </c>
      <c r="AO93" s="1209">
        <v>0.25</v>
      </c>
      <c r="AP93" s="1209">
        <v>0.25</v>
      </c>
      <c r="AQ93" s="1217">
        <v>0.25</v>
      </c>
      <c r="AR93" s="1209">
        <v>0.25</v>
      </c>
      <c r="AS93" s="1213">
        <v>0.25</v>
      </c>
      <c r="AT93" s="1214">
        <v>0</v>
      </c>
      <c r="AU93" s="1213">
        <v>0</v>
      </c>
      <c r="AV93" s="1213">
        <v>0</v>
      </c>
      <c r="AX93" s="1207">
        <v>2.4</v>
      </c>
      <c r="AY93" s="1211" t="s">
        <v>1722</v>
      </c>
      <c r="AZ93" s="1208" t="s">
        <v>1711</v>
      </c>
      <c r="BA93" s="1213">
        <v>0.2</v>
      </c>
      <c r="BB93" s="1213">
        <v>0.2</v>
      </c>
      <c r="BC93" s="1213">
        <v>0.2</v>
      </c>
      <c r="BD93" s="1213">
        <v>0.2</v>
      </c>
      <c r="BE93" s="1213">
        <v>0.2</v>
      </c>
      <c r="BF93" s="1213">
        <v>0.2</v>
      </c>
      <c r="BG93" s="1213">
        <v>0.2</v>
      </c>
      <c r="BH93" s="1220">
        <v>0.2</v>
      </c>
      <c r="BI93" s="1213">
        <v>0.2</v>
      </c>
      <c r="BJ93" s="1213">
        <v>0.2</v>
      </c>
      <c r="BK93" s="1214"/>
      <c r="BL93" s="1213"/>
      <c r="BM93" s="1213"/>
      <c r="BO93" s="1207">
        <v>2.4</v>
      </c>
      <c r="BP93" s="1211" t="s">
        <v>1722</v>
      </c>
      <c r="BQ93" s="1208" t="s">
        <v>66</v>
      </c>
      <c r="BR93" s="1213">
        <v>0.2</v>
      </c>
      <c r="BS93" s="1213">
        <v>0.2</v>
      </c>
      <c r="BT93" s="1213">
        <v>0.2</v>
      </c>
      <c r="BU93" s="1213">
        <v>0.2</v>
      </c>
      <c r="BV93" s="1213">
        <v>0.2</v>
      </c>
      <c r="BW93" s="1213">
        <v>0.2</v>
      </c>
      <c r="BX93" s="1213">
        <v>0.2</v>
      </c>
      <c r="BY93" s="1220">
        <v>0.2</v>
      </c>
      <c r="BZ93" s="1213">
        <v>0.2</v>
      </c>
      <c r="CA93" s="1213">
        <v>0.2</v>
      </c>
      <c r="CB93" s="1214"/>
      <c r="CC93" s="1213"/>
      <c r="CD93" s="1213"/>
      <c r="CE93" s="1469"/>
      <c r="CG93" s="1207">
        <v>2.4</v>
      </c>
      <c r="CH93" s="1211" t="s">
        <v>1722</v>
      </c>
      <c r="CI93" s="1208" t="s">
        <v>66</v>
      </c>
      <c r="CJ93" s="1678">
        <v>0.1</v>
      </c>
      <c r="CK93" s="1678">
        <v>0.1</v>
      </c>
      <c r="CL93" s="1678">
        <v>0.1</v>
      </c>
      <c r="CM93" s="1678">
        <v>0.1</v>
      </c>
      <c r="CN93" s="1678">
        <v>0.1</v>
      </c>
      <c r="CO93" s="1678">
        <v>0.1</v>
      </c>
      <c r="CP93" s="1678">
        <v>0.1</v>
      </c>
      <c r="CQ93" s="1678">
        <v>0.1</v>
      </c>
      <c r="CR93" s="1678">
        <v>0.1</v>
      </c>
      <c r="CS93" s="1678">
        <v>0.1</v>
      </c>
      <c r="CT93" s="1691">
        <f t="shared" si="111"/>
        <v>0</v>
      </c>
      <c r="CU93" s="1689">
        <f t="shared" si="112"/>
        <v>0</v>
      </c>
      <c r="CV93" s="1689">
        <f t="shared" si="113"/>
        <v>0</v>
      </c>
      <c r="CX93" s="1207">
        <v>2.4</v>
      </c>
      <c r="CY93" s="1211" t="s">
        <v>1722</v>
      </c>
      <c r="CZ93" s="1208" t="s">
        <v>66</v>
      </c>
      <c r="DA93" s="1814">
        <v>0.6</v>
      </c>
      <c r="DB93" s="1678"/>
      <c r="DC93" s="1678"/>
      <c r="DD93" s="1678"/>
      <c r="DE93" s="1678"/>
      <c r="DF93" s="1678"/>
      <c r="DG93" s="1678"/>
      <c r="DH93" s="1738"/>
      <c r="DI93" s="1678"/>
      <c r="DJ93" s="1678"/>
      <c r="DK93" s="1795"/>
      <c r="DL93" s="1678"/>
      <c r="DM93" s="1678"/>
    </row>
    <row r="94" spans="2:117">
      <c r="B94" s="1186" t="str">
        <f t="shared" si="116"/>
        <v>2.4.1</v>
      </c>
      <c r="C94" s="1208" t="str">
        <f t="shared" si="93"/>
        <v>空調・換気設備</v>
      </c>
      <c r="D94" s="1196">
        <f>IF(I$93&gt;0,G94/I$93,0)</f>
        <v>0.2</v>
      </c>
      <c r="E94" s="1206">
        <f t="shared" ref="D94:E98" si="119">IF(J$93&gt;0,H94/J$93,0)</f>
        <v>0</v>
      </c>
      <c r="G94" s="1206">
        <f t="shared" si="98"/>
        <v>0.2</v>
      </c>
      <c r="H94" s="1206">
        <f t="shared" si="99"/>
        <v>0</v>
      </c>
      <c r="I94" s="1206"/>
      <c r="J94" s="1206"/>
      <c r="K94" s="1206">
        <f>IF(スコア!Q94=0,0,1)</f>
        <v>1</v>
      </c>
      <c r="L94" s="1206">
        <f>IF(スコア!S94=0,0,1)</f>
        <v>0</v>
      </c>
      <c r="M94" s="1206">
        <f t="shared" si="100"/>
        <v>0.2</v>
      </c>
      <c r="N94" s="1206">
        <f t="shared" si="101"/>
        <v>0</v>
      </c>
      <c r="P94" s="1207" t="str">
        <f t="shared" si="94"/>
        <v>2.4.1</v>
      </c>
      <c r="Q94" s="1207" t="str">
        <f t="shared" si="95"/>
        <v xml:space="preserve"> Q2 2.4</v>
      </c>
      <c r="R94" s="1208" t="str">
        <f t="shared" si="96"/>
        <v>空調・換気設備</v>
      </c>
      <c r="S94" s="1747">
        <f t="shared" si="74"/>
        <v>0.2</v>
      </c>
      <c r="T94" s="1747">
        <f t="shared" si="75"/>
        <v>0.2</v>
      </c>
      <c r="U94" s="1747">
        <f t="shared" si="76"/>
        <v>0.2</v>
      </c>
      <c r="V94" s="1747">
        <f t="shared" si="77"/>
        <v>0.2</v>
      </c>
      <c r="W94" s="1747">
        <f t="shared" si="78"/>
        <v>0.2</v>
      </c>
      <c r="X94" s="1747">
        <f t="shared" si="79"/>
        <v>0.2</v>
      </c>
      <c r="Y94" s="1747">
        <f t="shared" si="80"/>
        <v>0.2</v>
      </c>
      <c r="Z94" s="1749">
        <f t="shared" si="81"/>
        <v>0.2</v>
      </c>
      <c r="AA94" s="1747">
        <f t="shared" si="82"/>
        <v>0.2</v>
      </c>
      <c r="AB94" s="1747">
        <f t="shared" si="83"/>
        <v>0.2</v>
      </c>
      <c r="AC94" s="1748">
        <f t="shared" si="84"/>
        <v>0</v>
      </c>
      <c r="AD94" s="1747">
        <f t="shared" si="85"/>
        <v>0</v>
      </c>
      <c r="AE94" s="1747">
        <f t="shared" si="86"/>
        <v>0</v>
      </c>
      <c r="AG94" s="1207" t="s">
        <v>1155</v>
      </c>
      <c r="AH94" s="1211" t="s">
        <v>1734</v>
      </c>
      <c r="AI94" s="1208" t="s">
        <v>1735</v>
      </c>
      <c r="AJ94" s="1209">
        <v>0.2</v>
      </c>
      <c r="AK94" s="1209">
        <v>0.2</v>
      </c>
      <c r="AL94" s="1209">
        <v>0.2</v>
      </c>
      <c r="AM94" s="1209">
        <v>0.2</v>
      </c>
      <c r="AN94" s="1209">
        <v>0.2</v>
      </c>
      <c r="AO94" s="1209">
        <v>0.2</v>
      </c>
      <c r="AP94" s="1209">
        <v>0.2</v>
      </c>
      <c r="AQ94" s="1217">
        <v>0.2</v>
      </c>
      <c r="AR94" s="1209">
        <v>0.2</v>
      </c>
      <c r="AS94" s="1213">
        <v>0.2</v>
      </c>
      <c r="AT94" s="1214">
        <v>0</v>
      </c>
      <c r="AU94" s="1213">
        <v>0</v>
      </c>
      <c r="AV94" s="1213">
        <v>0</v>
      </c>
      <c r="AX94" s="1207" t="s">
        <v>1155</v>
      </c>
      <c r="AY94" s="1211" t="s">
        <v>1734</v>
      </c>
      <c r="AZ94" s="1208" t="s">
        <v>1735</v>
      </c>
      <c r="BA94" s="1213">
        <v>0.2</v>
      </c>
      <c r="BB94" s="1213">
        <v>0.2</v>
      </c>
      <c r="BC94" s="1213">
        <v>0.2</v>
      </c>
      <c r="BD94" s="1213">
        <v>0.2</v>
      </c>
      <c r="BE94" s="1213">
        <v>0.2</v>
      </c>
      <c r="BF94" s="1213">
        <v>0.2</v>
      </c>
      <c r="BG94" s="1213">
        <v>0.2</v>
      </c>
      <c r="BH94" s="1220">
        <v>0.2</v>
      </c>
      <c r="BI94" s="1213">
        <v>0.2</v>
      </c>
      <c r="BJ94" s="1213">
        <v>0.2</v>
      </c>
      <c r="BK94" s="1214"/>
      <c r="BL94" s="1213"/>
      <c r="BM94" s="1213"/>
      <c r="BO94" s="1207" t="s">
        <v>1155</v>
      </c>
      <c r="BP94" s="1211" t="s">
        <v>1734</v>
      </c>
      <c r="BQ94" s="1208" t="s">
        <v>1735</v>
      </c>
      <c r="BR94" s="1213">
        <v>0.2</v>
      </c>
      <c r="BS94" s="1213">
        <v>0.2</v>
      </c>
      <c r="BT94" s="1213">
        <v>0.2</v>
      </c>
      <c r="BU94" s="1213">
        <v>0.2</v>
      </c>
      <c r="BV94" s="1213">
        <v>0.2</v>
      </c>
      <c r="BW94" s="1213">
        <v>0.2</v>
      </c>
      <c r="BX94" s="1213">
        <v>0.2</v>
      </c>
      <c r="BY94" s="1220">
        <v>0.2</v>
      </c>
      <c r="BZ94" s="1213">
        <v>0.2</v>
      </c>
      <c r="CA94" s="1213">
        <v>0.2</v>
      </c>
      <c r="CB94" s="1214"/>
      <c r="CC94" s="1213"/>
      <c r="CD94" s="1213"/>
      <c r="CE94" s="1469"/>
      <c r="CG94" s="1207" t="s">
        <v>1155</v>
      </c>
      <c r="CH94" s="1211" t="s">
        <v>1734</v>
      </c>
      <c r="CI94" s="1208" t="s">
        <v>1735</v>
      </c>
      <c r="CJ94" s="1689">
        <v>0</v>
      </c>
      <c r="CK94" s="1689">
        <v>0</v>
      </c>
      <c r="CL94" s="1689">
        <v>0</v>
      </c>
      <c r="CM94" s="1689">
        <v>0</v>
      </c>
      <c r="CN94" s="1689">
        <v>0</v>
      </c>
      <c r="CO94" s="1689">
        <v>0</v>
      </c>
      <c r="CP94" s="1689">
        <v>0</v>
      </c>
      <c r="CQ94" s="1689">
        <v>0</v>
      </c>
      <c r="CR94" s="1689">
        <v>0</v>
      </c>
      <c r="CS94" s="1689">
        <v>0</v>
      </c>
      <c r="CT94" s="1691">
        <f t="shared" si="111"/>
        <v>0</v>
      </c>
      <c r="CU94" s="1689">
        <f t="shared" si="112"/>
        <v>0</v>
      </c>
      <c r="CV94" s="1689">
        <f t="shared" si="113"/>
        <v>0</v>
      </c>
      <c r="CX94" s="1207" t="s">
        <v>1155</v>
      </c>
      <c r="CY94" s="1211" t="s">
        <v>1734</v>
      </c>
      <c r="CZ94" s="1208" t="s">
        <v>1735</v>
      </c>
      <c r="DA94" s="1820">
        <v>0.15</v>
      </c>
      <c r="DB94" s="1678"/>
      <c r="DC94" s="1678"/>
      <c r="DD94" s="1678"/>
      <c r="DE94" s="1678"/>
      <c r="DF94" s="1678"/>
      <c r="DG94" s="1678"/>
      <c r="DH94" s="1678"/>
      <c r="DI94" s="1678"/>
      <c r="DJ94" s="1678"/>
      <c r="DK94" s="1795"/>
      <c r="DL94" s="1678"/>
      <c r="DM94" s="1678"/>
    </row>
    <row r="95" spans="2:117">
      <c r="B95" s="1186" t="str">
        <f t="shared" si="116"/>
        <v>2.4.2</v>
      </c>
      <c r="C95" s="1208" t="str">
        <f t="shared" si="93"/>
        <v>給排水・衛生設備</v>
      </c>
      <c r="D95" s="1196">
        <f t="shared" si="119"/>
        <v>0.2</v>
      </c>
      <c r="E95" s="1206">
        <f t="shared" si="119"/>
        <v>0</v>
      </c>
      <c r="G95" s="1206">
        <f t="shared" si="98"/>
        <v>0.2</v>
      </c>
      <c r="H95" s="1206">
        <f t="shared" si="99"/>
        <v>0</v>
      </c>
      <c r="I95" s="1206"/>
      <c r="J95" s="1206"/>
      <c r="K95" s="1206">
        <f>IF(スコア!Q95=0,0,1)</f>
        <v>1</v>
      </c>
      <c r="L95" s="1206">
        <f>IF(スコア!S95=0,0,1)</f>
        <v>0</v>
      </c>
      <c r="M95" s="1206">
        <f t="shared" si="100"/>
        <v>0.2</v>
      </c>
      <c r="N95" s="1206">
        <f t="shared" si="101"/>
        <v>0</v>
      </c>
      <c r="P95" s="1207" t="str">
        <f t="shared" si="94"/>
        <v>2.4.2</v>
      </c>
      <c r="Q95" s="1207" t="str">
        <f t="shared" si="95"/>
        <v xml:space="preserve"> Q2 2.4</v>
      </c>
      <c r="R95" s="1208" t="str">
        <f t="shared" si="96"/>
        <v>給排水・衛生設備</v>
      </c>
      <c r="S95" s="1747">
        <f t="shared" si="74"/>
        <v>0.2</v>
      </c>
      <c r="T95" s="1747">
        <f t="shared" si="75"/>
        <v>0.2</v>
      </c>
      <c r="U95" s="1747">
        <f t="shared" si="76"/>
        <v>0.2</v>
      </c>
      <c r="V95" s="1747">
        <f t="shared" si="77"/>
        <v>0.2</v>
      </c>
      <c r="W95" s="1747">
        <f t="shared" si="78"/>
        <v>0.2</v>
      </c>
      <c r="X95" s="1747">
        <f t="shared" si="79"/>
        <v>0.2</v>
      </c>
      <c r="Y95" s="1747">
        <f t="shared" si="80"/>
        <v>0.2</v>
      </c>
      <c r="Z95" s="1749">
        <f t="shared" si="81"/>
        <v>0.2</v>
      </c>
      <c r="AA95" s="1747">
        <f t="shared" si="82"/>
        <v>0.2</v>
      </c>
      <c r="AB95" s="1747">
        <f t="shared" si="83"/>
        <v>0.2</v>
      </c>
      <c r="AC95" s="1748">
        <f t="shared" si="84"/>
        <v>0</v>
      </c>
      <c r="AD95" s="1747">
        <f t="shared" si="85"/>
        <v>0</v>
      </c>
      <c r="AE95" s="1747">
        <f t="shared" si="86"/>
        <v>0</v>
      </c>
      <c r="AG95" s="1207" t="s">
        <v>1736</v>
      </c>
      <c r="AH95" s="1211" t="s">
        <v>1734</v>
      </c>
      <c r="AI95" s="1208" t="s">
        <v>1737</v>
      </c>
      <c r="AJ95" s="1209">
        <v>0.2</v>
      </c>
      <c r="AK95" s="1209">
        <v>0.2</v>
      </c>
      <c r="AL95" s="1209">
        <v>0.2</v>
      </c>
      <c r="AM95" s="1209">
        <v>0.2</v>
      </c>
      <c r="AN95" s="1209">
        <v>0.2</v>
      </c>
      <c r="AO95" s="1209">
        <v>0.2</v>
      </c>
      <c r="AP95" s="1209">
        <v>0.2</v>
      </c>
      <c r="AQ95" s="1217">
        <v>0.2</v>
      </c>
      <c r="AR95" s="1209">
        <v>0.2</v>
      </c>
      <c r="AS95" s="1213">
        <v>0.2</v>
      </c>
      <c r="AT95" s="1214">
        <v>0</v>
      </c>
      <c r="AU95" s="1213">
        <v>0</v>
      </c>
      <c r="AV95" s="1213">
        <v>0</v>
      </c>
      <c r="AX95" s="1207" t="s">
        <v>1736</v>
      </c>
      <c r="AY95" s="1211" t="s">
        <v>1734</v>
      </c>
      <c r="AZ95" s="1208" t="s">
        <v>1737</v>
      </c>
      <c r="BA95" s="1213">
        <v>0.2</v>
      </c>
      <c r="BB95" s="1213">
        <v>0.2</v>
      </c>
      <c r="BC95" s="1213">
        <v>0.2</v>
      </c>
      <c r="BD95" s="1213">
        <v>0.2</v>
      </c>
      <c r="BE95" s="1213">
        <v>0.2</v>
      </c>
      <c r="BF95" s="1213">
        <v>0.2</v>
      </c>
      <c r="BG95" s="1213">
        <v>0.2</v>
      </c>
      <c r="BH95" s="1220">
        <v>0.2</v>
      </c>
      <c r="BI95" s="1213">
        <v>0.2</v>
      </c>
      <c r="BJ95" s="1213">
        <v>0.2</v>
      </c>
      <c r="BK95" s="1214"/>
      <c r="BL95" s="1213"/>
      <c r="BM95" s="1213"/>
      <c r="BO95" s="1207" t="s">
        <v>1736</v>
      </c>
      <c r="BP95" s="1211" t="s">
        <v>1734</v>
      </c>
      <c r="BQ95" s="1208" t="s">
        <v>1737</v>
      </c>
      <c r="BR95" s="1213">
        <v>0.2</v>
      </c>
      <c r="BS95" s="1213">
        <v>0.2</v>
      </c>
      <c r="BT95" s="1213">
        <v>0.2</v>
      </c>
      <c r="BU95" s="1213">
        <v>0.2</v>
      </c>
      <c r="BV95" s="1213">
        <v>0.2</v>
      </c>
      <c r="BW95" s="1213">
        <v>0.2</v>
      </c>
      <c r="BX95" s="1213">
        <v>0.2</v>
      </c>
      <c r="BY95" s="1220">
        <v>0.2</v>
      </c>
      <c r="BZ95" s="1213">
        <v>0.2</v>
      </c>
      <c r="CA95" s="1213">
        <v>0.2</v>
      </c>
      <c r="CB95" s="1214"/>
      <c r="CC95" s="1213"/>
      <c r="CD95" s="1213"/>
      <c r="CE95" s="1469"/>
      <c r="CG95" s="1207" t="s">
        <v>1736</v>
      </c>
      <c r="CH95" s="1211" t="s">
        <v>1734</v>
      </c>
      <c r="CI95" s="1208" t="s">
        <v>1737</v>
      </c>
      <c r="CJ95" s="1689">
        <v>0</v>
      </c>
      <c r="CK95" s="1689">
        <v>0</v>
      </c>
      <c r="CL95" s="1689">
        <v>0</v>
      </c>
      <c r="CM95" s="1689">
        <v>0</v>
      </c>
      <c r="CN95" s="1689">
        <v>0</v>
      </c>
      <c r="CO95" s="1689">
        <v>0</v>
      </c>
      <c r="CP95" s="1689">
        <v>0</v>
      </c>
      <c r="CQ95" s="1689">
        <v>0</v>
      </c>
      <c r="CR95" s="1689">
        <v>0</v>
      </c>
      <c r="CS95" s="1689">
        <v>0</v>
      </c>
      <c r="CT95" s="1691">
        <f t="shared" si="111"/>
        <v>0</v>
      </c>
      <c r="CU95" s="1689">
        <f t="shared" si="112"/>
        <v>0</v>
      </c>
      <c r="CV95" s="1689">
        <f t="shared" si="113"/>
        <v>0</v>
      </c>
      <c r="CX95" s="1207" t="s">
        <v>1736</v>
      </c>
      <c r="CY95" s="1211" t="s">
        <v>1734</v>
      </c>
      <c r="CZ95" s="1208" t="s">
        <v>1737</v>
      </c>
      <c r="DA95" s="1820">
        <v>0.15</v>
      </c>
      <c r="DB95" s="1678"/>
      <c r="DC95" s="1678"/>
      <c r="DD95" s="1678"/>
      <c r="DE95" s="1678"/>
      <c r="DF95" s="1678"/>
      <c r="DG95" s="1678"/>
      <c r="DH95" s="1678"/>
      <c r="DI95" s="1678"/>
      <c r="DJ95" s="1678"/>
      <c r="DK95" s="1795"/>
      <c r="DL95" s="1678"/>
      <c r="DM95" s="1678"/>
    </row>
    <row r="96" spans="2:117">
      <c r="B96" s="1186" t="str">
        <f t="shared" si="116"/>
        <v>2.4.3</v>
      </c>
      <c r="C96" s="1208" t="str">
        <f t="shared" si="93"/>
        <v>電気設備</v>
      </c>
      <c r="D96" s="1196">
        <f t="shared" si="119"/>
        <v>0.2</v>
      </c>
      <c r="E96" s="1206">
        <f t="shared" si="119"/>
        <v>0</v>
      </c>
      <c r="G96" s="1206">
        <f t="shared" si="98"/>
        <v>0.2</v>
      </c>
      <c r="H96" s="1206">
        <f t="shared" si="99"/>
        <v>0</v>
      </c>
      <c r="I96" s="1206"/>
      <c r="J96" s="1206"/>
      <c r="K96" s="1206">
        <f>IF(スコア!Q96=0,0,1)</f>
        <v>1</v>
      </c>
      <c r="L96" s="1206">
        <f>IF(スコア!S96=0,0,1)</f>
        <v>0</v>
      </c>
      <c r="M96" s="1206">
        <f t="shared" si="100"/>
        <v>0.2</v>
      </c>
      <c r="N96" s="1206">
        <f t="shared" si="101"/>
        <v>0</v>
      </c>
      <c r="P96" s="1207" t="str">
        <f t="shared" si="94"/>
        <v>2.4.3</v>
      </c>
      <c r="Q96" s="1207" t="str">
        <f t="shared" si="95"/>
        <v xml:space="preserve"> Q2 2.4</v>
      </c>
      <c r="R96" s="1208" t="str">
        <f t="shared" si="96"/>
        <v>電気設備</v>
      </c>
      <c r="S96" s="1747">
        <f t="shared" si="74"/>
        <v>0.2</v>
      </c>
      <c r="T96" s="1747">
        <f t="shared" si="75"/>
        <v>0.2</v>
      </c>
      <c r="U96" s="1747">
        <f t="shared" si="76"/>
        <v>0.2</v>
      </c>
      <c r="V96" s="1747">
        <f t="shared" si="77"/>
        <v>0.2</v>
      </c>
      <c r="W96" s="1747">
        <f t="shared" si="78"/>
        <v>0.2</v>
      </c>
      <c r="X96" s="1747">
        <f t="shared" si="79"/>
        <v>0.2</v>
      </c>
      <c r="Y96" s="1747">
        <f t="shared" si="80"/>
        <v>0.2</v>
      </c>
      <c r="Z96" s="1749">
        <f t="shared" si="81"/>
        <v>0.2</v>
      </c>
      <c r="AA96" s="1747">
        <f t="shared" si="82"/>
        <v>0.2</v>
      </c>
      <c r="AB96" s="1747">
        <f t="shared" si="83"/>
        <v>0.2</v>
      </c>
      <c r="AC96" s="1748">
        <f t="shared" si="84"/>
        <v>0</v>
      </c>
      <c r="AD96" s="1747">
        <f t="shared" si="85"/>
        <v>0</v>
      </c>
      <c r="AE96" s="1747">
        <f t="shared" si="86"/>
        <v>0</v>
      </c>
      <c r="AG96" s="1207" t="s">
        <v>1738</v>
      </c>
      <c r="AH96" s="1211" t="s">
        <v>1734</v>
      </c>
      <c r="AI96" s="1208" t="s">
        <v>1739</v>
      </c>
      <c r="AJ96" s="1209">
        <v>0.2</v>
      </c>
      <c r="AK96" s="1209">
        <v>0.2</v>
      </c>
      <c r="AL96" s="1209">
        <v>0.2</v>
      </c>
      <c r="AM96" s="1209">
        <v>0.2</v>
      </c>
      <c r="AN96" s="1209">
        <v>0.2</v>
      </c>
      <c r="AO96" s="1209">
        <v>0.2</v>
      </c>
      <c r="AP96" s="1209">
        <v>0.2</v>
      </c>
      <c r="AQ96" s="1217">
        <v>0.2</v>
      </c>
      <c r="AR96" s="1209">
        <v>0.2</v>
      </c>
      <c r="AS96" s="1213">
        <v>0.2</v>
      </c>
      <c r="AT96" s="1214">
        <v>0</v>
      </c>
      <c r="AU96" s="1213">
        <v>0</v>
      </c>
      <c r="AV96" s="1213">
        <v>0</v>
      </c>
      <c r="AX96" s="1207" t="s">
        <v>1738</v>
      </c>
      <c r="AY96" s="1211" t="s">
        <v>1734</v>
      </c>
      <c r="AZ96" s="1208" t="s">
        <v>1739</v>
      </c>
      <c r="BA96" s="1213">
        <v>0.2</v>
      </c>
      <c r="BB96" s="1213">
        <v>0.2</v>
      </c>
      <c r="BC96" s="1213">
        <v>0.2</v>
      </c>
      <c r="BD96" s="1213">
        <v>0.2</v>
      </c>
      <c r="BE96" s="1213">
        <v>0.2</v>
      </c>
      <c r="BF96" s="1213">
        <v>0.2</v>
      </c>
      <c r="BG96" s="1213">
        <v>0.2</v>
      </c>
      <c r="BH96" s="1220">
        <v>0.2</v>
      </c>
      <c r="BI96" s="1213">
        <v>0.2</v>
      </c>
      <c r="BJ96" s="1213">
        <v>0.2</v>
      </c>
      <c r="BK96" s="1214"/>
      <c r="BL96" s="1213"/>
      <c r="BM96" s="1213"/>
      <c r="BO96" s="1207" t="s">
        <v>1738</v>
      </c>
      <c r="BP96" s="1211" t="s">
        <v>1734</v>
      </c>
      <c r="BQ96" s="1208" t="s">
        <v>1739</v>
      </c>
      <c r="BR96" s="1213">
        <v>0.2</v>
      </c>
      <c r="BS96" s="1213">
        <v>0.2</v>
      </c>
      <c r="BT96" s="1213">
        <v>0.2</v>
      </c>
      <c r="BU96" s="1213">
        <v>0.2</v>
      </c>
      <c r="BV96" s="1213">
        <v>0.2</v>
      </c>
      <c r="BW96" s="1213">
        <v>0.2</v>
      </c>
      <c r="BX96" s="1213">
        <v>0.2</v>
      </c>
      <c r="BY96" s="1220">
        <v>0.2</v>
      </c>
      <c r="BZ96" s="1213">
        <v>0.2</v>
      </c>
      <c r="CA96" s="1213">
        <v>0.2</v>
      </c>
      <c r="CB96" s="1214"/>
      <c r="CC96" s="1213"/>
      <c r="CD96" s="1213"/>
      <c r="CE96" s="1469"/>
      <c r="CG96" s="1207" t="s">
        <v>1738</v>
      </c>
      <c r="CH96" s="1211" t="s">
        <v>1734</v>
      </c>
      <c r="CI96" s="1208" t="s">
        <v>1739</v>
      </c>
      <c r="CJ96" s="1689">
        <v>0</v>
      </c>
      <c r="CK96" s="1689">
        <v>0</v>
      </c>
      <c r="CL96" s="1689">
        <v>0</v>
      </c>
      <c r="CM96" s="1689">
        <v>0</v>
      </c>
      <c r="CN96" s="1689">
        <v>0</v>
      </c>
      <c r="CO96" s="1689">
        <v>0</v>
      </c>
      <c r="CP96" s="1689">
        <v>0</v>
      </c>
      <c r="CQ96" s="1689">
        <v>0</v>
      </c>
      <c r="CR96" s="1689">
        <v>0</v>
      </c>
      <c r="CS96" s="1689">
        <v>0</v>
      </c>
      <c r="CT96" s="1691">
        <f t="shared" si="111"/>
        <v>0</v>
      </c>
      <c r="CU96" s="1689">
        <f t="shared" si="112"/>
        <v>0</v>
      </c>
      <c r="CV96" s="1689">
        <f t="shared" si="113"/>
        <v>0</v>
      </c>
      <c r="CX96" s="1207" t="s">
        <v>1738</v>
      </c>
      <c r="CY96" s="1211" t="s">
        <v>1734</v>
      </c>
      <c r="CZ96" s="1208" t="s">
        <v>1739</v>
      </c>
      <c r="DA96" s="1820">
        <v>0.25</v>
      </c>
      <c r="DB96" s="1678"/>
      <c r="DC96" s="1678"/>
      <c r="DD96" s="1678"/>
      <c r="DE96" s="1678"/>
      <c r="DF96" s="1678"/>
      <c r="DG96" s="1678"/>
      <c r="DH96" s="1678"/>
      <c r="DI96" s="1678"/>
      <c r="DJ96" s="1678"/>
      <c r="DK96" s="1795"/>
      <c r="DL96" s="1678"/>
      <c r="DM96" s="1678"/>
    </row>
    <row r="97" spans="2:117">
      <c r="B97" s="1186" t="str">
        <f t="shared" si="116"/>
        <v>2.4.4</v>
      </c>
      <c r="C97" s="1208" t="str">
        <f t="shared" si="93"/>
        <v>機械・配管支持方法</v>
      </c>
      <c r="D97" s="1196">
        <f t="shared" si="119"/>
        <v>0.2</v>
      </c>
      <c r="E97" s="1206">
        <f t="shared" si="119"/>
        <v>0</v>
      </c>
      <c r="G97" s="1206">
        <f t="shared" si="98"/>
        <v>0.2</v>
      </c>
      <c r="H97" s="1206">
        <f t="shared" si="99"/>
        <v>0</v>
      </c>
      <c r="I97" s="1206"/>
      <c r="J97" s="1206"/>
      <c r="K97" s="1206">
        <f>IF(スコア!Q97=0,0,1)</f>
        <v>1</v>
      </c>
      <c r="L97" s="1206">
        <f>IF(スコア!S97=0,0,1)</f>
        <v>0</v>
      </c>
      <c r="M97" s="1206">
        <f t="shared" si="100"/>
        <v>0.2</v>
      </c>
      <c r="N97" s="1206">
        <f t="shared" si="101"/>
        <v>0</v>
      </c>
      <c r="P97" s="1207" t="str">
        <f t="shared" si="94"/>
        <v>2.4.4</v>
      </c>
      <c r="Q97" s="1207" t="str">
        <f t="shared" si="95"/>
        <v xml:space="preserve"> Q2 2.4</v>
      </c>
      <c r="R97" s="1208" t="str">
        <f t="shared" si="96"/>
        <v>機械・配管支持方法</v>
      </c>
      <c r="S97" s="1747">
        <f t="shared" si="74"/>
        <v>0.2</v>
      </c>
      <c r="T97" s="1747">
        <f t="shared" si="75"/>
        <v>0.2</v>
      </c>
      <c r="U97" s="1747">
        <f t="shared" si="76"/>
        <v>0.2</v>
      </c>
      <c r="V97" s="1747">
        <f t="shared" si="77"/>
        <v>0.2</v>
      </c>
      <c r="W97" s="1747">
        <f t="shared" si="78"/>
        <v>0.2</v>
      </c>
      <c r="X97" s="1747">
        <f t="shared" si="79"/>
        <v>0.2</v>
      </c>
      <c r="Y97" s="1747">
        <f t="shared" si="80"/>
        <v>0.2</v>
      </c>
      <c r="Z97" s="1749">
        <f t="shared" si="81"/>
        <v>0.2</v>
      </c>
      <c r="AA97" s="1747">
        <f t="shared" si="82"/>
        <v>0.2</v>
      </c>
      <c r="AB97" s="1747">
        <f t="shared" si="83"/>
        <v>0.2</v>
      </c>
      <c r="AC97" s="1748">
        <f t="shared" si="84"/>
        <v>0</v>
      </c>
      <c r="AD97" s="1747">
        <f t="shared" si="85"/>
        <v>0</v>
      </c>
      <c r="AE97" s="1747">
        <f t="shared" si="86"/>
        <v>0</v>
      </c>
      <c r="AG97" s="1207" t="s">
        <v>1740</v>
      </c>
      <c r="AH97" s="1211" t="s">
        <v>1734</v>
      </c>
      <c r="AI97" s="1208" t="s">
        <v>1741</v>
      </c>
      <c r="AJ97" s="1209">
        <v>0.2</v>
      </c>
      <c r="AK97" s="1209">
        <v>0.2</v>
      </c>
      <c r="AL97" s="1209">
        <v>0.2</v>
      </c>
      <c r="AM97" s="1209">
        <v>0.2</v>
      </c>
      <c r="AN97" s="1209">
        <v>0.2</v>
      </c>
      <c r="AO97" s="1209">
        <v>0.2</v>
      </c>
      <c r="AP97" s="1209">
        <v>0.2</v>
      </c>
      <c r="AQ97" s="1217">
        <v>0.2</v>
      </c>
      <c r="AR97" s="1209">
        <v>0.2</v>
      </c>
      <c r="AS97" s="1213">
        <v>0.2</v>
      </c>
      <c r="AT97" s="1214">
        <v>0</v>
      </c>
      <c r="AU97" s="1213">
        <v>0</v>
      </c>
      <c r="AV97" s="1213">
        <v>0</v>
      </c>
      <c r="AX97" s="1207" t="s">
        <v>1740</v>
      </c>
      <c r="AY97" s="1211" t="s">
        <v>1734</v>
      </c>
      <c r="AZ97" s="1208" t="s">
        <v>1741</v>
      </c>
      <c r="BA97" s="1213">
        <v>0.2</v>
      </c>
      <c r="BB97" s="1213">
        <v>0.2</v>
      </c>
      <c r="BC97" s="1213">
        <v>0.2</v>
      </c>
      <c r="BD97" s="1213">
        <v>0.2</v>
      </c>
      <c r="BE97" s="1213">
        <v>0.2</v>
      </c>
      <c r="BF97" s="1213">
        <v>0.2</v>
      </c>
      <c r="BG97" s="1213">
        <v>0.2</v>
      </c>
      <c r="BH97" s="1220">
        <v>0.2</v>
      </c>
      <c r="BI97" s="1213">
        <v>0.2</v>
      </c>
      <c r="BJ97" s="1213">
        <v>0.2</v>
      </c>
      <c r="BK97" s="1214"/>
      <c r="BL97" s="1213"/>
      <c r="BM97" s="1213"/>
      <c r="BO97" s="1207" t="s">
        <v>1740</v>
      </c>
      <c r="BP97" s="1211" t="s">
        <v>1734</v>
      </c>
      <c r="BQ97" s="1208" t="s">
        <v>1741</v>
      </c>
      <c r="BR97" s="1213">
        <v>0.2</v>
      </c>
      <c r="BS97" s="1213">
        <v>0.2</v>
      </c>
      <c r="BT97" s="1213">
        <v>0.2</v>
      </c>
      <c r="BU97" s="1213">
        <v>0.2</v>
      </c>
      <c r="BV97" s="1213">
        <v>0.2</v>
      </c>
      <c r="BW97" s="1213">
        <v>0.2</v>
      </c>
      <c r="BX97" s="1213">
        <v>0.2</v>
      </c>
      <c r="BY97" s="1220">
        <v>0.2</v>
      </c>
      <c r="BZ97" s="1213">
        <v>0.2</v>
      </c>
      <c r="CA97" s="1213">
        <v>0.2</v>
      </c>
      <c r="CB97" s="1214"/>
      <c r="CC97" s="1213"/>
      <c r="CD97" s="1213"/>
      <c r="CE97" s="1469"/>
      <c r="CG97" s="1207" t="s">
        <v>1740</v>
      </c>
      <c r="CH97" s="1211" t="s">
        <v>1734</v>
      </c>
      <c r="CI97" s="1208" t="s">
        <v>1741</v>
      </c>
      <c r="CJ97" s="1678">
        <v>1</v>
      </c>
      <c r="CK97" s="1678">
        <v>1</v>
      </c>
      <c r="CL97" s="1678">
        <v>1</v>
      </c>
      <c r="CM97" s="1678">
        <v>1</v>
      </c>
      <c r="CN97" s="1678">
        <v>1</v>
      </c>
      <c r="CO97" s="1678">
        <v>1</v>
      </c>
      <c r="CP97" s="1678">
        <v>1</v>
      </c>
      <c r="CQ97" s="1678">
        <v>1</v>
      </c>
      <c r="CR97" s="1678">
        <v>1</v>
      </c>
      <c r="CS97" s="1678">
        <v>1</v>
      </c>
      <c r="CT97" s="1691">
        <f t="shared" si="111"/>
        <v>0</v>
      </c>
      <c r="CU97" s="1689">
        <f t="shared" si="112"/>
        <v>0</v>
      </c>
      <c r="CV97" s="1689">
        <f t="shared" si="113"/>
        <v>0</v>
      </c>
      <c r="CX97" s="1207" t="s">
        <v>1740</v>
      </c>
      <c r="CY97" s="1211" t="s">
        <v>1734</v>
      </c>
      <c r="CZ97" s="1208" t="s">
        <v>1741</v>
      </c>
      <c r="DA97" s="1820">
        <v>0.2</v>
      </c>
      <c r="DB97" s="1678"/>
      <c r="DC97" s="1678"/>
      <c r="DD97" s="1678"/>
      <c r="DE97" s="1678"/>
      <c r="DF97" s="1678"/>
      <c r="DG97" s="1678"/>
      <c r="DH97" s="1678"/>
      <c r="DI97" s="1678"/>
      <c r="DJ97" s="1678"/>
      <c r="DK97" s="1795"/>
      <c r="DL97" s="1678"/>
      <c r="DM97" s="1678"/>
    </row>
    <row r="98" spans="2:117">
      <c r="B98" s="1186" t="str">
        <f t="shared" si="116"/>
        <v>2.4.5</v>
      </c>
      <c r="C98" s="1208" t="str">
        <f t="shared" si="93"/>
        <v>通信・情報設備</v>
      </c>
      <c r="D98" s="1196">
        <f t="shared" si="119"/>
        <v>0.2</v>
      </c>
      <c r="E98" s="1206">
        <f t="shared" si="119"/>
        <v>0</v>
      </c>
      <c r="G98" s="1206">
        <f t="shared" si="98"/>
        <v>0.2</v>
      </c>
      <c r="H98" s="1206">
        <f t="shared" si="99"/>
        <v>0</v>
      </c>
      <c r="I98" s="1206"/>
      <c r="J98" s="1206"/>
      <c r="K98" s="1206">
        <f>IF(スコア!Q98=0,0,1)</f>
        <v>1</v>
      </c>
      <c r="L98" s="1206">
        <f>IF(スコア!S98=0,0,1)</f>
        <v>0</v>
      </c>
      <c r="M98" s="1206">
        <f t="shared" si="100"/>
        <v>0.2</v>
      </c>
      <c r="N98" s="1206">
        <f t="shared" si="101"/>
        <v>0</v>
      </c>
      <c r="P98" s="1207" t="str">
        <f t="shared" si="94"/>
        <v>2.4.5</v>
      </c>
      <c r="Q98" s="1207" t="str">
        <f t="shared" si="95"/>
        <v xml:space="preserve"> Q2 2.4</v>
      </c>
      <c r="R98" s="1208" t="str">
        <f t="shared" si="96"/>
        <v>通信・情報設備</v>
      </c>
      <c r="S98" s="1747">
        <f t="shared" si="74"/>
        <v>0.2</v>
      </c>
      <c r="T98" s="1747">
        <f t="shared" si="75"/>
        <v>0.2</v>
      </c>
      <c r="U98" s="1747">
        <f t="shared" si="76"/>
        <v>0.2</v>
      </c>
      <c r="V98" s="1747">
        <f t="shared" si="77"/>
        <v>0.2</v>
      </c>
      <c r="W98" s="1747">
        <f t="shared" si="78"/>
        <v>0.2</v>
      </c>
      <c r="X98" s="1747">
        <f t="shared" si="79"/>
        <v>0.2</v>
      </c>
      <c r="Y98" s="1747">
        <f t="shared" si="80"/>
        <v>0.2</v>
      </c>
      <c r="Z98" s="1749">
        <f t="shared" si="81"/>
        <v>0.2</v>
      </c>
      <c r="AA98" s="1747">
        <f t="shared" si="82"/>
        <v>0.2</v>
      </c>
      <c r="AB98" s="1747">
        <f t="shared" si="83"/>
        <v>0.2</v>
      </c>
      <c r="AC98" s="1748">
        <f t="shared" si="84"/>
        <v>0</v>
      </c>
      <c r="AD98" s="1747">
        <f t="shared" si="85"/>
        <v>0</v>
      </c>
      <c r="AE98" s="1747">
        <f t="shared" si="86"/>
        <v>0</v>
      </c>
      <c r="AG98" s="1207" t="s">
        <v>1742</v>
      </c>
      <c r="AH98" s="1211" t="s">
        <v>1734</v>
      </c>
      <c r="AI98" s="1208" t="s">
        <v>1743</v>
      </c>
      <c r="AJ98" s="1209">
        <v>0.2</v>
      </c>
      <c r="AK98" s="1209">
        <v>0.2</v>
      </c>
      <c r="AL98" s="1209">
        <v>0.2</v>
      </c>
      <c r="AM98" s="1209">
        <v>0.2</v>
      </c>
      <c r="AN98" s="1209">
        <v>0.2</v>
      </c>
      <c r="AO98" s="1209">
        <v>0.2</v>
      </c>
      <c r="AP98" s="1209">
        <v>0.2</v>
      </c>
      <c r="AQ98" s="1217">
        <v>0.2</v>
      </c>
      <c r="AR98" s="1209">
        <v>0.2</v>
      </c>
      <c r="AS98" s="1213">
        <v>0.2</v>
      </c>
      <c r="AT98" s="1214">
        <v>0</v>
      </c>
      <c r="AU98" s="1213">
        <v>0</v>
      </c>
      <c r="AV98" s="1213">
        <v>0</v>
      </c>
      <c r="AX98" s="1207" t="s">
        <v>1742</v>
      </c>
      <c r="AY98" s="1211" t="s">
        <v>1734</v>
      </c>
      <c r="AZ98" s="1208" t="s">
        <v>1743</v>
      </c>
      <c r="BA98" s="1213">
        <v>0.2</v>
      </c>
      <c r="BB98" s="1213">
        <v>0.2</v>
      </c>
      <c r="BC98" s="1213">
        <v>0.2</v>
      </c>
      <c r="BD98" s="1213">
        <v>0.2</v>
      </c>
      <c r="BE98" s="1213">
        <v>0.2</v>
      </c>
      <c r="BF98" s="1213">
        <v>0.2</v>
      </c>
      <c r="BG98" s="1213">
        <v>0.2</v>
      </c>
      <c r="BH98" s="1220">
        <v>0.2</v>
      </c>
      <c r="BI98" s="1213">
        <v>0.2</v>
      </c>
      <c r="BJ98" s="1213">
        <v>0.2</v>
      </c>
      <c r="BK98" s="1214"/>
      <c r="BL98" s="1213"/>
      <c r="BM98" s="1213"/>
      <c r="BO98" s="1207" t="s">
        <v>1742</v>
      </c>
      <c r="BP98" s="1211" t="s">
        <v>1734</v>
      </c>
      <c r="BQ98" s="1208" t="s">
        <v>1743</v>
      </c>
      <c r="BR98" s="1213">
        <v>0.2</v>
      </c>
      <c r="BS98" s="1213">
        <v>0.2</v>
      </c>
      <c r="BT98" s="1213">
        <v>0.2</v>
      </c>
      <c r="BU98" s="1213">
        <v>0.2</v>
      </c>
      <c r="BV98" s="1213">
        <v>0.2</v>
      </c>
      <c r="BW98" s="1213">
        <v>0.2</v>
      </c>
      <c r="BX98" s="1213">
        <v>0.2</v>
      </c>
      <c r="BY98" s="1220">
        <v>0.2</v>
      </c>
      <c r="BZ98" s="1213">
        <v>0.2</v>
      </c>
      <c r="CA98" s="1213">
        <v>0.2</v>
      </c>
      <c r="CB98" s="1214"/>
      <c r="CC98" s="1213"/>
      <c r="CD98" s="1213"/>
      <c r="CE98" s="1469"/>
      <c r="CG98" s="1207" t="s">
        <v>1742</v>
      </c>
      <c r="CH98" s="1211" t="s">
        <v>1734</v>
      </c>
      <c r="CI98" s="1208" t="s">
        <v>1743</v>
      </c>
      <c r="CJ98" s="1689">
        <v>0</v>
      </c>
      <c r="CK98" s="1689">
        <v>0</v>
      </c>
      <c r="CL98" s="1689">
        <v>0</v>
      </c>
      <c r="CM98" s="1689">
        <v>0</v>
      </c>
      <c r="CN98" s="1689">
        <v>0</v>
      </c>
      <c r="CO98" s="1689">
        <v>0</v>
      </c>
      <c r="CP98" s="1689">
        <v>0</v>
      </c>
      <c r="CQ98" s="1689">
        <v>0</v>
      </c>
      <c r="CR98" s="1689">
        <v>0</v>
      </c>
      <c r="CS98" s="1689">
        <v>0</v>
      </c>
      <c r="CT98" s="1691">
        <f t="shared" si="111"/>
        <v>0</v>
      </c>
      <c r="CU98" s="1689">
        <f t="shared" si="112"/>
        <v>0</v>
      </c>
      <c r="CV98" s="1689">
        <f t="shared" si="113"/>
        <v>0</v>
      </c>
      <c r="CX98" s="1207" t="s">
        <v>1742</v>
      </c>
      <c r="CY98" s="1211" t="s">
        <v>1734</v>
      </c>
      <c r="CZ98" s="1208" t="s">
        <v>1743</v>
      </c>
      <c r="DA98" s="1820">
        <v>0.25</v>
      </c>
      <c r="DB98" s="1678"/>
      <c r="DC98" s="1678"/>
      <c r="DD98" s="1678"/>
      <c r="DE98" s="1678"/>
      <c r="DF98" s="1678"/>
      <c r="DG98" s="1678"/>
      <c r="DH98" s="1678"/>
      <c r="DI98" s="1678"/>
      <c r="DJ98" s="1678"/>
      <c r="DK98" s="1795"/>
      <c r="DL98" s="1678"/>
      <c r="DM98" s="1678"/>
    </row>
    <row r="99" spans="2:117" hidden="1">
      <c r="B99" s="1186">
        <f t="shared" si="116"/>
        <v>0</v>
      </c>
      <c r="C99" s="1208">
        <f t="shared" si="93"/>
        <v>0</v>
      </c>
      <c r="D99" s="1196"/>
      <c r="E99" s="1206"/>
      <c r="G99" s="1206">
        <f t="shared" si="98"/>
        <v>0</v>
      </c>
      <c r="H99" s="1206">
        <f t="shared" si="99"/>
        <v>0</v>
      </c>
      <c r="I99" s="1206"/>
      <c r="J99" s="1206"/>
      <c r="K99" s="1206"/>
      <c r="L99" s="1206"/>
      <c r="M99" s="1206">
        <f t="shared" si="100"/>
        <v>0</v>
      </c>
      <c r="N99" s="1206"/>
      <c r="P99" s="1207">
        <f t="shared" si="94"/>
        <v>0</v>
      </c>
      <c r="Q99" s="1207" t="str">
        <f t="shared" si="95"/>
        <v xml:space="preserve"> Q</v>
      </c>
      <c r="R99" s="1208">
        <f t="shared" si="96"/>
        <v>0</v>
      </c>
      <c r="S99" s="1747">
        <f t="shared" si="74"/>
        <v>0</v>
      </c>
      <c r="T99" s="1747">
        <f t="shared" si="75"/>
        <v>0</v>
      </c>
      <c r="U99" s="1747">
        <f t="shared" si="76"/>
        <v>0</v>
      </c>
      <c r="V99" s="1747">
        <f t="shared" si="77"/>
        <v>0</v>
      </c>
      <c r="W99" s="1747">
        <f t="shared" si="78"/>
        <v>0</v>
      </c>
      <c r="X99" s="1747">
        <f t="shared" si="79"/>
        <v>0</v>
      </c>
      <c r="Y99" s="1747">
        <f t="shared" si="80"/>
        <v>0</v>
      </c>
      <c r="Z99" s="1749">
        <f t="shared" si="81"/>
        <v>0</v>
      </c>
      <c r="AA99" s="1747">
        <f t="shared" si="82"/>
        <v>0</v>
      </c>
      <c r="AB99" s="1747">
        <f t="shared" si="83"/>
        <v>0</v>
      </c>
      <c r="AC99" s="1748">
        <f t="shared" si="84"/>
        <v>0</v>
      </c>
      <c r="AD99" s="1747">
        <f t="shared" si="85"/>
        <v>0</v>
      </c>
      <c r="AE99" s="1747">
        <f t="shared" si="86"/>
        <v>0</v>
      </c>
      <c r="AG99" s="1207"/>
      <c r="AH99" s="1211" t="s">
        <v>792</v>
      </c>
      <c r="AI99" s="1208"/>
      <c r="AJ99" s="1218">
        <v>0</v>
      </c>
      <c r="AK99" s="1218">
        <v>0</v>
      </c>
      <c r="AL99" s="1218">
        <v>0</v>
      </c>
      <c r="AM99" s="1218">
        <v>0</v>
      </c>
      <c r="AN99" s="1218">
        <v>0</v>
      </c>
      <c r="AO99" s="1218">
        <v>0</v>
      </c>
      <c r="AP99" s="1218">
        <v>0</v>
      </c>
      <c r="AQ99" s="1231">
        <v>0</v>
      </c>
      <c r="AR99" s="1218">
        <v>0</v>
      </c>
      <c r="AS99" s="1213"/>
      <c r="AT99" s="1214">
        <v>0</v>
      </c>
      <c r="AU99" s="1213">
        <v>0</v>
      </c>
      <c r="AV99" s="1213">
        <v>0</v>
      </c>
      <c r="AX99" s="1207"/>
      <c r="AY99" s="1211" t="s">
        <v>792</v>
      </c>
      <c r="AZ99" s="1208"/>
      <c r="BA99" s="1213"/>
      <c r="BB99" s="1213"/>
      <c r="BC99" s="1213"/>
      <c r="BD99" s="1213"/>
      <c r="BE99" s="1213"/>
      <c r="BF99" s="1213"/>
      <c r="BG99" s="1213"/>
      <c r="BH99" s="1220"/>
      <c r="BI99" s="1213"/>
      <c r="BJ99" s="1213"/>
      <c r="BK99" s="1214"/>
      <c r="BL99" s="1213"/>
      <c r="BM99" s="1213"/>
      <c r="BO99" s="1207"/>
      <c r="BP99" s="1211" t="s">
        <v>792</v>
      </c>
      <c r="BQ99" s="1208"/>
      <c r="BR99" s="1213"/>
      <c r="BS99" s="1213"/>
      <c r="BT99" s="1213"/>
      <c r="BU99" s="1213"/>
      <c r="BV99" s="1213"/>
      <c r="BW99" s="1213"/>
      <c r="BX99" s="1213"/>
      <c r="BY99" s="1220"/>
      <c r="BZ99" s="1213"/>
      <c r="CA99" s="1213"/>
      <c r="CB99" s="1214"/>
      <c r="CC99" s="1213"/>
      <c r="CD99" s="1213"/>
      <c r="CE99" s="1469"/>
      <c r="CG99" s="1207"/>
      <c r="CH99" s="1211" t="s">
        <v>792</v>
      </c>
      <c r="CI99" s="1208"/>
      <c r="CJ99" s="1689">
        <f t="shared" si="114"/>
        <v>0</v>
      </c>
      <c r="CK99" s="1689">
        <f t="shared" si="102"/>
        <v>0</v>
      </c>
      <c r="CL99" s="1689">
        <f t="shared" si="103"/>
        <v>0</v>
      </c>
      <c r="CM99" s="1689">
        <f t="shared" si="104"/>
        <v>0</v>
      </c>
      <c r="CN99" s="1689">
        <f t="shared" si="105"/>
        <v>0</v>
      </c>
      <c r="CO99" s="1689">
        <f t="shared" si="106"/>
        <v>0</v>
      </c>
      <c r="CP99" s="1689">
        <f t="shared" si="107"/>
        <v>0</v>
      </c>
      <c r="CQ99" s="1701">
        <f t="shared" si="108"/>
        <v>0</v>
      </c>
      <c r="CR99" s="1689">
        <f t="shared" si="109"/>
        <v>0</v>
      </c>
      <c r="CS99" s="1689">
        <f t="shared" si="110"/>
        <v>0</v>
      </c>
      <c r="CT99" s="1691">
        <f t="shared" si="111"/>
        <v>0</v>
      </c>
      <c r="CU99" s="1689">
        <f t="shared" si="112"/>
        <v>0</v>
      </c>
      <c r="CV99" s="1689">
        <f t="shared" si="113"/>
        <v>0</v>
      </c>
      <c r="CX99" s="1207"/>
      <c r="CY99" s="1211" t="s">
        <v>792</v>
      </c>
      <c r="CZ99" s="1208"/>
      <c r="DA99" s="1678">
        <f t="shared" si="115"/>
        <v>0</v>
      </c>
      <c r="DB99" s="1678"/>
      <c r="DC99" s="1678"/>
      <c r="DD99" s="1678"/>
      <c r="DE99" s="1678"/>
      <c r="DF99" s="1678"/>
      <c r="DG99" s="1678"/>
      <c r="DH99" s="1738"/>
      <c r="DI99" s="1678"/>
      <c r="DJ99" s="1678"/>
      <c r="DK99" s="1795"/>
      <c r="DL99" s="1678"/>
      <c r="DM99" s="1678"/>
    </row>
    <row r="100" spans="2:117">
      <c r="B100" s="1186">
        <f t="shared" si="116"/>
        <v>3</v>
      </c>
      <c r="C100" s="1198" t="str">
        <f t="shared" si="93"/>
        <v>対応性・更新性</v>
      </c>
      <c r="D100" s="1194">
        <f>IF(I$62=0,0,G100/I$62)</f>
        <v>0.3</v>
      </c>
      <c r="E100" s="1195">
        <f>IF(J$62=0,0,H100/J$62)</f>
        <v>0</v>
      </c>
      <c r="G100" s="1195">
        <f t="shared" si="98"/>
        <v>0.3</v>
      </c>
      <c r="H100" s="1195">
        <f t="shared" si="99"/>
        <v>0</v>
      </c>
      <c r="I100" s="1195">
        <f>G101+G104+G105</f>
        <v>1</v>
      </c>
      <c r="J100" s="1195">
        <f>H101+H104+H105</f>
        <v>0</v>
      </c>
      <c r="K100" s="1195">
        <f>IF(スコア!Q100=0,0,1)</f>
        <v>1</v>
      </c>
      <c r="L100" s="1195">
        <f>IF(スコア!S100=0,0,1)</f>
        <v>0</v>
      </c>
      <c r="M100" s="1195">
        <f t="shared" si="100"/>
        <v>0.3</v>
      </c>
      <c r="N100" s="1195">
        <f t="shared" ref="N100:N119" si="120">(AC$7*AC100)+(AD$7*AD100)+(AE$7*AE100)</f>
        <v>0</v>
      </c>
      <c r="P100" s="1197">
        <f t="shared" si="94"/>
        <v>3</v>
      </c>
      <c r="Q100" s="1197" t="str">
        <f t="shared" si="95"/>
        <v xml:space="preserve"> Q2</v>
      </c>
      <c r="R100" s="1198" t="str">
        <f t="shared" si="96"/>
        <v>対応性・更新性</v>
      </c>
      <c r="S100" s="1744">
        <f t="shared" si="74"/>
        <v>0.3</v>
      </c>
      <c r="T100" s="1744">
        <f t="shared" si="75"/>
        <v>0.3</v>
      </c>
      <c r="U100" s="1744">
        <f t="shared" si="76"/>
        <v>0.3</v>
      </c>
      <c r="V100" s="1744">
        <f t="shared" si="77"/>
        <v>0.3</v>
      </c>
      <c r="W100" s="1744">
        <f t="shared" si="78"/>
        <v>0.3</v>
      </c>
      <c r="X100" s="1744">
        <f t="shared" si="79"/>
        <v>0.3</v>
      </c>
      <c r="Y100" s="1744">
        <f t="shared" si="80"/>
        <v>0.3</v>
      </c>
      <c r="Z100" s="1758">
        <f t="shared" si="81"/>
        <v>0.3</v>
      </c>
      <c r="AA100" s="1744">
        <f t="shared" si="82"/>
        <v>0.3</v>
      </c>
      <c r="AB100" s="1744">
        <f t="shared" si="83"/>
        <v>0.3</v>
      </c>
      <c r="AC100" s="1746">
        <f t="shared" si="84"/>
        <v>0</v>
      </c>
      <c r="AD100" s="1744">
        <f t="shared" si="85"/>
        <v>0</v>
      </c>
      <c r="AE100" s="1744">
        <f t="shared" si="86"/>
        <v>0</v>
      </c>
      <c r="AG100" s="1197">
        <v>3</v>
      </c>
      <c r="AH100" s="1201" t="s">
        <v>2150</v>
      </c>
      <c r="AI100" s="1198" t="s">
        <v>103</v>
      </c>
      <c r="AJ100" s="1199">
        <v>0.3</v>
      </c>
      <c r="AK100" s="1199">
        <v>0.3</v>
      </c>
      <c r="AL100" s="1199">
        <v>0.3</v>
      </c>
      <c r="AM100" s="1199">
        <v>0.3</v>
      </c>
      <c r="AN100" s="1199">
        <v>0.3</v>
      </c>
      <c r="AO100" s="1199">
        <v>0.3</v>
      </c>
      <c r="AP100" s="1199">
        <v>0.3</v>
      </c>
      <c r="AQ100" s="1251">
        <v>0.3</v>
      </c>
      <c r="AR100" s="1199">
        <v>0.3</v>
      </c>
      <c r="AS100" s="1202">
        <v>0.3</v>
      </c>
      <c r="AT100" s="1203"/>
      <c r="AU100" s="1202"/>
      <c r="AV100" s="1202"/>
      <c r="AX100" s="1197">
        <v>3</v>
      </c>
      <c r="AY100" s="1201" t="s">
        <v>2150</v>
      </c>
      <c r="AZ100" s="1198" t="s">
        <v>103</v>
      </c>
      <c r="BA100" s="1202">
        <v>0.3</v>
      </c>
      <c r="BB100" s="1202">
        <v>0.3</v>
      </c>
      <c r="BC100" s="1202">
        <v>0.3</v>
      </c>
      <c r="BD100" s="1202">
        <v>0.3</v>
      </c>
      <c r="BE100" s="1202">
        <v>0.3</v>
      </c>
      <c r="BF100" s="1202">
        <v>0.3</v>
      </c>
      <c r="BG100" s="1202">
        <v>0.3</v>
      </c>
      <c r="BH100" s="1252">
        <v>0.3</v>
      </c>
      <c r="BI100" s="1202">
        <v>0.3</v>
      </c>
      <c r="BJ100" s="1202">
        <v>0.3</v>
      </c>
      <c r="BK100" s="1203"/>
      <c r="BL100" s="1202"/>
      <c r="BM100" s="1202"/>
      <c r="BO100" s="1197">
        <v>3</v>
      </c>
      <c r="BP100" s="1201" t="s">
        <v>2150</v>
      </c>
      <c r="BQ100" s="1198" t="s">
        <v>103</v>
      </c>
      <c r="BR100" s="1202">
        <v>0.3</v>
      </c>
      <c r="BS100" s="1202">
        <v>0.3</v>
      </c>
      <c r="BT100" s="1202">
        <v>0.3</v>
      </c>
      <c r="BU100" s="1202">
        <v>0.3</v>
      </c>
      <c r="BV100" s="1202">
        <v>0.3</v>
      </c>
      <c r="BW100" s="1202">
        <v>0.3</v>
      </c>
      <c r="BX100" s="1202">
        <v>0.3</v>
      </c>
      <c r="BY100" s="1252">
        <v>0.3</v>
      </c>
      <c r="BZ100" s="1202">
        <v>0.3</v>
      </c>
      <c r="CA100" s="1202">
        <v>0.3</v>
      </c>
      <c r="CB100" s="1203"/>
      <c r="CC100" s="1202"/>
      <c r="CD100" s="1202"/>
      <c r="CE100" s="1468"/>
      <c r="CG100" s="1197">
        <v>3</v>
      </c>
      <c r="CH100" s="1201" t="s">
        <v>2150</v>
      </c>
      <c r="CI100" s="1198" t="s">
        <v>103</v>
      </c>
      <c r="CJ100" s="1676">
        <v>0</v>
      </c>
      <c r="CK100" s="1676">
        <v>0</v>
      </c>
      <c r="CL100" s="1676">
        <v>0</v>
      </c>
      <c r="CM100" s="1676">
        <v>0</v>
      </c>
      <c r="CN100" s="1676">
        <v>0</v>
      </c>
      <c r="CO100" s="1676">
        <v>0</v>
      </c>
      <c r="CP100" s="1676">
        <v>0</v>
      </c>
      <c r="CQ100" s="1676">
        <v>0</v>
      </c>
      <c r="CR100" s="1676">
        <v>0</v>
      </c>
      <c r="CS100" s="1676">
        <v>0</v>
      </c>
      <c r="CT100" s="1677">
        <f t="shared" si="111"/>
        <v>0</v>
      </c>
      <c r="CU100" s="1676">
        <f t="shared" si="112"/>
        <v>0</v>
      </c>
      <c r="CV100" s="1676">
        <f t="shared" si="113"/>
        <v>0</v>
      </c>
      <c r="CX100" s="1197">
        <v>3</v>
      </c>
      <c r="CY100" s="1201" t="s">
        <v>2150</v>
      </c>
      <c r="CZ100" s="1198" t="s">
        <v>103</v>
      </c>
      <c r="DA100" s="1821">
        <v>0.2</v>
      </c>
      <c r="DB100" s="1676"/>
      <c r="DC100" s="1676"/>
      <c r="DD100" s="1676"/>
      <c r="DE100" s="1676"/>
      <c r="DF100" s="1676"/>
      <c r="DG100" s="1676"/>
      <c r="DH100" s="1676"/>
      <c r="DI100" s="1676"/>
      <c r="DJ100" s="1676"/>
      <c r="DK100" s="1677"/>
      <c r="DL100" s="1676"/>
      <c r="DM100" s="1676"/>
    </row>
    <row r="101" spans="2:117">
      <c r="B101" s="1186">
        <f t="shared" si="116"/>
        <v>3.1</v>
      </c>
      <c r="C101" s="1208" t="str">
        <f t="shared" si="93"/>
        <v>空間のゆとり</v>
      </c>
      <c r="D101" s="1205">
        <f>IF(I$100=0,0,G101/I$100)</f>
        <v>0.3</v>
      </c>
      <c r="E101" s="1206">
        <f>IF(J$100=0,0,H101/J$100)</f>
        <v>0</v>
      </c>
      <c r="G101" s="1206">
        <f t="shared" si="98"/>
        <v>0.3</v>
      </c>
      <c r="H101" s="1206">
        <f t="shared" si="99"/>
        <v>0</v>
      </c>
      <c r="I101" s="1206">
        <f>SUM(G102:G103)</f>
        <v>1</v>
      </c>
      <c r="J101" s="1206">
        <f>SUM(H102:H103)</f>
        <v>0</v>
      </c>
      <c r="K101" s="1206">
        <f>IF(スコア!Q101=0,0,1)</f>
        <v>1</v>
      </c>
      <c r="L101" s="1206">
        <f>IF(スコア!S101=0,0,1)</f>
        <v>0</v>
      </c>
      <c r="M101" s="1206">
        <f t="shared" si="100"/>
        <v>0.3</v>
      </c>
      <c r="N101" s="1206">
        <f t="shared" si="120"/>
        <v>0</v>
      </c>
      <c r="P101" s="1207">
        <f t="shared" si="94"/>
        <v>3.1</v>
      </c>
      <c r="Q101" s="1207" t="str">
        <f t="shared" si="95"/>
        <v xml:space="preserve"> Q2 3</v>
      </c>
      <c r="R101" s="1208" t="str">
        <f t="shared" si="96"/>
        <v>空間のゆとり</v>
      </c>
      <c r="S101" s="1747">
        <f t="shared" si="74"/>
        <v>0.3</v>
      </c>
      <c r="T101" s="1747">
        <f t="shared" si="75"/>
        <v>0.3</v>
      </c>
      <c r="U101" s="1747">
        <f t="shared" si="76"/>
        <v>0.3</v>
      </c>
      <c r="V101" s="1747">
        <f t="shared" si="77"/>
        <v>0.3</v>
      </c>
      <c r="W101" s="1747">
        <f t="shared" si="78"/>
        <v>0.3</v>
      </c>
      <c r="X101" s="1747">
        <f t="shared" si="79"/>
        <v>0</v>
      </c>
      <c r="Y101" s="1747">
        <f t="shared" si="80"/>
        <v>0</v>
      </c>
      <c r="Z101" s="1749">
        <f t="shared" si="81"/>
        <v>0.3</v>
      </c>
      <c r="AA101" s="1747">
        <f t="shared" si="82"/>
        <v>0.3</v>
      </c>
      <c r="AB101" s="1747">
        <f t="shared" si="83"/>
        <v>0.3</v>
      </c>
      <c r="AC101" s="1748">
        <f t="shared" si="84"/>
        <v>0.5</v>
      </c>
      <c r="AD101" s="1747">
        <f t="shared" si="85"/>
        <v>0.5</v>
      </c>
      <c r="AE101" s="1747">
        <f t="shared" si="86"/>
        <v>0.5</v>
      </c>
      <c r="AG101" s="1207">
        <v>3.1</v>
      </c>
      <c r="AH101" s="1211" t="s">
        <v>104</v>
      </c>
      <c r="AI101" s="1208" t="s">
        <v>1034</v>
      </c>
      <c r="AJ101" s="1209">
        <v>0.3</v>
      </c>
      <c r="AK101" s="1209">
        <v>0.3</v>
      </c>
      <c r="AL101" s="1209">
        <v>0.3</v>
      </c>
      <c r="AM101" s="1209">
        <v>0.3</v>
      </c>
      <c r="AN101" s="1209">
        <v>0.3</v>
      </c>
      <c r="AO101" s="1209"/>
      <c r="AP101" s="1209"/>
      <c r="AQ101" s="1217">
        <v>0.3</v>
      </c>
      <c r="AR101" s="1209">
        <v>0.3</v>
      </c>
      <c r="AS101" s="1213">
        <v>0.3</v>
      </c>
      <c r="AT101" s="1214">
        <v>0.5</v>
      </c>
      <c r="AU101" s="1213">
        <v>0.5</v>
      </c>
      <c r="AV101" s="1213">
        <v>0.5</v>
      </c>
      <c r="AX101" s="1207">
        <v>3.1</v>
      </c>
      <c r="AY101" s="1211" t="s">
        <v>104</v>
      </c>
      <c r="AZ101" s="1208" t="s">
        <v>1034</v>
      </c>
      <c r="BA101" s="1213">
        <v>0.3</v>
      </c>
      <c r="BB101" s="1213">
        <v>0.3</v>
      </c>
      <c r="BC101" s="1213">
        <v>0.3</v>
      </c>
      <c r="BD101" s="1213">
        <v>0.3</v>
      </c>
      <c r="BE101" s="1213">
        <v>0.3</v>
      </c>
      <c r="BF101" s="1213"/>
      <c r="BG101" s="1213"/>
      <c r="BH101" s="1220">
        <v>0.3</v>
      </c>
      <c r="BI101" s="1213">
        <v>0.3</v>
      </c>
      <c r="BJ101" s="1213">
        <v>0.3</v>
      </c>
      <c r="BK101" s="1214">
        <v>0.5</v>
      </c>
      <c r="BL101" s="1213">
        <v>0.5</v>
      </c>
      <c r="BM101" s="1213">
        <v>0.5</v>
      </c>
      <c r="BO101" s="1207">
        <v>3.1</v>
      </c>
      <c r="BP101" s="1211" t="s">
        <v>104</v>
      </c>
      <c r="BQ101" s="1208" t="s">
        <v>1034</v>
      </c>
      <c r="BR101" s="1213">
        <v>0.3</v>
      </c>
      <c r="BS101" s="1213">
        <v>0.3</v>
      </c>
      <c r="BT101" s="1213">
        <v>0.3</v>
      </c>
      <c r="BU101" s="1213">
        <v>0.3</v>
      </c>
      <c r="BV101" s="1213">
        <v>0.3</v>
      </c>
      <c r="BW101" s="1213"/>
      <c r="BX101" s="1213"/>
      <c r="BY101" s="1220">
        <v>0.3</v>
      </c>
      <c r="BZ101" s="1213">
        <v>0.3</v>
      </c>
      <c r="CA101" s="1213">
        <v>0.3</v>
      </c>
      <c r="CB101" s="1214">
        <v>0.5</v>
      </c>
      <c r="CC101" s="1213">
        <v>0.5</v>
      </c>
      <c r="CD101" s="1213">
        <v>0.5</v>
      </c>
      <c r="CE101" s="1469"/>
      <c r="CG101" s="1207">
        <v>3.1</v>
      </c>
      <c r="CH101" s="1211" t="s">
        <v>104</v>
      </c>
      <c r="CI101" s="1208" t="s">
        <v>1034</v>
      </c>
      <c r="CJ101" s="1689">
        <v>0</v>
      </c>
      <c r="CK101" s="1689">
        <v>0</v>
      </c>
      <c r="CL101" s="1689">
        <v>0</v>
      </c>
      <c r="CM101" s="1689">
        <v>0</v>
      </c>
      <c r="CN101" s="1689">
        <v>0</v>
      </c>
      <c r="CO101" s="1689">
        <v>0</v>
      </c>
      <c r="CP101" s="1689">
        <v>0</v>
      </c>
      <c r="CQ101" s="1689">
        <v>0</v>
      </c>
      <c r="CR101" s="1689">
        <v>0</v>
      </c>
      <c r="CS101" s="1689">
        <v>0</v>
      </c>
      <c r="CT101" s="1689">
        <v>0</v>
      </c>
      <c r="CU101" s="1689">
        <v>0</v>
      </c>
      <c r="CV101" s="1689">
        <v>0</v>
      </c>
      <c r="CX101" s="1207">
        <v>3.1</v>
      </c>
      <c r="CY101" s="1211" t="s">
        <v>104</v>
      </c>
      <c r="CZ101" s="1208" t="s">
        <v>1034</v>
      </c>
      <c r="DA101" s="1678">
        <f t="shared" si="115"/>
        <v>0.3</v>
      </c>
      <c r="DB101" s="1678"/>
      <c r="DC101" s="1678"/>
      <c r="DD101" s="1678"/>
      <c r="DE101" s="1678"/>
      <c r="DF101" s="1678"/>
      <c r="DG101" s="1678"/>
      <c r="DH101" s="1678"/>
      <c r="DI101" s="1678"/>
      <c r="DJ101" s="1678"/>
      <c r="DK101" s="1678"/>
      <c r="DL101" s="1678"/>
      <c r="DM101" s="1678"/>
    </row>
    <row r="102" spans="2:117">
      <c r="B102" s="1186" t="str">
        <f t="shared" si="116"/>
        <v>3.1.1</v>
      </c>
      <c r="C102" s="1208" t="str">
        <f t="shared" si="93"/>
        <v>階高のゆとり</v>
      </c>
      <c r="D102" s="1196">
        <f>IF(I$101&gt;0,G102/I$101,0)</f>
        <v>0.6</v>
      </c>
      <c r="E102" s="1206">
        <f>IF(J$101&gt;0,H102/J$101,0)</f>
        <v>0</v>
      </c>
      <c r="G102" s="1206">
        <f t="shared" si="98"/>
        <v>0.6</v>
      </c>
      <c r="H102" s="1206">
        <f t="shared" si="99"/>
        <v>0</v>
      </c>
      <c r="I102" s="1206"/>
      <c r="J102" s="1206"/>
      <c r="K102" s="1206">
        <f>IF(スコア!Q102=0,0,1)</f>
        <v>1</v>
      </c>
      <c r="L102" s="1206">
        <f>IF(スコア!S102=0,0,1)</f>
        <v>1</v>
      </c>
      <c r="M102" s="1206">
        <f t="shared" si="100"/>
        <v>0.6</v>
      </c>
      <c r="N102" s="1206">
        <f t="shared" si="120"/>
        <v>0</v>
      </c>
      <c r="P102" s="1207" t="str">
        <f t="shared" si="94"/>
        <v>3.1.1</v>
      </c>
      <c r="Q102" s="1207" t="str">
        <f t="shared" si="95"/>
        <v xml:space="preserve"> Q2 3.1</v>
      </c>
      <c r="R102" s="1208" t="str">
        <f t="shared" si="96"/>
        <v>階高のゆとり</v>
      </c>
      <c r="S102" s="1747">
        <f t="shared" si="74"/>
        <v>0.6</v>
      </c>
      <c r="T102" s="1747">
        <f t="shared" si="75"/>
        <v>0.6</v>
      </c>
      <c r="U102" s="1747">
        <f t="shared" si="76"/>
        <v>0.6</v>
      </c>
      <c r="V102" s="1747">
        <f t="shared" si="77"/>
        <v>0.6</v>
      </c>
      <c r="W102" s="1747">
        <f t="shared" si="78"/>
        <v>0.6</v>
      </c>
      <c r="X102" s="1747">
        <f t="shared" si="79"/>
        <v>0</v>
      </c>
      <c r="Y102" s="1747">
        <f t="shared" si="80"/>
        <v>0</v>
      </c>
      <c r="Z102" s="1749">
        <f t="shared" si="81"/>
        <v>0</v>
      </c>
      <c r="AA102" s="1747">
        <f t="shared" si="82"/>
        <v>0.6</v>
      </c>
      <c r="AB102" s="1747">
        <f t="shared" si="83"/>
        <v>0.6</v>
      </c>
      <c r="AC102" s="1748">
        <f t="shared" si="84"/>
        <v>0.6</v>
      </c>
      <c r="AD102" s="1747">
        <f t="shared" si="85"/>
        <v>0.6</v>
      </c>
      <c r="AE102" s="1747">
        <f t="shared" si="86"/>
        <v>0.6</v>
      </c>
      <c r="AG102" s="1207" t="s">
        <v>1156</v>
      </c>
      <c r="AH102" s="1211" t="s">
        <v>105</v>
      </c>
      <c r="AI102" s="1208" t="s">
        <v>106</v>
      </c>
      <c r="AJ102" s="1209">
        <v>0.6</v>
      </c>
      <c r="AK102" s="1209">
        <v>0.6</v>
      </c>
      <c r="AL102" s="1209">
        <v>0.6</v>
      </c>
      <c r="AM102" s="1209">
        <v>0.6</v>
      </c>
      <c r="AN102" s="1209">
        <v>0.6</v>
      </c>
      <c r="AO102" s="1209"/>
      <c r="AP102" s="1209"/>
      <c r="AQ102" s="1217">
        <v>0</v>
      </c>
      <c r="AR102" s="1209">
        <v>0.6</v>
      </c>
      <c r="AS102" s="1213">
        <v>0.6</v>
      </c>
      <c r="AT102" s="1214">
        <v>0.6</v>
      </c>
      <c r="AU102" s="1213">
        <v>0.6</v>
      </c>
      <c r="AV102" s="1213">
        <v>0.6</v>
      </c>
      <c r="AX102" s="1207" t="s">
        <v>1156</v>
      </c>
      <c r="AY102" s="1211" t="s">
        <v>105</v>
      </c>
      <c r="AZ102" s="1208" t="s">
        <v>106</v>
      </c>
      <c r="BA102" s="1213">
        <v>0.6</v>
      </c>
      <c r="BB102" s="1213">
        <v>0.6</v>
      </c>
      <c r="BC102" s="1213">
        <v>0.6</v>
      </c>
      <c r="BD102" s="1213">
        <v>0.6</v>
      </c>
      <c r="BE102" s="1213">
        <v>0.6</v>
      </c>
      <c r="BF102" s="1213"/>
      <c r="BG102" s="1213"/>
      <c r="BH102" s="1220">
        <v>0</v>
      </c>
      <c r="BI102" s="1213">
        <v>0.6</v>
      </c>
      <c r="BJ102" s="1213">
        <v>0.6</v>
      </c>
      <c r="BK102" s="1214">
        <v>0.6</v>
      </c>
      <c r="BL102" s="1213">
        <v>0.6</v>
      </c>
      <c r="BM102" s="1213">
        <v>0.6</v>
      </c>
      <c r="BO102" s="1207" t="s">
        <v>1156</v>
      </c>
      <c r="BP102" s="1211" t="s">
        <v>105</v>
      </c>
      <c r="BQ102" s="1208" t="s">
        <v>106</v>
      </c>
      <c r="BR102" s="1213">
        <v>0.6</v>
      </c>
      <c r="BS102" s="1213">
        <v>0.6</v>
      </c>
      <c r="BT102" s="1213">
        <v>0.6</v>
      </c>
      <c r="BU102" s="1213">
        <v>0.6</v>
      </c>
      <c r="BV102" s="1213">
        <v>0.6</v>
      </c>
      <c r="BW102" s="1213"/>
      <c r="BX102" s="1213"/>
      <c r="BY102" s="1220">
        <v>0</v>
      </c>
      <c r="BZ102" s="1213">
        <v>0.6</v>
      </c>
      <c r="CA102" s="1213">
        <v>0.6</v>
      </c>
      <c r="CB102" s="1214">
        <v>0.6</v>
      </c>
      <c r="CC102" s="1213">
        <v>0.6</v>
      </c>
      <c r="CD102" s="1213">
        <v>0.6</v>
      </c>
      <c r="CE102" s="1469"/>
      <c r="CG102" s="1207" t="s">
        <v>942</v>
      </c>
      <c r="CH102" s="1211" t="s">
        <v>105</v>
      </c>
      <c r="CI102" s="1208" t="s">
        <v>106</v>
      </c>
      <c r="CJ102" s="1689">
        <v>0</v>
      </c>
      <c r="CK102" s="1689">
        <v>0</v>
      </c>
      <c r="CL102" s="1689">
        <v>0</v>
      </c>
      <c r="CM102" s="1689">
        <v>0</v>
      </c>
      <c r="CN102" s="1689">
        <v>0</v>
      </c>
      <c r="CO102" s="1689">
        <v>0</v>
      </c>
      <c r="CP102" s="1689">
        <v>0</v>
      </c>
      <c r="CQ102" s="1689">
        <v>0</v>
      </c>
      <c r="CR102" s="1689">
        <v>0</v>
      </c>
      <c r="CS102" s="1689">
        <v>0</v>
      </c>
      <c r="CT102" s="1689">
        <v>0</v>
      </c>
      <c r="CU102" s="1689">
        <v>0</v>
      </c>
      <c r="CV102" s="1689">
        <v>0</v>
      </c>
      <c r="CX102" s="1207" t="s">
        <v>942</v>
      </c>
      <c r="CY102" s="1211" t="s">
        <v>105</v>
      </c>
      <c r="CZ102" s="1208" t="s">
        <v>106</v>
      </c>
      <c r="DA102" s="1814">
        <v>0</v>
      </c>
      <c r="DB102" s="1678"/>
      <c r="DC102" s="1678"/>
      <c r="DD102" s="1678"/>
      <c r="DE102" s="1678"/>
      <c r="DF102" s="1678"/>
      <c r="DG102" s="1678"/>
      <c r="DH102" s="1678"/>
      <c r="DI102" s="1678"/>
      <c r="DJ102" s="1678"/>
      <c r="DK102" s="1678"/>
      <c r="DL102" s="1678"/>
      <c r="DM102" s="1678"/>
    </row>
    <row r="103" spans="2:117">
      <c r="B103" s="1186" t="str">
        <f t="shared" si="116"/>
        <v>3.1.2</v>
      </c>
      <c r="C103" s="1208" t="str">
        <f t="shared" si="93"/>
        <v>空間の形状・自由さ</v>
      </c>
      <c r="D103" s="1196">
        <f>IF(I$101&gt;0,G103/I$101,0)</f>
        <v>0.4</v>
      </c>
      <c r="E103" s="1206">
        <f>IF(J$101&gt;0,H103/J$101,0)</f>
        <v>0</v>
      </c>
      <c r="G103" s="1206">
        <f t="shared" si="98"/>
        <v>0.4</v>
      </c>
      <c r="H103" s="1206">
        <f t="shared" si="99"/>
        <v>0</v>
      </c>
      <c r="I103" s="1206"/>
      <c r="J103" s="1206"/>
      <c r="K103" s="1206">
        <f>IF(スコア!Q103=0,0,1)</f>
        <v>1</v>
      </c>
      <c r="L103" s="1206">
        <f>IF(スコア!S103=0,0,1)</f>
        <v>1</v>
      </c>
      <c r="M103" s="1206">
        <f t="shared" si="100"/>
        <v>0.4</v>
      </c>
      <c r="N103" s="1206">
        <f t="shared" si="120"/>
        <v>0</v>
      </c>
      <c r="P103" s="1207" t="str">
        <f t="shared" si="94"/>
        <v>3.1.2</v>
      </c>
      <c r="Q103" s="1207" t="str">
        <f t="shared" si="95"/>
        <v xml:space="preserve"> Q2 3.1</v>
      </c>
      <c r="R103" s="1208" t="str">
        <f t="shared" si="96"/>
        <v>空間の形状・自由さ</v>
      </c>
      <c r="S103" s="1747">
        <f t="shared" si="74"/>
        <v>0.4</v>
      </c>
      <c r="T103" s="1747">
        <f t="shared" si="75"/>
        <v>0.4</v>
      </c>
      <c r="U103" s="1747">
        <f t="shared" si="76"/>
        <v>0.4</v>
      </c>
      <c r="V103" s="1747">
        <f t="shared" si="77"/>
        <v>0.4</v>
      </c>
      <c r="W103" s="1747">
        <f t="shared" si="78"/>
        <v>0.4</v>
      </c>
      <c r="X103" s="1747">
        <f t="shared" si="79"/>
        <v>0</v>
      </c>
      <c r="Y103" s="1747">
        <f t="shared" si="80"/>
        <v>0</v>
      </c>
      <c r="Z103" s="1749">
        <f t="shared" si="81"/>
        <v>1</v>
      </c>
      <c r="AA103" s="1747">
        <f t="shared" si="82"/>
        <v>0.4</v>
      </c>
      <c r="AB103" s="1747">
        <f t="shared" si="83"/>
        <v>0.4</v>
      </c>
      <c r="AC103" s="1748">
        <f t="shared" si="84"/>
        <v>0.4</v>
      </c>
      <c r="AD103" s="1747">
        <f t="shared" si="85"/>
        <v>0.4</v>
      </c>
      <c r="AE103" s="1747">
        <f t="shared" si="86"/>
        <v>0.4</v>
      </c>
      <c r="AG103" s="1207" t="s">
        <v>1157</v>
      </c>
      <c r="AH103" s="1211" t="s">
        <v>105</v>
      </c>
      <c r="AI103" s="1208" t="s">
        <v>107</v>
      </c>
      <c r="AJ103" s="1209">
        <v>0.4</v>
      </c>
      <c r="AK103" s="1209">
        <v>0.4</v>
      </c>
      <c r="AL103" s="1209">
        <v>0.4</v>
      </c>
      <c r="AM103" s="1209">
        <v>0.4</v>
      </c>
      <c r="AN103" s="1209">
        <v>0.4</v>
      </c>
      <c r="AO103" s="1209"/>
      <c r="AP103" s="1209"/>
      <c r="AQ103" s="1217">
        <v>1</v>
      </c>
      <c r="AR103" s="1209">
        <v>0.4</v>
      </c>
      <c r="AS103" s="1213">
        <v>0.4</v>
      </c>
      <c r="AT103" s="1214">
        <v>0.4</v>
      </c>
      <c r="AU103" s="1213">
        <v>0.4</v>
      </c>
      <c r="AV103" s="1213">
        <v>0.4</v>
      </c>
      <c r="AX103" s="1207" t="s">
        <v>1157</v>
      </c>
      <c r="AY103" s="1211" t="s">
        <v>105</v>
      </c>
      <c r="AZ103" s="1208" t="s">
        <v>107</v>
      </c>
      <c r="BA103" s="1213">
        <v>0.4</v>
      </c>
      <c r="BB103" s="1213">
        <v>0.4</v>
      </c>
      <c r="BC103" s="1213">
        <v>0.4</v>
      </c>
      <c r="BD103" s="1213">
        <v>0.4</v>
      </c>
      <c r="BE103" s="1213">
        <v>0.4</v>
      </c>
      <c r="BF103" s="1213"/>
      <c r="BG103" s="1213"/>
      <c r="BH103" s="1220">
        <v>1</v>
      </c>
      <c r="BI103" s="1213">
        <v>0.4</v>
      </c>
      <c r="BJ103" s="1213">
        <v>0.4</v>
      </c>
      <c r="BK103" s="1214">
        <v>0.4</v>
      </c>
      <c r="BL103" s="1213">
        <v>0.4</v>
      </c>
      <c r="BM103" s="1213">
        <v>0.4</v>
      </c>
      <c r="BO103" s="1207" t="s">
        <v>1157</v>
      </c>
      <c r="BP103" s="1211" t="s">
        <v>105</v>
      </c>
      <c r="BQ103" s="1208" t="s">
        <v>107</v>
      </c>
      <c r="BR103" s="1213">
        <v>0.4</v>
      </c>
      <c r="BS103" s="1213">
        <v>0.4</v>
      </c>
      <c r="BT103" s="1213">
        <v>0.4</v>
      </c>
      <c r="BU103" s="1213">
        <v>0.4</v>
      </c>
      <c r="BV103" s="1213">
        <v>0.4</v>
      </c>
      <c r="BW103" s="1213"/>
      <c r="BX103" s="1213"/>
      <c r="BY103" s="1220">
        <v>1</v>
      </c>
      <c r="BZ103" s="1213">
        <v>0.4</v>
      </c>
      <c r="CA103" s="1213">
        <v>0.4</v>
      </c>
      <c r="CB103" s="1214">
        <v>0.4</v>
      </c>
      <c r="CC103" s="1213">
        <v>0.4</v>
      </c>
      <c r="CD103" s="1213">
        <v>0.4</v>
      </c>
      <c r="CE103" s="1469"/>
      <c r="CG103" s="1207" t="s">
        <v>943</v>
      </c>
      <c r="CH103" s="1211" t="s">
        <v>105</v>
      </c>
      <c r="CI103" s="1208" t="s">
        <v>107</v>
      </c>
      <c r="CJ103" s="1689">
        <v>0</v>
      </c>
      <c r="CK103" s="1689">
        <v>0</v>
      </c>
      <c r="CL103" s="1689">
        <v>0</v>
      </c>
      <c r="CM103" s="1689">
        <v>0</v>
      </c>
      <c r="CN103" s="1689">
        <v>0</v>
      </c>
      <c r="CO103" s="1689">
        <v>0</v>
      </c>
      <c r="CP103" s="1689">
        <v>0</v>
      </c>
      <c r="CQ103" s="1689">
        <v>0</v>
      </c>
      <c r="CR103" s="1689">
        <v>0</v>
      </c>
      <c r="CS103" s="1689">
        <v>0</v>
      </c>
      <c r="CT103" s="1689">
        <v>0</v>
      </c>
      <c r="CU103" s="1689">
        <v>0</v>
      </c>
      <c r="CV103" s="1689">
        <v>0</v>
      </c>
      <c r="CX103" s="1207" t="s">
        <v>943</v>
      </c>
      <c r="CY103" s="1211" t="s">
        <v>105</v>
      </c>
      <c r="CZ103" s="1208" t="s">
        <v>107</v>
      </c>
      <c r="DA103" s="1814">
        <v>1</v>
      </c>
      <c r="DB103" s="1678"/>
      <c r="DC103" s="1678"/>
      <c r="DD103" s="1678"/>
      <c r="DE103" s="1678"/>
      <c r="DF103" s="1678"/>
      <c r="DG103" s="1678"/>
      <c r="DH103" s="1678"/>
      <c r="DI103" s="1678"/>
      <c r="DJ103" s="1678"/>
      <c r="DK103" s="1678"/>
      <c r="DL103" s="1678"/>
      <c r="DM103" s="1678"/>
    </row>
    <row r="104" spans="2:117">
      <c r="B104" s="1186">
        <f t="shared" si="116"/>
        <v>3.2</v>
      </c>
      <c r="C104" s="1208" t="str">
        <f t="shared" si="93"/>
        <v>荷重のゆとり</v>
      </c>
      <c r="D104" s="1205">
        <f>IF(I$100=0,0,G104/I$100)</f>
        <v>0.3</v>
      </c>
      <c r="E104" s="1206">
        <f>IF(J$100=0,0,H104/J$100)</f>
        <v>0</v>
      </c>
      <c r="G104" s="1206">
        <f t="shared" si="98"/>
        <v>0.3</v>
      </c>
      <c r="H104" s="1206">
        <f t="shared" si="99"/>
        <v>0</v>
      </c>
      <c r="I104" s="1206"/>
      <c r="J104" s="1206"/>
      <c r="K104" s="1206">
        <f>IF(スコア!Q104=0,0,1)</f>
        <v>1</v>
      </c>
      <c r="L104" s="1206">
        <f>IF(スコア!S104=0,0,1)</f>
        <v>1</v>
      </c>
      <c r="M104" s="1206">
        <f t="shared" si="100"/>
        <v>0.3</v>
      </c>
      <c r="N104" s="1206">
        <f t="shared" si="120"/>
        <v>0</v>
      </c>
      <c r="P104" s="1207">
        <f t="shared" si="94"/>
        <v>3.2</v>
      </c>
      <c r="Q104" s="1207" t="str">
        <f t="shared" si="95"/>
        <v xml:space="preserve"> Q2 3</v>
      </c>
      <c r="R104" s="1208" t="str">
        <f t="shared" si="96"/>
        <v>荷重のゆとり</v>
      </c>
      <c r="S104" s="1747">
        <f t="shared" si="74"/>
        <v>0.3</v>
      </c>
      <c r="T104" s="1747">
        <f t="shared" si="75"/>
        <v>0.3</v>
      </c>
      <c r="U104" s="1747">
        <f t="shared" si="76"/>
        <v>0.3</v>
      </c>
      <c r="V104" s="1747">
        <f t="shared" si="77"/>
        <v>0.3</v>
      </c>
      <c r="W104" s="1747">
        <f t="shared" si="78"/>
        <v>0.3</v>
      </c>
      <c r="X104" s="1747">
        <f t="shared" si="79"/>
        <v>0</v>
      </c>
      <c r="Y104" s="1747">
        <f t="shared" si="80"/>
        <v>0</v>
      </c>
      <c r="Z104" s="1749">
        <f t="shared" si="81"/>
        <v>0.3</v>
      </c>
      <c r="AA104" s="1747">
        <f t="shared" si="82"/>
        <v>0.3</v>
      </c>
      <c r="AB104" s="1747">
        <f t="shared" si="83"/>
        <v>0.3</v>
      </c>
      <c r="AC104" s="1748">
        <f t="shared" si="84"/>
        <v>0.5</v>
      </c>
      <c r="AD104" s="1747">
        <f t="shared" si="85"/>
        <v>0.5</v>
      </c>
      <c r="AE104" s="1747">
        <f t="shared" si="86"/>
        <v>0.5</v>
      </c>
      <c r="AG104" s="1207">
        <v>3.2</v>
      </c>
      <c r="AH104" s="1211" t="s">
        <v>104</v>
      </c>
      <c r="AI104" s="1208" t="s">
        <v>1037</v>
      </c>
      <c r="AJ104" s="1209">
        <v>0.3</v>
      </c>
      <c r="AK104" s="1209">
        <v>0.3</v>
      </c>
      <c r="AL104" s="1209">
        <v>0.3</v>
      </c>
      <c r="AM104" s="1209">
        <v>0.3</v>
      </c>
      <c r="AN104" s="1209">
        <v>0.3</v>
      </c>
      <c r="AO104" s="1209"/>
      <c r="AP104" s="1209"/>
      <c r="AQ104" s="1217">
        <v>0.3</v>
      </c>
      <c r="AR104" s="1209">
        <v>0.3</v>
      </c>
      <c r="AS104" s="1213">
        <v>0.3</v>
      </c>
      <c r="AT104" s="1214">
        <v>0.5</v>
      </c>
      <c r="AU104" s="1213">
        <v>0.5</v>
      </c>
      <c r="AV104" s="1213">
        <v>0.5</v>
      </c>
      <c r="AX104" s="1207">
        <v>3.2</v>
      </c>
      <c r="AY104" s="1211" t="s">
        <v>104</v>
      </c>
      <c r="AZ104" s="1208" t="s">
        <v>1037</v>
      </c>
      <c r="BA104" s="1213">
        <v>0.3</v>
      </c>
      <c r="BB104" s="1213">
        <v>0.3</v>
      </c>
      <c r="BC104" s="1213">
        <v>0.3</v>
      </c>
      <c r="BD104" s="1213">
        <v>0.3</v>
      </c>
      <c r="BE104" s="1213">
        <v>0.3</v>
      </c>
      <c r="BF104" s="1213"/>
      <c r="BG104" s="1213"/>
      <c r="BH104" s="1220">
        <v>0.3</v>
      </c>
      <c r="BI104" s="1213">
        <v>0.3</v>
      </c>
      <c r="BJ104" s="1213">
        <v>0.3</v>
      </c>
      <c r="BK104" s="1214">
        <v>0.5</v>
      </c>
      <c r="BL104" s="1213">
        <v>0.5</v>
      </c>
      <c r="BM104" s="1213">
        <v>0.5</v>
      </c>
      <c r="BO104" s="1207">
        <v>3.2</v>
      </c>
      <c r="BP104" s="1211" t="s">
        <v>104</v>
      </c>
      <c r="BQ104" s="1208" t="s">
        <v>1037</v>
      </c>
      <c r="BR104" s="1213">
        <v>0.3</v>
      </c>
      <c r="BS104" s="1213">
        <v>0.3</v>
      </c>
      <c r="BT104" s="1213">
        <v>0.3</v>
      </c>
      <c r="BU104" s="1213">
        <v>0.3</v>
      </c>
      <c r="BV104" s="1213">
        <v>0.3</v>
      </c>
      <c r="BW104" s="1213"/>
      <c r="BX104" s="1213"/>
      <c r="BY104" s="1220">
        <v>0.3</v>
      </c>
      <c r="BZ104" s="1213">
        <v>0.3</v>
      </c>
      <c r="CA104" s="1213">
        <v>0.3</v>
      </c>
      <c r="CB104" s="1214">
        <v>0.5</v>
      </c>
      <c r="CC104" s="1213">
        <v>0.5</v>
      </c>
      <c r="CD104" s="1213">
        <v>0.5</v>
      </c>
      <c r="CE104" s="1469"/>
      <c r="CG104" s="1207">
        <v>3.2</v>
      </c>
      <c r="CH104" s="1211" t="s">
        <v>104</v>
      </c>
      <c r="CI104" s="1208" t="s">
        <v>1037</v>
      </c>
      <c r="CJ104" s="1689">
        <v>0</v>
      </c>
      <c r="CK104" s="1689">
        <v>0</v>
      </c>
      <c r="CL104" s="1689">
        <v>0</v>
      </c>
      <c r="CM104" s="1689">
        <v>0</v>
      </c>
      <c r="CN104" s="1689">
        <v>0</v>
      </c>
      <c r="CO104" s="1689">
        <v>0</v>
      </c>
      <c r="CP104" s="1689">
        <v>0</v>
      </c>
      <c r="CQ104" s="1689">
        <v>0</v>
      </c>
      <c r="CR104" s="1689">
        <v>0</v>
      </c>
      <c r="CS104" s="1689">
        <v>0</v>
      </c>
      <c r="CT104" s="1689">
        <v>0</v>
      </c>
      <c r="CU104" s="1689">
        <v>0</v>
      </c>
      <c r="CV104" s="1689">
        <v>0</v>
      </c>
      <c r="CX104" s="1207">
        <v>3.2</v>
      </c>
      <c r="CY104" s="1211" t="s">
        <v>104</v>
      </c>
      <c r="CZ104" s="1208" t="s">
        <v>1037</v>
      </c>
      <c r="DA104" s="1678">
        <f t="shared" si="115"/>
        <v>0.3</v>
      </c>
      <c r="DB104" s="1678"/>
      <c r="DC104" s="1678"/>
      <c r="DD104" s="1678"/>
      <c r="DE104" s="1678"/>
      <c r="DF104" s="1678"/>
      <c r="DG104" s="1678"/>
      <c r="DH104" s="1678"/>
      <c r="DI104" s="1678"/>
      <c r="DJ104" s="1678"/>
      <c r="DK104" s="1678"/>
      <c r="DL104" s="1678"/>
      <c r="DM104" s="1678"/>
    </row>
    <row r="105" spans="2:117">
      <c r="B105" s="1186">
        <f t="shared" si="116"/>
        <v>3.3</v>
      </c>
      <c r="C105" s="1208" t="str">
        <f t="shared" si="93"/>
        <v>設備の更新性</v>
      </c>
      <c r="D105" s="1205">
        <f>IF(I$100=0,0,G105/I$100)</f>
        <v>0.4</v>
      </c>
      <c r="E105" s="1206">
        <f>IF(J$100=0,0,H105/J$100)</f>
        <v>0</v>
      </c>
      <c r="G105" s="1206">
        <f t="shared" si="98"/>
        <v>0.4</v>
      </c>
      <c r="H105" s="1206">
        <f t="shared" si="99"/>
        <v>0</v>
      </c>
      <c r="I105" s="1206">
        <f>SUM(G106:G111)</f>
        <v>1</v>
      </c>
      <c r="J105" s="1206">
        <f>SUM(H106:H111)</f>
        <v>0</v>
      </c>
      <c r="K105" s="1206">
        <f>IF(スコア!Q105=0,0,1)</f>
        <v>1</v>
      </c>
      <c r="L105" s="1206">
        <f>IF(スコア!S105=0,0,1)</f>
        <v>0</v>
      </c>
      <c r="M105" s="1206">
        <f t="shared" si="100"/>
        <v>0.4</v>
      </c>
      <c r="N105" s="1206">
        <f t="shared" si="120"/>
        <v>0</v>
      </c>
      <c r="P105" s="1207">
        <f t="shared" si="94"/>
        <v>3.3</v>
      </c>
      <c r="Q105" s="1207" t="str">
        <f t="shared" si="95"/>
        <v xml:space="preserve"> Q2 3</v>
      </c>
      <c r="R105" s="1208" t="str">
        <f t="shared" si="96"/>
        <v>設備の更新性</v>
      </c>
      <c r="S105" s="1747">
        <f t="shared" si="74"/>
        <v>0.4</v>
      </c>
      <c r="T105" s="1747">
        <f t="shared" si="75"/>
        <v>0.4</v>
      </c>
      <c r="U105" s="1747">
        <f t="shared" si="76"/>
        <v>0.4</v>
      </c>
      <c r="V105" s="1747">
        <f t="shared" si="77"/>
        <v>0.4</v>
      </c>
      <c r="W105" s="1747">
        <f t="shared" si="78"/>
        <v>0.4</v>
      </c>
      <c r="X105" s="1747">
        <f t="shared" si="79"/>
        <v>1</v>
      </c>
      <c r="Y105" s="1747">
        <f t="shared" si="80"/>
        <v>1</v>
      </c>
      <c r="Z105" s="1749">
        <f t="shared" si="81"/>
        <v>0.4</v>
      </c>
      <c r="AA105" s="1747">
        <f t="shared" si="82"/>
        <v>0.4</v>
      </c>
      <c r="AB105" s="1747">
        <f t="shared" si="83"/>
        <v>0.4</v>
      </c>
      <c r="AC105" s="1748">
        <f t="shared" si="84"/>
        <v>0</v>
      </c>
      <c r="AD105" s="1747">
        <f t="shared" si="85"/>
        <v>0</v>
      </c>
      <c r="AE105" s="1747">
        <f t="shared" si="86"/>
        <v>0</v>
      </c>
      <c r="AG105" s="1207">
        <v>3.3</v>
      </c>
      <c r="AH105" s="1211" t="s">
        <v>104</v>
      </c>
      <c r="AI105" s="1208" t="s">
        <v>1038</v>
      </c>
      <c r="AJ105" s="1209">
        <v>0.4</v>
      </c>
      <c r="AK105" s="1209">
        <v>0.4</v>
      </c>
      <c r="AL105" s="1209">
        <v>0.4</v>
      </c>
      <c r="AM105" s="1209">
        <v>0.4</v>
      </c>
      <c r="AN105" s="1209">
        <v>0.4</v>
      </c>
      <c r="AO105" s="1209">
        <v>1</v>
      </c>
      <c r="AP105" s="1209">
        <v>1</v>
      </c>
      <c r="AQ105" s="1217">
        <v>0.4</v>
      </c>
      <c r="AR105" s="1209">
        <v>0.4</v>
      </c>
      <c r="AS105" s="1213">
        <v>0.4</v>
      </c>
      <c r="AT105" s="1214"/>
      <c r="AU105" s="1213"/>
      <c r="AV105" s="1213"/>
      <c r="AX105" s="1207">
        <v>3.3</v>
      </c>
      <c r="AY105" s="1211" t="s">
        <v>104</v>
      </c>
      <c r="AZ105" s="1208" t="s">
        <v>1038</v>
      </c>
      <c r="BA105" s="1213">
        <v>0.4</v>
      </c>
      <c r="BB105" s="1213">
        <v>0.4</v>
      </c>
      <c r="BC105" s="1213">
        <v>0.4</v>
      </c>
      <c r="BD105" s="1213">
        <v>0.4</v>
      </c>
      <c r="BE105" s="1213">
        <v>0.4</v>
      </c>
      <c r="BF105" s="1213">
        <v>1</v>
      </c>
      <c r="BG105" s="1213">
        <v>1</v>
      </c>
      <c r="BH105" s="1220">
        <v>0.4</v>
      </c>
      <c r="BI105" s="1213">
        <v>0.4</v>
      </c>
      <c r="BJ105" s="1213">
        <v>0.4</v>
      </c>
      <c r="BK105" s="1214"/>
      <c r="BL105" s="1213"/>
      <c r="BM105" s="1213"/>
      <c r="BO105" s="1207">
        <v>3.3</v>
      </c>
      <c r="BP105" s="1211" t="s">
        <v>104</v>
      </c>
      <c r="BQ105" s="1208" t="s">
        <v>1038</v>
      </c>
      <c r="BR105" s="1213">
        <v>0.4</v>
      </c>
      <c r="BS105" s="1213">
        <v>0.4</v>
      </c>
      <c r="BT105" s="1213">
        <v>0.4</v>
      </c>
      <c r="BU105" s="1213">
        <v>0.4</v>
      </c>
      <c r="BV105" s="1213">
        <v>0.4</v>
      </c>
      <c r="BW105" s="1213">
        <v>1</v>
      </c>
      <c r="BX105" s="1213">
        <v>1</v>
      </c>
      <c r="BY105" s="1220">
        <v>0.4</v>
      </c>
      <c r="BZ105" s="1213">
        <v>0.4</v>
      </c>
      <c r="CA105" s="1213">
        <v>0.4</v>
      </c>
      <c r="CB105" s="1214"/>
      <c r="CC105" s="1213"/>
      <c r="CD105" s="1213"/>
      <c r="CE105" s="1469"/>
      <c r="CG105" s="1207">
        <v>3.3</v>
      </c>
      <c r="CH105" s="1211" t="s">
        <v>104</v>
      </c>
      <c r="CI105" s="1208" t="s">
        <v>1038</v>
      </c>
      <c r="CJ105" s="1689">
        <v>0</v>
      </c>
      <c r="CK105" s="1689">
        <v>0</v>
      </c>
      <c r="CL105" s="1689">
        <v>0</v>
      </c>
      <c r="CM105" s="1689">
        <v>0</v>
      </c>
      <c r="CN105" s="1689">
        <v>0</v>
      </c>
      <c r="CO105" s="1689">
        <v>0</v>
      </c>
      <c r="CP105" s="1689">
        <v>0</v>
      </c>
      <c r="CQ105" s="1689">
        <v>0</v>
      </c>
      <c r="CR105" s="1689">
        <v>0</v>
      </c>
      <c r="CS105" s="1689">
        <v>0</v>
      </c>
      <c r="CT105" s="1689">
        <v>0</v>
      </c>
      <c r="CU105" s="1689">
        <v>0</v>
      </c>
      <c r="CV105" s="1689">
        <v>0</v>
      </c>
      <c r="CX105" s="1207">
        <v>3.3</v>
      </c>
      <c r="CY105" s="1211" t="s">
        <v>104</v>
      </c>
      <c r="CZ105" s="1208" t="s">
        <v>1038</v>
      </c>
      <c r="DA105" s="1678">
        <f t="shared" si="115"/>
        <v>0.4</v>
      </c>
      <c r="DB105" s="1678"/>
      <c r="DC105" s="1678"/>
      <c r="DD105" s="1678"/>
      <c r="DE105" s="1678"/>
      <c r="DF105" s="1678"/>
      <c r="DG105" s="1678"/>
      <c r="DH105" s="1678"/>
      <c r="DI105" s="1678"/>
      <c r="DJ105" s="1678"/>
      <c r="DK105" s="1678"/>
      <c r="DL105" s="1678"/>
      <c r="DM105" s="1678"/>
    </row>
    <row r="106" spans="2:117">
      <c r="B106" s="1186" t="str">
        <f t="shared" si="116"/>
        <v>3.3.1</v>
      </c>
      <c r="C106" s="1208" t="str">
        <f t="shared" si="93"/>
        <v>空調配管の更新性</v>
      </c>
      <c r="D106" s="1196">
        <f>IF(I$105&gt;0,G106/I$105,0)</f>
        <v>0.2</v>
      </c>
      <c r="E106" s="1206">
        <f t="shared" ref="D106:E111" si="121">IF(J$105&gt;0,H106/J$105,0)</f>
        <v>0</v>
      </c>
      <c r="G106" s="1206">
        <f t="shared" si="98"/>
        <v>0.2</v>
      </c>
      <c r="H106" s="1206">
        <f t="shared" si="99"/>
        <v>0</v>
      </c>
      <c r="I106" s="1206"/>
      <c r="J106" s="1206"/>
      <c r="K106" s="1206">
        <f>IF(スコア!Q106=0,0,1)</f>
        <v>1</v>
      </c>
      <c r="L106" s="1206">
        <f>IF(スコア!S106=0,0,1)</f>
        <v>0</v>
      </c>
      <c r="M106" s="1206">
        <f t="shared" si="100"/>
        <v>0.2</v>
      </c>
      <c r="N106" s="1206">
        <f t="shared" si="120"/>
        <v>0</v>
      </c>
      <c r="P106" s="1207" t="str">
        <f t="shared" si="94"/>
        <v>3.3.1</v>
      </c>
      <c r="Q106" s="1207" t="str">
        <f t="shared" si="95"/>
        <v xml:space="preserve"> Q2 3.3</v>
      </c>
      <c r="R106" s="1208" t="str">
        <f t="shared" si="96"/>
        <v>空調配管の更新性</v>
      </c>
      <c r="S106" s="1747">
        <f t="shared" si="74"/>
        <v>0.2</v>
      </c>
      <c r="T106" s="1747">
        <f t="shared" si="75"/>
        <v>0.2</v>
      </c>
      <c r="U106" s="1747">
        <f t="shared" si="76"/>
        <v>0.2</v>
      </c>
      <c r="V106" s="1747">
        <f t="shared" si="77"/>
        <v>0.2</v>
      </c>
      <c r="W106" s="1747">
        <f t="shared" si="78"/>
        <v>0.2</v>
      </c>
      <c r="X106" s="1747">
        <f t="shared" si="79"/>
        <v>0.2</v>
      </c>
      <c r="Y106" s="1747">
        <f t="shared" si="80"/>
        <v>0.2</v>
      </c>
      <c r="Z106" s="1749">
        <f t="shared" si="81"/>
        <v>0.2</v>
      </c>
      <c r="AA106" s="1747">
        <f t="shared" si="82"/>
        <v>0.2</v>
      </c>
      <c r="AB106" s="1747">
        <f t="shared" si="83"/>
        <v>0.2</v>
      </c>
      <c r="AC106" s="1748">
        <f t="shared" si="84"/>
        <v>0</v>
      </c>
      <c r="AD106" s="1747">
        <f t="shared" si="85"/>
        <v>0</v>
      </c>
      <c r="AE106" s="1747">
        <f t="shared" si="86"/>
        <v>0</v>
      </c>
      <c r="AG106" s="1207" t="s">
        <v>1158</v>
      </c>
      <c r="AH106" s="1211" t="s">
        <v>108</v>
      </c>
      <c r="AI106" s="1208" t="s">
        <v>109</v>
      </c>
      <c r="AJ106" s="1209">
        <v>0.2</v>
      </c>
      <c r="AK106" s="1209">
        <v>0.2</v>
      </c>
      <c r="AL106" s="1209">
        <v>0.2</v>
      </c>
      <c r="AM106" s="1209">
        <v>0.2</v>
      </c>
      <c r="AN106" s="1209">
        <v>0.2</v>
      </c>
      <c r="AO106" s="1209">
        <v>0.2</v>
      </c>
      <c r="AP106" s="1209">
        <v>0.2</v>
      </c>
      <c r="AQ106" s="1217">
        <v>0.2</v>
      </c>
      <c r="AR106" s="1209">
        <v>0.2</v>
      </c>
      <c r="AS106" s="1213">
        <v>0.2</v>
      </c>
      <c r="AT106" s="1214"/>
      <c r="AU106" s="1213"/>
      <c r="AV106" s="1213"/>
      <c r="AX106" s="1207" t="s">
        <v>1158</v>
      </c>
      <c r="AY106" s="1211" t="s">
        <v>108</v>
      </c>
      <c r="AZ106" s="1208" t="s">
        <v>109</v>
      </c>
      <c r="BA106" s="1213">
        <v>0.2</v>
      </c>
      <c r="BB106" s="1213">
        <v>0.2</v>
      </c>
      <c r="BC106" s="1213">
        <v>0.2</v>
      </c>
      <c r="BD106" s="1213">
        <v>0.2</v>
      </c>
      <c r="BE106" s="1213">
        <v>0.2</v>
      </c>
      <c r="BF106" s="1213">
        <v>0.2</v>
      </c>
      <c r="BG106" s="1213">
        <v>0.2</v>
      </c>
      <c r="BH106" s="1220">
        <v>0.2</v>
      </c>
      <c r="BI106" s="1213">
        <v>0.2</v>
      </c>
      <c r="BJ106" s="1213">
        <v>0.2</v>
      </c>
      <c r="BK106" s="1214"/>
      <c r="BL106" s="1213"/>
      <c r="BM106" s="1213"/>
      <c r="BO106" s="1207" t="s">
        <v>1158</v>
      </c>
      <c r="BP106" s="1211" t="s">
        <v>108</v>
      </c>
      <c r="BQ106" s="1208" t="s">
        <v>109</v>
      </c>
      <c r="BR106" s="1213">
        <v>0.2</v>
      </c>
      <c r="BS106" s="1213">
        <v>0.2</v>
      </c>
      <c r="BT106" s="1213">
        <v>0.2</v>
      </c>
      <c r="BU106" s="1213">
        <v>0.2</v>
      </c>
      <c r="BV106" s="1213">
        <v>0.2</v>
      </c>
      <c r="BW106" s="1213">
        <v>0.2</v>
      </c>
      <c r="BX106" s="1213">
        <v>0.2</v>
      </c>
      <c r="BY106" s="1220">
        <v>0.2</v>
      </c>
      <c r="BZ106" s="1213">
        <v>0.2</v>
      </c>
      <c r="CA106" s="1213">
        <v>0.2</v>
      </c>
      <c r="CB106" s="1214"/>
      <c r="CC106" s="1213"/>
      <c r="CD106" s="1213"/>
      <c r="CE106" s="1469"/>
      <c r="CG106" s="1207" t="s">
        <v>1158</v>
      </c>
      <c r="CH106" s="1211" t="s">
        <v>108</v>
      </c>
      <c r="CI106" s="1208" t="s">
        <v>109</v>
      </c>
      <c r="CJ106" s="1689">
        <v>0</v>
      </c>
      <c r="CK106" s="1689">
        <v>0</v>
      </c>
      <c r="CL106" s="1689">
        <v>0</v>
      </c>
      <c r="CM106" s="1689">
        <v>0</v>
      </c>
      <c r="CN106" s="1689">
        <v>0</v>
      </c>
      <c r="CO106" s="1689">
        <v>0</v>
      </c>
      <c r="CP106" s="1689">
        <v>0</v>
      </c>
      <c r="CQ106" s="1689">
        <v>0</v>
      </c>
      <c r="CR106" s="1689">
        <v>0</v>
      </c>
      <c r="CS106" s="1689">
        <v>0</v>
      </c>
      <c r="CT106" s="1689">
        <v>0</v>
      </c>
      <c r="CU106" s="1689">
        <v>0</v>
      </c>
      <c r="CV106" s="1689">
        <v>0</v>
      </c>
      <c r="CX106" s="1207" t="s">
        <v>1158</v>
      </c>
      <c r="CY106" s="1211" t="s">
        <v>108</v>
      </c>
      <c r="CZ106" s="1208" t="s">
        <v>109</v>
      </c>
      <c r="DA106" s="1814">
        <v>0</v>
      </c>
      <c r="DB106" s="1678"/>
      <c r="DC106" s="1678"/>
      <c r="DD106" s="1678"/>
      <c r="DE106" s="1678"/>
      <c r="DF106" s="1678"/>
      <c r="DG106" s="1678"/>
      <c r="DH106" s="1678"/>
      <c r="DI106" s="1678"/>
      <c r="DJ106" s="1678"/>
      <c r="DK106" s="1678"/>
      <c r="DL106" s="1678"/>
      <c r="DM106" s="1678"/>
    </row>
    <row r="107" spans="2:117">
      <c r="B107" s="1186" t="str">
        <f t="shared" si="116"/>
        <v>3.3.2</v>
      </c>
      <c r="C107" s="1208" t="str">
        <f t="shared" si="93"/>
        <v>給排水管の更新性</v>
      </c>
      <c r="D107" s="1196">
        <f t="shared" si="121"/>
        <v>0.2</v>
      </c>
      <c r="E107" s="1206">
        <f t="shared" si="121"/>
        <v>0</v>
      </c>
      <c r="G107" s="1206">
        <f t="shared" si="98"/>
        <v>0.2</v>
      </c>
      <c r="H107" s="1206">
        <f t="shared" si="99"/>
        <v>0</v>
      </c>
      <c r="I107" s="1206"/>
      <c r="J107" s="1206"/>
      <c r="K107" s="1206">
        <f>IF(スコア!Q107=0,0,1)</f>
        <v>1</v>
      </c>
      <c r="L107" s="1206">
        <f>IF(スコア!S107=0,0,1)</f>
        <v>0</v>
      </c>
      <c r="M107" s="1206">
        <f t="shared" si="100"/>
        <v>0.2</v>
      </c>
      <c r="N107" s="1206">
        <f t="shared" si="120"/>
        <v>0</v>
      </c>
      <c r="P107" s="1207" t="str">
        <f t="shared" si="94"/>
        <v>3.3.2</v>
      </c>
      <c r="Q107" s="1207" t="str">
        <f t="shared" si="95"/>
        <v xml:space="preserve"> Q2 3.3</v>
      </c>
      <c r="R107" s="1208" t="str">
        <f t="shared" si="96"/>
        <v>給排水管の更新性</v>
      </c>
      <c r="S107" s="1747">
        <f t="shared" si="74"/>
        <v>0.2</v>
      </c>
      <c r="T107" s="1747">
        <f t="shared" si="75"/>
        <v>0.2</v>
      </c>
      <c r="U107" s="1747">
        <f t="shared" si="76"/>
        <v>0.2</v>
      </c>
      <c r="V107" s="1747">
        <f t="shared" si="77"/>
        <v>0.2</v>
      </c>
      <c r="W107" s="1747">
        <f t="shared" si="78"/>
        <v>0.2</v>
      </c>
      <c r="X107" s="1747">
        <f t="shared" si="79"/>
        <v>0.2</v>
      </c>
      <c r="Y107" s="1747">
        <f t="shared" si="80"/>
        <v>0.2</v>
      </c>
      <c r="Z107" s="1749">
        <f t="shared" si="81"/>
        <v>0.2</v>
      </c>
      <c r="AA107" s="1747">
        <f t="shared" si="82"/>
        <v>0.2</v>
      </c>
      <c r="AB107" s="1747">
        <f t="shared" si="83"/>
        <v>0.2</v>
      </c>
      <c r="AC107" s="1748">
        <f t="shared" si="84"/>
        <v>0</v>
      </c>
      <c r="AD107" s="1747">
        <f t="shared" si="85"/>
        <v>0</v>
      </c>
      <c r="AE107" s="1747">
        <f t="shared" si="86"/>
        <v>0</v>
      </c>
      <c r="AG107" s="1207" t="s">
        <v>1159</v>
      </c>
      <c r="AH107" s="1211" t="s">
        <v>108</v>
      </c>
      <c r="AI107" s="1208" t="s">
        <v>110</v>
      </c>
      <c r="AJ107" s="1209">
        <v>0.2</v>
      </c>
      <c r="AK107" s="1209">
        <v>0.2</v>
      </c>
      <c r="AL107" s="1209">
        <v>0.2</v>
      </c>
      <c r="AM107" s="1209">
        <v>0.2</v>
      </c>
      <c r="AN107" s="1209">
        <v>0.2</v>
      </c>
      <c r="AO107" s="1209">
        <v>0.2</v>
      </c>
      <c r="AP107" s="1209">
        <v>0.2</v>
      </c>
      <c r="AQ107" s="1217">
        <v>0.2</v>
      </c>
      <c r="AR107" s="1209">
        <v>0.2</v>
      </c>
      <c r="AS107" s="1213">
        <v>0.2</v>
      </c>
      <c r="AT107" s="1214"/>
      <c r="AU107" s="1213"/>
      <c r="AV107" s="1213"/>
      <c r="AX107" s="1207" t="s">
        <v>1159</v>
      </c>
      <c r="AY107" s="1211" t="s">
        <v>108</v>
      </c>
      <c r="AZ107" s="1208" t="s">
        <v>110</v>
      </c>
      <c r="BA107" s="1213">
        <v>0.2</v>
      </c>
      <c r="BB107" s="1213">
        <v>0.2</v>
      </c>
      <c r="BC107" s="1213">
        <v>0.2</v>
      </c>
      <c r="BD107" s="1213">
        <v>0.2</v>
      </c>
      <c r="BE107" s="1213">
        <v>0.2</v>
      </c>
      <c r="BF107" s="1213">
        <v>0.2</v>
      </c>
      <c r="BG107" s="1213">
        <v>0.2</v>
      </c>
      <c r="BH107" s="1220">
        <v>0.2</v>
      </c>
      <c r="BI107" s="1213">
        <v>0.2</v>
      </c>
      <c r="BJ107" s="1213">
        <v>0.2</v>
      </c>
      <c r="BK107" s="1214"/>
      <c r="BL107" s="1213"/>
      <c r="BM107" s="1213"/>
      <c r="BO107" s="1207" t="s">
        <v>1159</v>
      </c>
      <c r="BP107" s="1211" t="s">
        <v>108</v>
      </c>
      <c r="BQ107" s="1208" t="s">
        <v>110</v>
      </c>
      <c r="BR107" s="1213">
        <v>0.2</v>
      </c>
      <c r="BS107" s="1213">
        <v>0.2</v>
      </c>
      <c r="BT107" s="1213">
        <v>0.2</v>
      </c>
      <c r="BU107" s="1213">
        <v>0.2</v>
      </c>
      <c r="BV107" s="1213">
        <v>0.2</v>
      </c>
      <c r="BW107" s="1213">
        <v>0.2</v>
      </c>
      <c r="BX107" s="1213">
        <v>0.2</v>
      </c>
      <c r="BY107" s="1220">
        <v>0.2</v>
      </c>
      <c r="BZ107" s="1213">
        <v>0.2</v>
      </c>
      <c r="CA107" s="1213">
        <v>0.2</v>
      </c>
      <c r="CB107" s="1214"/>
      <c r="CC107" s="1213"/>
      <c r="CD107" s="1213"/>
      <c r="CE107" s="1469"/>
      <c r="CG107" s="1207" t="s">
        <v>1159</v>
      </c>
      <c r="CH107" s="1211" t="s">
        <v>108</v>
      </c>
      <c r="CI107" s="1208" t="s">
        <v>110</v>
      </c>
      <c r="CJ107" s="1689">
        <v>0</v>
      </c>
      <c r="CK107" s="1689">
        <v>0</v>
      </c>
      <c r="CL107" s="1689">
        <v>0</v>
      </c>
      <c r="CM107" s="1689">
        <v>0</v>
      </c>
      <c r="CN107" s="1689">
        <v>0</v>
      </c>
      <c r="CO107" s="1689">
        <v>0</v>
      </c>
      <c r="CP107" s="1689">
        <v>0</v>
      </c>
      <c r="CQ107" s="1689">
        <v>0</v>
      </c>
      <c r="CR107" s="1689">
        <v>0</v>
      </c>
      <c r="CS107" s="1689">
        <v>0</v>
      </c>
      <c r="CT107" s="1689">
        <v>0</v>
      </c>
      <c r="CU107" s="1689">
        <v>0</v>
      </c>
      <c r="CV107" s="1689">
        <v>0</v>
      </c>
      <c r="CX107" s="1207" t="s">
        <v>1159</v>
      </c>
      <c r="CY107" s="1211" t="s">
        <v>108</v>
      </c>
      <c r="CZ107" s="1208" t="s">
        <v>110</v>
      </c>
      <c r="DA107" s="1814">
        <v>0.4</v>
      </c>
      <c r="DB107" s="1678"/>
      <c r="DC107" s="1678"/>
      <c r="DD107" s="1678"/>
      <c r="DE107" s="1678"/>
      <c r="DF107" s="1678"/>
      <c r="DG107" s="1678"/>
      <c r="DH107" s="1678"/>
      <c r="DI107" s="1678"/>
      <c r="DJ107" s="1678"/>
      <c r="DK107" s="1678"/>
      <c r="DL107" s="1678"/>
      <c r="DM107" s="1678"/>
    </row>
    <row r="108" spans="2:117">
      <c r="B108" s="1186" t="str">
        <f t="shared" si="116"/>
        <v>3.3.3</v>
      </c>
      <c r="C108" s="1208" t="str">
        <f t="shared" si="93"/>
        <v>電気配線の更新性</v>
      </c>
      <c r="D108" s="1196">
        <f t="shared" si="121"/>
        <v>0.1</v>
      </c>
      <c r="E108" s="1206">
        <f t="shared" si="121"/>
        <v>0</v>
      </c>
      <c r="G108" s="1206">
        <f t="shared" ref="G108:G145" si="122">K108*M108</f>
        <v>0.1</v>
      </c>
      <c r="H108" s="1206">
        <f t="shared" ref="H108:H145" si="123">L108*N108</f>
        <v>0</v>
      </c>
      <c r="I108" s="1206"/>
      <c r="J108" s="1206"/>
      <c r="K108" s="1206">
        <f>IF(スコア!Q108=0,0,1)</f>
        <v>1</v>
      </c>
      <c r="L108" s="1206">
        <f>IF(スコア!S108=0,0,1)</f>
        <v>0</v>
      </c>
      <c r="M108" s="1206">
        <f t="shared" ref="M108:M145" si="124">SUMPRODUCT($S$7:$AB$7,S108:AB108)</f>
        <v>0.1</v>
      </c>
      <c r="N108" s="1206">
        <f t="shared" si="120"/>
        <v>0</v>
      </c>
      <c r="P108" s="1207" t="str">
        <f t="shared" si="94"/>
        <v>3.3.3</v>
      </c>
      <c r="Q108" s="1207" t="str">
        <f t="shared" si="95"/>
        <v xml:space="preserve"> Q2 3.3</v>
      </c>
      <c r="R108" s="1208" t="str">
        <f t="shared" si="96"/>
        <v>電気配線の更新性</v>
      </c>
      <c r="S108" s="1747">
        <f t="shared" si="74"/>
        <v>0.1</v>
      </c>
      <c r="T108" s="1747">
        <f t="shared" si="75"/>
        <v>0.1</v>
      </c>
      <c r="U108" s="1747">
        <f t="shared" si="76"/>
        <v>0.1</v>
      </c>
      <c r="V108" s="1747">
        <f t="shared" si="77"/>
        <v>0.1</v>
      </c>
      <c r="W108" s="1747">
        <f t="shared" si="78"/>
        <v>0.1</v>
      </c>
      <c r="X108" s="1747">
        <f t="shared" si="79"/>
        <v>0.1</v>
      </c>
      <c r="Y108" s="1747">
        <f t="shared" si="80"/>
        <v>0.1</v>
      </c>
      <c r="Z108" s="1749">
        <f t="shared" si="81"/>
        <v>0.1</v>
      </c>
      <c r="AA108" s="1747">
        <f t="shared" si="82"/>
        <v>0.1</v>
      </c>
      <c r="AB108" s="1747">
        <f t="shared" si="83"/>
        <v>0.1</v>
      </c>
      <c r="AC108" s="1748">
        <f t="shared" si="84"/>
        <v>0</v>
      </c>
      <c r="AD108" s="1747">
        <f t="shared" si="85"/>
        <v>0</v>
      </c>
      <c r="AE108" s="1747">
        <f t="shared" si="86"/>
        <v>0</v>
      </c>
      <c r="AG108" s="1207" t="s">
        <v>1160</v>
      </c>
      <c r="AH108" s="1211" t="s">
        <v>108</v>
      </c>
      <c r="AI108" s="1208" t="s">
        <v>111</v>
      </c>
      <c r="AJ108" s="1209">
        <v>0.1</v>
      </c>
      <c r="AK108" s="1209">
        <v>0.1</v>
      </c>
      <c r="AL108" s="1209">
        <v>0.1</v>
      </c>
      <c r="AM108" s="1209">
        <v>0.1</v>
      </c>
      <c r="AN108" s="1209">
        <v>0.1</v>
      </c>
      <c r="AO108" s="1209">
        <v>0.1</v>
      </c>
      <c r="AP108" s="1209">
        <v>0.1</v>
      </c>
      <c r="AQ108" s="1217">
        <v>0.1</v>
      </c>
      <c r="AR108" s="1209">
        <v>0.1</v>
      </c>
      <c r="AS108" s="1213">
        <v>0.1</v>
      </c>
      <c r="AT108" s="1214"/>
      <c r="AU108" s="1213"/>
      <c r="AV108" s="1213"/>
      <c r="AX108" s="1207" t="s">
        <v>1160</v>
      </c>
      <c r="AY108" s="1211" t="s">
        <v>108</v>
      </c>
      <c r="AZ108" s="1208" t="s">
        <v>111</v>
      </c>
      <c r="BA108" s="1213">
        <v>0.1</v>
      </c>
      <c r="BB108" s="1213">
        <v>0.1</v>
      </c>
      <c r="BC108" s="1213">
        <v>0.1</v>
      </c>
      <c r="BD108" s="1213">
        <v>0.1</v>
      </c>
      <c r="BE108" s="1213">
        <v>0.1</v>
      </c>
      <c r="BF108" s="1213">
        <v>0.1</v>
      </c>
      <c r="BG108" s="1213">
        <v>0.1</v>
      </c>
      <c r="BH108" s="1220">
        <v>0.1</v>
      </c>
      <c r="BI108" s="1213">
        <v>0.1</v>
      </c>
      <c r="BJ108" s="1213">
        <v>0.1</v>
      </c>
      <c r="BK108" s="1214"/>
      <c r="BL108" s="1213"/>
      <c r="BM108" s="1213"/>
      <c r="BO108" s="1207" t="s">
        <v>1160</v>
      </c>
      <c r="BP108" s="1211" t="s">
        <v>108</v>
      </c>
      <c r="BQ108" s="1208" t="s">
        <v>111</v>
      </c>
      <c r="BR108" s="1213">
        <v>0.1</v>
      </c>
      <c r="BS108" s="1213">
        <v>0.1</v>
      </c>
      <c r="BT108" s="1213">
        <v>0.1</v>
      </c>
      <c r="BU108" s="1213">
        <v>0.1</v>
      </c>
      <c r="BV108" s="1213">
        <v>0.1</v>
      </c>
      <c r="BW108" s="1213">
        <v>0.1</v>
      </c>
      <c r="BX108" s="1213">
        <v>0.1</v>
      </c>
      <c r="BY108" s="1220">
        <v>0.1</v>
      </c>
      <c r="BZ108" s="1213">
        <v>0.1</v>
      </c>
      <c r="CA108" s="1213">
        <v>0.1</v>
      </c>
      <c r="CB108" s="1214"/>
      <c r="CC108" s="1213"/>
      <c r="CD108" s="1213"/>
      <c r="CE108" s="1469"/>
      <c r="CG108" s="1207" t="s">
        <v>1160</v>
      </c>
      <c r="CH108" s="1211" t="s">
        <v>108</v>
      </c>
      <c r="CI108" s="1208" t="s">
        <v>111</v>
      </c>
      <c r="CJ108" s="1689">
        <v>0</v>
      </c>
      <c r="CK108" s="1689">
        <v>0</v>
      </c>
      <c r="CL108" s="1689">
        <v>0</v>
      </c>
      <c r="CM108" s="1689">
        <v>0</v>
      </c>
      <c r="CN108" s="1689">
        <v>0</v>
      </c>
      <c r="CO108" s="1689">
        <v>0</v>
      </c>
      <c r="CP108" s="1689">
        <v>0</v>
      </c>
      <c r="CQ108" s="1689">
        <v>0</v>
      </c>
      <c r="CR108" s="1689">
        <v>0</v>
      </c>
      <c r="CS108" s="1689">
        <v>0</v>
      </c>
      <c r="CT108" s="1689">
        <v>0</v>
      </c>
      <c r="CU108" s="1689">
        <v>0</v>
      </c>
      <c r="CV108" s="1689">
        <v>0</v>
      </c>
      <c r="CX108" s="1207" t="s">
        <v>1160</v>
      </c>
      <c r="CY108" s="1211" t="s">
        <v>108</v>
      </c>
      <c r="CZ108" s="1208" t="s">
        <v>111</v>
      </c>
      <c r="DA108" s="1678">
        <f t="shared" si="115"/>
        <v>0.1</v>
      </c>
      <c r="DB108" s="1678"/>
      <c r="DC108" s="1678"/>
      <c r="DD108" s="1678"/>
      <c r="DE108" s="1678"/>
      <c r="DF108" s="1678"/>
      <c r="DG108" s="1678"/>
      <c r="DH108" s="1678"/>
      <c r="DI108" s="1678"/>
      <c r="DJ108" s="1678"/>
      <c r="DK108" s="1678"/>
      <c r="DL108" s="1678"/>
      <c r="DM108" s="1678"/>
    </row>
    <row r="109" spans="2:117">
      <c r="B109" s="1186" t="str">
        <f t="shared" si="116"/>
        <v>3.3.4</v>
      </c>
      <c r="C109" s="1208" t="str">
        <f t="shared" si="93"/>
        <v>通信配線の更新性</v>
      </c>
      <c r="D109" s="1196">
        <f t="shared" si="121"/>
        <v>0.1</v>
      </c>
      <c r="E109" s="1206">
        <f t="shared" si="121"/>
        <v>0</v>
      </c>
      <c r="G109" s="1206">
        <f t="shared" si="122"/>
        <v>0.1</v>
      </c>
      <c r="H109" s="1206">
        <f t="shared" si="123"/>
        <v>0</v>
      </c>
      <c r="I109" s="1206"/>
      <c r="J109" s="1206"/>
      <c r="K109" s="1206">
        <f>IF(スコア!Q109=0,0,1)</f>
        <v>1</v>
      </c>
      <c r="L109" s="1206">
        <f>IF(スコア!S109=0,0,1)</f>
        <v>0</v>
      </c>
      <c r="M109" s="1206">
        <f t="shared" si="124"/>
        <v>0.1</v>
      </c>
      <c r="N109" s="1206">
        <f t="shared" si="120"/>
        <v>0</v>
      </c>
      <c r="P109" s="1207" t="str">
        <f t="shared" si="94"/>
        <v>3.3.4</v>
      </c>
      <c r="Q109" s="1207" t="str">
        <f t="shared" si="95"/>
        <v xml:space="preserve"> Q2 3.3</v>
      </c>
      <c r="R109" s="1208" t="str">
        <f t="shared" si="96"/>
        <v>通信配線の更新性</v>
      </c>
      <c r="S109" s="1747">
        <f t="shared" si="74"/>
        <v>0.1</v>
      </c>
      <c r="T109" s="1747">
        <f t="shared" si="75"/>
        <v>0.1</v>
      </c>
      <c r="U109" s="1747">
        <f t="shared" si="76"/>
        <v>0.1</v>
      </c>
      <c r="V109" s="1747">
        <f t="shared" si="77"/>
        <v>0.1</v>
      </c>
      <c r="W109" s="1747">
        <f t="shared" si="78"/>
        <v>0.1</v>
      </c>
      <c r="X109" s="1747">
        <f t="shared" si="79"/>
        <v>0.1</v>
      </c>
      <c r="Y109" s="1747">
        <f t="shared" si="80"/>
        <v>0.1</v>
      </c>
      <c r="Z109" s="1749">
        <f t="shared" si="81"/>
        <v>0.1</v>
      </c>
      <c r="AA109" s="1747">
        <f t="shared" si="82"/>
        <v>0.1</v>
      </c>
      <c r="AB109" s="1747">
        <f t="shared" si="83"/>
        <v>0.1</v>
      </c>
      <c r="AC109" s="1748">
        <f t="shared" si="84"/>
        <v>0</v>
      </c>
      <c r="AD109" s="1747">
        <f t="shared" si="85"/>
        <v>0</v>
      </c>
      <c r="AE109" s="1747">
        <f t="shared" si="86"/>
        <v>0</v>
      </c>
      <c r="AG109" s="1207" t="s">
        <v>1161</v>
      </c>
      <c r="AH109" s="1211" t="s">
        <v>108</v>
      </c>
      <c r="AI109" s="1208" t="s">
        <v>112</v>
      </c>
      <c r="AJ109" s="1209">
        <v>0.1</v>
      </c>
      <c r="AK109" s="1209">
        <v>0.1</v>
      </c>
      <c r="AL109" s="1209">
        <v>0.1</v>
      </c>
      <c r="AM109" s="1209">
        <v>0.1</v>
      </c>
      <c r="AN109" s="1209">
        <v>0.1</v>
      </c>
      <c r="AO109" s="1209">
        <v>0.1</v>
      </c>
      <c r="AP109" s="1209">
        <v>0.1</v>
      </c>
      <c r="AQ109" s="1217">
        <v>0.1</v>
      </c>
      <c r="AR109" s="1209">
        <v>0.1</v>
      </c>
      <c r="AS109" s="1213">
        <v>0.1</v>
      </c>
      <c r="AT109" s="1214"/>
      <c r="AU109" s="1213"/>
      <c r="AV109" s="1213"/>
      <c r="AX109" s="1207" t="s">
        <v>1161</v>
      </c>
      <c r="AY109" s="1211" t="s">
        <v>108</v>
      </c>
      <c r="AZ109" s="1208" t="s">
        <v>112</v>
      </c>
      <c r="BA109" s="1213">
        <v>0.1</v>
      </c>
      <c r="BB109" s="1213">
        <v>0.1</v>
      </c>
      <c r="BC109" s="1213">
        <v>0.1</v>
      </c>
      <c r="BD109" s="1213">
        <v>0.1</v>
      </c>
      <c r="BE109" s="1213">
        <v>0.1</v>
      </c>
      <c r="BF109" s="1213">
        <v>0.1</v>
      </c>
      <c r="BG109" s="1213">
        <v>0.1</v>
      </c>
      <c r="BH109" s="1220">
        <v>0.1</v>
      </c>
      <c r="BI109" s="1213">
        <v>0.1</v>
      </c>
      <c r="BJ109" s="1213">
        <v>0.1</v>
      </c>
      <c r="BK109" s="1214"/>
      <c r="BL109" s="1213"/>
      <c r="BM109" s="1213"/>
      <c r="BO109" s="1207" t="s">
        <v>1161</v>
      </c>
      <c r="BP109" s="1211" t="s">
        <v>108</v>
      </c>
      <c r="BQ109" s="1208" t="s">
        <v>112</v>
      </c>
      <c r="BR109" s="1213">
        <v>0.1</v>
      </c>
      <c r="BS109" s="1213">
        <v>0.1</v>
      </c>
      <c r="BT109" s="1213">
        <v>0.1</v>
      </c>
      <c r="BU109" s="1213">
        <v>0.1</v>
      </c>
      <c r="BV109" s="1213">
        <v>0.1</v>
      </c>
      <c r="BW109" s="1213">
        <v>0.1</v>
      </c>
      <c r="BX109" s="1213">
        <v>0.1</v>
      </c>
      <c r="BY109" s="1220">
        <v>0.1</v>
      </c>
      <c r="BZ109" s="1213">
        <v>0.1</v>
      </c>
      <c r="CA109" s="1213">
        <v>0.1</v>
      </c>
      <c r="CB109" s="1214"/>
      <c r="CC109" s="1213"/>
      <c r="CD109" s="1213"/>
      <c r="CE109" s="1469"/>
      <c r="CG109" s="1207" t="s">
        <v>1161</v>
      </c>
      <c r="CH109" s="1211" t="s">
        <v>108</v>
      </c>
      <c r="CI109" s="1208" t="s">
        <v>112</v>
      </c>
      <c r="CJ109" s="1689">
        <v>0</v>
      </c>
      <c r="CK109" s="1689">
        <v>0</v>
      </c>
      <c r="CL109" s="1689">
        <v>0</v>
      </c>
      <c r="CM109" s="1689">
        <v>0</v>
      </c>
      <c r="CN109" s="1689">
        <v>0</v>
      </c>
      <c r="CO109" s="1689">
        <v>0</v>
      </c>
      <c r="CP109" s="1689">
        <v>0</v>
      </c>
      <c r="CQ109" s="1689">
        <v>0</v>
      </c>
      <c r="CR109" s="1689">
        <v>0</v>
      </c>
      <c r="CS109" s="1689">
        <v>0</v>
      </c>
      <c r="CT109" s="1689">
        <v>0</v>
      </c>
      <c r="CU109" s="1689">
        <v>0</v>
      </c>
      <c r="CV109" s="1689">
        <v>0</v>
      </c>
      <c r="CX109" s="1207" t="s">
        <v>1161</v>
      </c>
      <c r="CY109" s="1211" t="s">
        <v>108</v>
      </c>
      <c r="CZ109" s="1208" t="s">
        <v>112</v>
      </c>
      <c r="DA109" s="1678">
        <f t="shared" si="115"/>
        <v>0.1</v>
      </c>
      <c r="DB109" s="1678"/>
      <c r="DC109" s="1678"/>
      <c r="DD109" s="1678"/>
      <c r="DE109" s="1678"/>
      <c r="DF109" s="1678"/>
      <c r="DG109" s="1678"/>
      <c r="DH109" s="1678"/>
      <c r="DI109" s="1678"/>
      <c r="DJ109" s="1678"/>
      <c r="DK109" s="1678"/>
      <c r="DL109" s="1678"/>
      <c r="DM109" s="1678"/>
    </row>
    <row r="110" spans="2:117">
      <c r="B110" s="1186" t="str">
        <f t="shared" ref="B110:B147" si="125">P110</f>
        <v>3.3.5</v>
      </c>
      <c r="C110" s="1208" t="str">
        <f t="shared" si="93"/>
        <v>設備機器の更新性</v>
      </c>
      <c r="D110" s="1196">
        <f>IF(I$105&gt;0,G110/I$105,0)</f>
        <v>0.2</v>
      </c>
      <c r="E110" s="1206">
        <f t="shared" si="121"/>
        <v>0</v>
      </c>
      <c r="G110" s="1206">
        <f t="shared" si="122"/>
        <v>0.2</v>
      </c>
      <c r="H110" s="1206">
        <f t="shared" si="123"/>
        <v>0</v>
      </c>
      <c r="I110" s="1206"/>
      <c r="J110" s="1206"/>
      <c r="K110" s="1206">
        <f>IF(スコア!Q110=0,0,1)</f>
        <v>1</v>
      </c>
      <c r="L110" s="1206">
        <f>IF(スコア!S110=0,0,1)</f>
        <v>0</v>
      </c>
      <c r="M110" s="1206">
        <f t="shared" si="124"/>
        <v>0.2</v>
      </c>
      <c r="N110" s="1206">
        <f t="shared" si="120"/>
        <v>0</v>
      </c>
      <c r="P110" s="1207" t="str">
        <f t="shared" si="94"/>
        <v>3.3.5</v>
      </c>
      <c r="Q110" s="1207" t="str">
        <f t="shared" si="95"/>
        <v xml:space="preserve"> Q2 3.3</v>
      </c>
      <c r="R110" s="1208" t="str">
        <f t="shared" si="96"/>
        <v>設備機器の更新性</v>
      </c>
      <c r="S110" s="1747">
        <f t="shared" si="74"/>
        <v>0.2</v>
      </c>
      <c r="T110" s="1747">
        <f t="shared" si="75"/>
        <v>0.2</v>
      </c>
      <c r="U110" s="1747">
        <f t="shared" si="76"/>
        <v>0.2</v>
      </c>
      <c r="V110" s="1747">
        <f t="shared" si="77"/>
        <v>0.2</v>
      </c>
      <c r="W110" s="1747">
        <f t="shared" si="78"/>
        <v>0.2</v>
      </c>
      <c r="X110" s="1747">
        <f t="shared" si="79"/>
        <v>0.2</v>
      </c>
      <c r="Y110" s="1747">
        <f t="shared" si="80"/>
        <v>0.2</v>
      </c>
      <c r="Z110" s="1749">
        <f t="shared" si="81"/>
        <v>0.2</v>
      </c>
      <c r="AA110" s="1747">
        <f t="shared" si="82"/>
        <v>0.2</v>
      </c>
      <c r="AB110" s="1747">
        <f t="shared" si="83"/>
        <v>0.2</v>
      </c>
      <c r="AC110" s="1748">
        <f t="shared" si="84"/>
        <v>0</v>
      </c>
      <c r="AD110" s="1747">
        <f t="shared" si="85"/>
        <v>0</v>
      </c>
      <c r="AE110" s="1747">
        <f t="shared" si="86"/>
        <v>0</v>
      </c>
      <c r="AG110" s="1207" t="s">
        <v>1162</v>
      </c>
      <c r="AH110" s="1211" t="s">
        <v>108</v>
      </c>
      <c r="AI110" s="1208" t="s">
        <v>113</v>
      </c>
      <c r="AJ110" s="1209">
        <v>0.2</v>
      </c>
      <c r="AK110" s="1209">
        <v>0.2</v>
      </c>
      <c r="AL110" s="1209">
        <v>0.2</v>
      </c>
      <c r="AM110" s="1209">
        <v>0.2</v>
      </c>
      <c r="AN110" s="1209">
        <v>0.2</v>
      </c>
      <c r="AO110" s="1209">
        <v>0.2</v>
      </c>
      <c r="AP110" s="1209">
        <v>0.2</v>
      </c>
      <c r="AQ110" s="1217">
        <v>0.2</v>
      </c>
      <c r="AR110" s="1209">
        <v>0.2</v>
      </c>
      <c r="AS110" s="1213">
        <v>0.2</v>
      </c>
      <c r="AT110" s="1214"/>
      <c r="AU110" s="1213"/>
      <c r="AV110" s="1213"/>
      <c r="AX110" s="1207" t="s">
        <v>1162</v>
      </c>
      <c r="AY110" s="1211" t="s">
        <v>108</v>
      </c>
      <c r="AZ110" s="1208" t="s">
        <v>113</v>
      </c>
      <c r="BA110" s="1213">
        <v>0.2</v>
      </c>
      <c r="BB110" s="1213">
        <v>0.2</v>
      </c>
      <c r="BC110" s="1213">
        <v>0.2</v>
      </c>
      <c r="BD110" s="1213">
        <v>0.2</v>
      </c>
      <c r="BE110" s="1213">
        <v>0.2</v>
      </c>
      <c r="BF110" s="1213">
        <v>0.2</v>
      </c>
      <c r="BG110" s="1213">
        <v>0.2</v>
      </c>
      <c r="BH110" s="1220">
        <v>0.2</v>
      </c>
      <c r="BI110" s="1213">
        <v>0.2</v>
      </c>
      <c r="BJ110" s="1213">
        <v>0.2</v>
      </c>
      <c r="BK110" s="1214"/>
      <c r="BL110" s="1213"/>
      <c r="BM110" s="1213"/>
      <c r="BO110" s="1207" t="s">
        <v>1162</v>
      </c>
      <c r="BP110" s="1211" t="s">
        <v>108</v>
      </c>
      <c r="BQ110" s="1208" t="s">
        <v>113</v>
      </c>
      <c r="BR110" s="1213">
        <v>0.2</v>
      </c>
      <c r="BS110" s="1213">
        <v>0.2</v>
      </c>
      <c r="BT110" s="1213">
        <v>0.2</v>
      </c>
      <c r="BU110" s="1213">
        <v>0.2</v>
      </c>
      <c r="BV110" s="1213">
        <v>0.2</v>
      </c>
      <c r="BW110" s="1213">
        <v>0.2</v>
      </c>
      <c r="BX110" s="1213">
        <v>0.2</v>
      </c>
      <c r="BY110" s="1220">
        <v>0.2</v>
      </c>
      <c r="BZ110" s="1213">
        <v>0.2</v>
      </c>
      <c r="CA110" s="1213">
        <v>0.2</v>
      </c>
      <c r="CB110" s="1214"/>
      <c r="CC110" s="1213"/>
      <c r="CD110" s="1213"/>
      <c r="CE110" s="1469"/>
      <c r="CG110" s="1207" t="s">
        <v>1162</v>
      </c>
      <c r="CH110" s="1211" t="s">
        <v>108</v>
      </c>
      <c r="CI110" s="1208" t="s">
        <v>113</v>
      </c>
      <c r="CJ110" s="1689">
        <v>0</v>
      </c>
      <c r="CK110" s="1689">
        <v>0</v>
      </c>
      <c r="CL110" s="1689">
        <v>0</v>
      </c>
      <c r="CM110" s="1689">
        <v>0</v>
      </c>
      <c r="CN110" s="1689">
        <v>0</v>
      </c>
      <c r="CO110" s="1689">
        <v>0</v>
      </c>
      <c r="CP110" s="1689">
        <v>0</v>
      </c>
      <c r="CQ110" s="1689">
        <v>0</v>
      </c>
      <c r="CR110" s="1689">
        <v>0</v>
      </c>
      <c r="CS110" s="1689">
        <v>0</v>
      </c>
      <c r="CT110" s="1689">
        <v>0</v>
      </c>
      <c r="CU110" s="1689">
        <v>0</v>
      </c>
      <c r="CV110" s="1689">
        <v>0</v>
      </c>
      <c r="CX110" s="1207" t="s">
        <v>1162</v>
      </c>
      <c r="CY110" s="1211" t="s">
        <v>108</v>
      </c>
      <c r="CZ110" s="1208" t="s">
        <v>113</v>
      </c>
      <c r="DA110" s="1678">
        <f t="shared" si="115"/>
        <v>0.2</v>
      </c>
      <c r="DB110" s="1678"/>
      <c r="DC110" s="1678"/>
      <c r="DD110" s="1678"/>
      <c r="DE110" s="1678"/>
      <c r="DF110" s="1678"/>
      <c r="DG110" s="1678"/>
      <c r="DH110" s="1678"/>
      <c r="DI110" s="1678"/>
      <c r="DJ110" s="1678"/>
      <c r="DK110" s="1678"/>
      <c r="DL110" s="1678"/>
      <c r="DM110" s="1678"/>
    </row>
    <row r="111" spans="2:117">
      <c r="B111" s="1186" t="str">
        <f t="shared" si="125"/>
        <v>3.3.6</v>
      </c>
      <c r="C111" s="1208" t="str">
        <f t="shared" si="93"/>
        <v>バックアップスペースの確保</v>
      </c>
      <c r="D111" s="1196">
        <f t="shared" si="121"/>
        <v>0.2</v>
      </c>
      <c r="E111" s="1206">
        <f t="shared" si="121"/>
        <v>0</v>
      </c>
      <c r="G111" s="1206">
        <f t="shared" si="122"/>
        <v>0.2</v>
      </c>
      <c r="H111" s="1206">
        <f t="shared" si="123"/>
        <v>0</v>
      </c>
      <c r="I111" s="1206"/>
      <c r="J111" s="1206"/>
      <c r="K111" s="1206">
        <f>IF(スコア!Q111=0,0,1)</f>
        <v>1</v>
      </c>
      <c r="L111" s="1206">
        <f>IF(スコア!S111=0,0,1)</f>
        <v>0</v>
      </c>
      <c r="M111" s="1206">
        <f t="shared" si="124"/>
        <v>0.2</v>
      </c>
      <c r="N111" s="1206">
        <f t="shared" si="120"/>
        <v>0</v>
      </c>
      <c r="P111" s="1207" t="str">
        <f t="shared" si="94"/>
        <v>3.3.6</v>
      </c>
      <c r="Q111" s="1207" t="str">
        <f t="shared" si="95"/>
        <v xml:space="preserve"> Q2 3.3</v>
      </c>
      <c r="R111" s="1208" t="str">
        <f t="shared" si="96"/>
        <v>バックアップスペースの確保</v>
      </c>
      <c r="S111" s="1747">
        <f t="shared" si="74"/>
        <v>0.2</v>
      </c>
      <c r="T111" s="1747">
        <f t="shared" si="75"/>
        <v>0.2</v>
      </c>
      <c r="U111" s="1747">
        <f t="shared" si="76"/>
        <v>0.2</v>
      </c>
      <c r="V111" s="1747">
        <f t="shared" si="77"/>
        <v>0.2</v>
      </c>
      <c r="W111" s="1747">
        <f t="shared" si="78"/>
        <v>0.2</v>
      </c>
      <c r="X111" s="1747">
        <f t="shared" si="79"/>
        <v>0.2</v>
      </c>
      <c r="Y111" s="1747">
        <f t="shared" si="80"/>
        <v>0.2</v>
      </c>
      <c r="Z111" s="1749">
        <f t="shared" si="81"/>
        <v>0.2</v>
      </c>
      <c r="AA111" s="1747">
        <f t="shared" si="82"/>
        <v>0.2</v>
      </c>
      <c r="AB111" s="1747">
        <f t="shared" si="83"/>
        <v>0.2</v>
      </c>
      <c r="AC111" s="1748">
        <f t="shared" si="84"/>
        <v>0</v>
      </c>
      <c r="AD111" s="1747">
        <f t="shared" si="85"/>
        <v>0</v>
      </c>
      <c r="AE111" s="1747">
        <f t="shared" si="86"/>
        <v>0</v>
      </c>
      <c r="AG111" s="1207" t="s">
        <v>1163</v>
      </c>
      <c r="AH111" s="1211" t="s">
        <v>108</v>
      </c>
      <c r="AI111" s="1208" t="s">
        <v>1043</v>
      </c>
      <c r="AJ111" s="1209">
        <v>0.2</v>
      </c>
      <c r="AK111" s="1209">
        <v>0.2</v>
      </c>
      <c r="AL111" s="1209">
        <v>0.2</v>
      </c>
      <c r="AM111" s="1209">
        <v>0.2</v>
      </c>
      <c r="AN111" s="1209">
        <v>0.2</v>
      </c>
      <c r="AO111" s="1209">
        <v>0.2</v>
      </c>
      <c r="AP111" s="1209">
        <v>0.2</v>
      </c>
      <c r="AQ111" s="1217">
        <v>0.2</v>
      </c>
      <c r="AR111" s="1209">
        <v>0.2</v>
      </c>
      <c r="AS111" s="1213">
        <v>0.2</v>
      </c>
      <c r="AT111" s="1214"/>
      <c r="AU111" s="1213"/>
      <c r="AV111" s="1213"/>
      <c r="AX111" s="1207" t="s">
        <v>1163</v>
      </c>
      <c r="AY111" s="1211" t="s">
        <v>108</v>
      </c>
      <c r="AZ111" s="1208" t="s">
        <v>1712</v>
      </c>
      <c r="BA111" s="1213">
        <v>0.2</v>
      </c>
      <c r="BB111" s="1213">
        <v>0.2</v>
      </c>
      <c r="BC111" s="1213">
        <v>0.2</v>
      </c>
      <c r="BD111" s="1213">
        <v>0.2</v>
      </c>
      <c r="BE111" s="1213">
        <v>0.2</v>
      </c>
      <c r="BF111" s="1213">
        <v>0.2</v>
      </c>
      <c r="BG111" s="1213">
        <v>0.2</v>
      </c>
      <c r="BH111" s="1220">
        <v>0.2</v>
      </c>
      <c r="BI111" s="1213">
        <v>0.2</v>
      </c>
      <c r="BJ111" s="1213">
        <v>0.2</v>
      </c>
      <c r="BK111" s="1214"/>
      <c r="BL111" s="1213"/>
      <c r="BM111" s="1213"/>
      <c r="BO111" s="1207" t="s">
        <v>1163</v>
      </c>
      <c r="BP111" s="1211" t="s">
        <v>108</v>
      </c>
      <c r="BQ111" s="1208" t="s">
        <v>1043</v>
      </c>
      <c r="BR111" s="1213">
        <v>0.2</v>
      </c>
      <c r="BS111" s="1213">
        <v>0.2</v>
      </c>
      <c r="BT111" s="1213">
        <v>0.2</v>
      </c>
      <c r="BU111" s="1213">
        <v>0.2</v>
      </c>
      <c r="BV111" s="1213">
        <v>0.2</v>
      </c>
      <c r="BW111" s="1213">
        <v>0.2</v>
      </c>
      <c r="BX111" s="1213">
        <v>0.2</v>
      </c>
      <c r="BY111" s="1220">
        <v>0.2</v>
      </c>
      <c r="BZ111" s="1213">
        <v>0.2</v>
      </c>
      <c r="CA111" s="1213">
        <v>0.2</v>
      </c>
      <c r="CB111" s="1214"/>
      <c r="CC111" s="1213"/>
      <c r="CD111" s="1213"/>
      <c r="CE111" s="1469"/>
      <c r="CG111" s="1207" t="s">
        <v>1163</v>
      </c>
      <c r="CH111" s="1211" t="s">
        <v>108</v>
      </c>
      <c r="CI111" s="1208" t="s">
        <v>1043</v>
      </c>
      <c r="CJ111" s="1689">
        <v>0</v>
      </c>
      <c r="CK111" s="1689">
        <v>0</v>
      </c>
      <c r="CL111" s="1689">
        <v>0</v>
      </c>
      <c r="CM111" s="1689">
        <v>0</v>
      </c>
      <c r="CN111" s="1689">
        <v>0</v>
      </c>
      <c r="CO111" s="1689">
        <v>0</v>
      </c>
      <c r="CP111" s="1689">
        <v>0</v>
      </c>
      <c r="CQ111" s="1689">
        <v>0</v>
      </c>
      <c r="CR111" s="1689">
        <v>0</v>
      </c>
      <c r="CS111" s="1689">
        <v>0</v>
      </c>
      <c r="CT111" s="1689">
        <v>0</v>
      </c>
      <c r="CU111" s="1689">
        <v>0</v>
      </c>
      <c r="CV111" s="1689">
        <v>0</v>
      </c>
      <c r="CX111" s="1207" t="s">
        <v>1163</v>
      </c>
      <c r="CY111" s="1211" t="s">
        <v>108</v>
      </c>
      <c r="CZ111" s="1208" t="s">
        <v>1043</v>
      </c>
      <c r="DA111" s="1678">
        <f t="shared" si="115"/>
        <v>0.2</v>
      </c>
      <c r="DB111" s="1678"/>
      <c r="DC111" s="1678"/>
      <c r="DD111" s="1678"/>
      <c r="DE111" s="1678"/>
      <c r="DF111" s="1678"/>
      <c r="DG111" s="1678"/>
      <c r="DH111" s="1678"/>
      <c r="DI111" s="1678"/>
      <c r="DJ111" s="1678"/>
      <c r="DK111" s="1678"/>
      <c r="DL111" s="1678"/>
      <c r="DM111" s="1678"/>
    </row>
    <row r="112" spans="2:117">
      <c r="B112" s="1186" t="str">
        <f t="shared" si="125"/>
        <v>Q3</v>
      </c>
      <c r="C112" s="1189" t="str">
        <f t="shared" si="93"/>
        <v>室外環境（敷地内）</v>
      </c>
      <c r="D112" s="1187">
        <f>IF(I$8=0,0,G112/I$8)</f>
        <v>0.3</v>
      </c>
      <c r="E112" s="1188">
        <f>IF(J$8=0,0,H112/J$8)</f>
        <v>0</v>
      </c>
      <c r="G112" s="1188">
        <f t="shared" si="122"/>
        <v>0.3</v>
      </c>
      <c r="H112" s="1188">
        <f t="shared" si="123"/>
        <v>0</v>
      </c>
      <c r="I112" s="1188">
        <f>G113+G116+G117+G114</f>
        <v>1</v>
      </c>
      <c r="J112" s="1188">
        <f>H113+H116+H117+H114</f>
        <v>0</v>
      </c>
      <c r="K112" s="1188">
        <f>IF(スコア!U112=0,0,1)</f>
        <v>1</v>
      </c>
      <c r="L112" s="1188">
        <f>IF(スコア!S112=0,0,1)</f>
        <v>0</v>
      </c>
      <c r="M112" s="1188">
        <f t="shared" si="124"/>
        <v>0.3</v>
      </c>
      <c r="N112" s="1188">
        <f t="shared" si="120"/>
        <v>0</v>
      </c>
      <c r="P112" s="1186" t="str">
        <f t="shared" si="94"/>
        <v>Q3</v>
      </c>
      <c r="Q112" s="1186" t="str">
        <f t="shared" si="95"/>
        <v xml:space="preserve"> Q</v>
      </c>
      <c r="R112" s="1189" t="str">
        <f t="shared" si="96"/>
        <v>室外環境（敷地内）</v>
      </c>
      <c r="S112" s="1741">
        <f t="shared" si="74"/>
        <v>0.3</v>
      </c>
      <c r="T112" s="1741">
        <f t="shared" si="75"/>
        <v>0.3</v>
      </c>
      <c r="U112" s="1741">
        <f t="shared" si="76"/>
        <v>0.3</v>
      </c>
      <c r="V112" s="1741">
        <f t="shared" si="77"/>
        <v>0.3</v>
      </c>
      <c r="W112" s="1741">
        <f t="shared" si="78"/>
        <v>0.3</v>
      </c>
      <c r="X112" s="1741">
        <f t="shared" si="79"/>
        <v>0.3</v>
      </c>
      <c r="Y112" s="1741">
        <f t="shared" si="80"/>
        <v>0.3</v>
      </c>
      <c r="Z112" s="1741">
        <f t="shared" si="81"/>
        <v>0.3</v>
      </c>
      <c r="AA112" s="1741">
        <f t="shared" si="82"/>
        <v>0.4</v>
      </c>
      <c r="AB112" s="1741">
        <f t="shared" si="83"/>
        <v>0.3</v>
      </c>
      <c r="AC112" s="1743">
        <f t="shared" si="84"/>
        <v>0</v>
      </c>
      <c r="AD112" s="1741">
        <f t="shared" si="85"/>
        <v>0</v>
      </c>
      <c r="AE112" s="1741">
        <f t="shared" si="86"/>
        <v>0</v>
      </c>
      <c r="AG112" s="1186" t="s">
        <v>1164</v>
      </c>
      <c r="AH112" s="1191" t="s">
        <v>792</v>
      </c>
      <c r="AI112" s="1189" t="s">
        <v>1165</v>
      </c>
      <c r="AJ112" s="1190">
        <v>0.3</v>
      </c>
      <c r="AK112" s="1190">
        <v>0.3</v>
      </c>
      <c r="AL112" s="1190">
        <v>0.3</v>
      </c>
      <c r="AM112" s="1190">
        <v>0.3</v>
      </c>
      <c r="AN112" s="1190">
        <v>0.3</v>
      </c>
      <c r="AO112" s="1190">
        <v>0.3</v>
      </c>
      <c r="AP112" s="1190">
        <v>0.3</v>
      </c>
      <c r="AQ112" s="1190">
        <v>0.3</v>
      </c>
      <c r="AR112" s="1190">
        <v>0.4</v>
      </c>
      <c r="AS112" s="1192">
        <v>0.3</v>
      </c>
      <c r="AT112" s="1193">
        <v>0</v>
      </c>
      <c r="AU112" s="1192">
        <v>0</v>
      </c>
      <c r="AV112" s="1192">
        <v>0</v>
      </c>
      <c r="AX112" s="1186" t="s">
        <v>1164</v>
      </c>
      <c r="AY112" s="1191" t="s">
        <v>792</v>
      </c>
      <c r="AZ112" s="1189" t="s">
        <v>1165</v>
      </c>
      <c r="BA112" s="1192">
        <v>0.3</v>
      </c>
      <c r="BB112" s="1192">
        <v>0.3</v>
      </c>
      <c r="BC112" s="1192">
        <v>0.3</v>
      </c>
      <c r="BD112" s="1192">
        <v>0.3</v>
      </c>
      <c r="BE112" s="1192">
        <v>0.3</v>
      </c>
      <c r="BF112" s="1192">
        <v>0.3</v>
      </c>
      <c r="BG112" s="1192">
        <v>0.3</v>
      </c>
      <c r="BH112" s="1192">
        <v>0.3</v>
      </c>
      <c r="BI112" s="1192">
        <v>0.4</v>
      </c>
      <c r="BJ112" s="1192">
        <v>0.3</v>
      </c>
      <c r="BK112" s="1193"/>
      <c r="BL112" s="1192"/>
      <c r="BM112" s="1192"/>
      <c r="BO112" s="1186" t="s">
        <v>1164</v>
      </c>
      <c r="BP112" s="1191" t="s">
        <v>792</v>
      </c>
      <c r="BQ112" s="1189" t="s">
        <v>1165</v>
      </c>
      <c r="BR112" s="1192">
        <v>0.3</v>
      </c>
      <c r="BS112" s="1192">
        <v>0.3</v>
      </c>
      <c r="BT112" s="1192">
        <v>0.3</v>
      </c>
      <c r="BU112" s="1192">
        <v>0.3</v>
      </c>
      <c r="BV112" s="1192">
        <v>0.3</v>
      </c>
      <c r="BW112" s="1192">
        <v>0.3</v>
      </c>
      <c r="BX112" s="1192">
        <v>0.3</v>
      </c>
      <c r="BY112" s="1192">
        <v>0.3</v>
      </c>
      <c r="BZ112" s="1192">
        <v>0.4</v>
      </c>
      <c r="CA112" s="1192">
        <v>0.3</v>
      </c>
      <c r="CB112" s="1193"/>
      <c r="CC112" s="1192"/>
      <c r="CD112" s="1192"/>
      <c r="CE112" s="1467"/>
      <c r="CG112" s="1186" t="s">
        <v>619</v>
      </c>
      <c r="CH112" s="1191" t="s">
        <v>792</v>
      </c>
      <c r="CI112" s="1189" t="s">
        <v>1165</v>
      </c>
      <c r="CJ112" s="1674">
        <v>0.35</v>
      </c>
      <c r="CK112" s="1674">
        <v>0.35</v>
      </c>
      <c r="CL112" s="1674">
        <v>0.35</v>
      </c>
      <c r="CM112" s="1674">
        <v>0.35</v>
      </c>
      <c r="CN112" s="1674">
        <v>0.35</v>
      </c>
      <c r="CO112" s="1674">
        <v>0.35</v>
      </c>
      <c r="CP112" s="1674">
        <v>0.35</v>
      </c>
      <c r="CQ112" s="1674">
        <v>0.35</v>
      </c>
      <c r="CR112" s="1674">
        <v>0.5</v>
      </c>
      <c r="CS112" s="1674">
        <v>0.35</v>
      </c>
      <c r="CT112" s="1675">
        <f t="shared" si="111"/>
        <v>0</v>
      </c>
      <c r="CU112" s="1674">
        <f t="shared" si="112"/>
        <v>0</v>
      </c>
      <c r="CV112" s="1674">
        <f t="shared" si="113"/>
        <v>0</v>
      </c>
      <c r="CX112" s="1186" t="s">
        <v>619</v>
      </c>
      <c r="CY112" s="1191" t="s">
        <v>792</v>
      </c>
      <c r="CZ112" s="1189" t="s">
        <v>1165</v>
      </c>
      <c r="DA112" s="1813">
        <v>0.1</v>
      </c>
      <c r="DB112" s="1674"/>
      <c r="DC112" s="1674"/>
      <c r="DD112" s="1674"/>
      <c r="DE112" s="1674"/>
      <c r="DF112" s="1674"/>
      <c r="DG112" s="1674"/>
      <c r="DH112" s="1674"/>
      <c r="DI112" s="1674"/>
      <c r="DJ112" s="1674"/>
      <c r="DK112" s="1675"/>
      <c r="DL112" s="1674"/>
      <c r="DM112" s="1674"/>
    </row>
    <row r="113" spans="2:117">
      <c r="B113" s="1186">
        <f t="shared" si="125"/>
        <v>1</v>
      </c>
      <c r="C113" s="1198" t="str">
        <f t="shared" si="93"/>
        <v>生物資源の保全と創出</v>
      </c>
      <c r="D113" s="1194">
        <f>IF(I$112=0,0,G113/I$112)</f>
        <v>0.3</v>
      </c>
      <c r="E113" s="1195">
        <f t="shared" ref="D113:E117" si="126">IF(J$112=0,0,H113/J$112)</f>
        <v>0</v>
      </c>
      <c r="G113" s="1195">
        <f t="shared" si="122"/>
        <v>0.3</v>
      </c>
      <c r="H113" s="1195">
        <f t="shared" si="123"/>
        <v>0</v>
      </c>
      <c r="I113" s="1195"/>
      <c r="J113" s="1195"/>
      <c r="K113" s="1195">
        <f>IF(スコア!Q113=0,0,1)</f>
        <v>1</v>
      </c>
      <c r="L113" s="1195">
        <f>IF(スコア!S113=0,0,1)</f>
        <v>0</v>
      </c>
      <c r="M113" s="1195">
        <f t="shared" si="124"/>
        <v>0.3</v>
      </c>
      <c r="N113" s="1195">
        <f t="shared" si="120"/>
        <v>0</v>
      </c>
      <c r="P113" s="1197">
        <f t="shared" si="94"/>
        <v>1</v>
      </c>
      <c r="Q113" s="1197" t="str">
        <f t="shared" si="95"/>
        <v xml:space="preserve"> Q3</v>
      </c>
      <c r="R113" s="1198" t="str">
        <f t="shared" si="96"/>
        <v>生物資源の保全と創出</v>
      </c>
      <c r="S113" s="1744">
        <f t="shared" si="74"/>
        <v>0.3</v>
      </c>
      <c r="T113" s="1744">
        <f t="shared" si="75"/>
        <v>0.3</v>
      </c>
      <c r="U113" s="1744">
        <f t="shared" si="76"/>
        <v>0.3</v>
      </c>
      <c r="V113" s="1744">
        <f t="shared" si="77"/>
        <v>0.3</v>
      </c>
      <c r="W113" s="1744">
        <f t="shared" si="78"/>
        <v>0.3</v>
      </c>
      <c r="X113" s="1744">
        <f t="shared" si="79"/>
        <v>0.3</v>
      </c>
      <c r="Y113" s="1744">
        <f t="shared" si="80"/>
        <v>0.3</v>
      </c>
      <c r="Z113" s="1758">
        <f t="shared" si="81"/>
        <v>0.3</v>
      </c>
      <c r="AA113" s="1744">
        <f t="shared" si="82"/>
        <v>0.3</v>
      </c>
      <c r="AB113" s="1744">
        <f t="shared" si="83"/>
        <v>0.3</v>
      </c>
      <c r="AC113" s="1746">
        <f t="shared" si="84"/>
        <v>0</v>
      </c>
      <c r="AD113" s="1744">
        <f t="shared" si="85"/>
        <v>0</v>
      </c>
      <c r="AE113" s="1744">
        <f t="shared" si="86"/>
        <v>0</v>
      </c>
      <c r="AG113" s="1197">
        <v>1</v>
      </c>
      <c r="AH113" s="1201" t="s">
        <v>114</v>
      </c>
      <c r="AI113" s="1198" t="s">
        <v>115</v>
      </c>
      <c r="AJ113" s="1199">
        <v>0.3</v>
      </c>
      <c r="AK113" s="1199">
        <v>0.3</v>
      </c>
      <c r="AL113" s="1199">
        <v>0.3</v>
      </c>
      <c r="AM113" s="1199">
        <v>0.3</v>
      </c>
      <c r="AN113" s="1199">
        <v>0.3</v>
      </c>
      <c r="AO113" s="1199">
        <v>0.3</v>
      </c>
      <c r="AP113" s="1199">
        <v>0.3</v>
      </c>
      <c r="AQ113" s="1251">
        <v>0.3</v>
      </c>
      <c r="AR113" s="1199">
        <v>0.3</v>
      </c>
      <c r="AS113" s="1202">
        <v>0.3</v>
      </c>
      <c r="AT113" s="1203">
        <v>0</v>
      </c>
      <c r="AU113" s="1202">
        <v>0</v>
      </c>
      <c r="AV113" s="1202">
        <v>0</v>
      </c>
      <c r="AX113" s="1197">
        <v>1</v>
      </c>
      <c r="AY113" s="1201" t="s">
        <v>114</v>
      </c>
      <c r="AZ113" s="1198" t="s">
        <v>115</v>
      </c>
      <c r="BA113" s="1202">
        <v>0.3</v>
      </c>
      <c r="BB113" s="1202">
        <v>0.3</v>
      </c>
      <c r="BC113" s="1202">
        <v>0.3</v>
      </c>
      <c r="BD113" s="1202">
        <v>0.3</v>
      </c>
      <c r="BE113" s="1202">
        <v>0.3</v>
      </c>
      <c r="BF113" s="1202">
        <v>0.3</v>
      </c>
      <c r="BG113" s="1202">
        <v>0.3</v>
      </c>
      <c r="BH113" s="1252">
        <v>0.3</v>
      </c>
      <c r="BI113" s="1202">
        <v>0.3</v>
      </c>
      <c r="BJ113" s="1202">
        <v>0.3</v>
      </c>
      <c r="BK113" s="1203"/>
      <c r="BL113" s="1202"/>
      <c r="BM113" s="1202"/>
      <c r="BO113" s="1197">
        <v>1</v>
      </c>
      <c r="BP113" s="1201" t="s">
        <v>114</v>
      </c>
      <c r="BQ113" s="1198" t="s">
        <v>115</v>
      </c>
      <c r="BR113" s="1202">
        <v>0.3</v>
      </c>
      <c r="BS113" s="1202">
        <v>0.3</v>
      </c>
      <c r="BT113" s="1202">
        <v>0.3</v>
      </c>
      <c r="BU113" s="1202">
        <v>0.3</v>
      </c>
      <c r="BV113" s="1202">
        <v>0.3</v>
      </c>
      <c r="BW113" s="1202">
        <v>0.3</v>
      </c>
      <c r="BX113" s="1202">
        <v>0.3</v>
      </c>
      <c r="BY113" s="1252">
        <v>0.3</v>
      </c>
      <c r="BZ113" s="1202">
        <v>0.3</v>
      </c>
      <c r="CA113" s="1202">
        <v>0.3</v>
      </c>
      <c r="CB113" s="1203"/>
      <c r="CC113" s="1202"/>
      <c r="CD113" s="1202"/>
      <c r="CE113" s="1468"/>
      <c r="CG113" s="1197">
        <v>1</v>
      </c>
      <c r="CH113" s="1201" t="s">
        <v>114</v>
      </c>
      <c r="CI113" s="1198" t="s">
        <v>115</v>
      </c>
      <c r="CJ113" s="1686">
        <f t="shared" si="114"/>
        <v>0.3</v>
      </c>
      <c r="CK113" s="1686">
        <f t="shared" si="102"/>
        <v>0.3</v>
      </c>
      <c r="CL113" s="1686">
        <f t="shared" si="103"/>
        <v>0.3</v>
      </c>
      <c r="CM113" s="1686">
        <f t="shared" si="104"/>
        <v>0.3</v>
      </c>
      <c r="CN113" s="1686">
        <f t="shared" si="105"/>
        <v>0.3</v>
      </c>
      <c r="CO113" s="1686">
        <f t="shared" si="106"/>
        <v>0.3</v>
      </c>
      <c r="CP113" s="1686">
        <f t="shared" si="107"/>
        <v>0.3</v>
      </c>
      <c r="CQ113" s="1703">
        <f t="shared" si="108"/>
        <v>0.3</v>
      </c>
      <c r="CR113" s="1686">
        <f t="shared" si="109"/>
        <v>0.3</v>
      </c>
      <c r="CS113" s="1686">
        <f t="shared" si="110"/>
        <v>0.3</v>
      </c>
      <c r="CT113" s="1688">
        <f t="shared" si="111"/>
        <v>0</v>
      </c>
      <c r="CU113" s="1686">
        <f t="shared" si="112"/>
        <v>0</v>
      </c>
      <c r="CV113" s="1686">
        <f t="shared" si="113"/>
        <v>0</v>
      </c>
      <c r="CX113" s="1197">
        <v>1</v>
      </c>
      <c r="CY113" s="1201" t="s">
        <v>114</v>
      </c>
      <c r="CZ113" s="1198" t="s">
        <v>115</v>
      </c>
      <c r="DA113" s="1821">
        <v>0</v>
      </c>
      <c r="DB113" s="1676"/>
      <c r="DC113" s="1676"/>
      <c r="DD113" s="1676"/>
      <c r="DE113" s="1676"/>
      <c r="DF113" s="1676"/>
      <c r="DG113" s="1676"/>
      <c r="DH113" s="1804"/>
      <c r="DI113" s="1676"/>
      <c r="DJ113" s="1676"/>
      <c r="DK113" s="1677"/>
      <c r="DL113" s="1676"/>
      <c r="DM113" s="1676"/>
    </row>
    <row r="114" spans="2:117" hidden="1">
      <c r="B114" s="1186">
        <v>1</v>
      </c>
      <c r="C114" s="1198">
        <f t="shared" si="93"/>
        <v>0</v>
      </c>
      <c r="D114" s="1194">
        <f>IF(I$112=0,0,G114/I$112)</f>
        <v>0</v>
      </c>
      <c r="E114" s="1195">
        <f t="shared" ref="E114" si="127">IF(J$112=0,0,H114/J$112)</f>
        <v>0</v>
      </c>
      <c r="G114" s="1195">
        <f t="shared" ref="G114" si="128">K114*M114</f>
        <v>0</v>
      </c>
      <c r="H114" s="1195">
        <f t="shared" ref="H114" si="129">L114*N114</f>
        <v>0</v>
      </c>
      <c r="I114" s="1254">
        <f>SUM(G115)</f>
        <v>0</v>
      </c>
      <c r="J114" s="1254">
        <f>SUM(H115)</f>
        <v>0</v>
      </c>
      <c r="K114" s="1195">
        <f>IF(スコア!Q114=0,0,1)</f>
        <v>0</v>
      </c>
      <c r="L114" s="1195">
        <f>IF(スコア!S114=0,0,1)</f>
        <v>0</v>
      </c>
      <c r="M114" s="1195">
        <f t="shared" ref="M114" si="130">SUMPRODUCT($S$7:$AB$7,S114:AB114)</f>
        <v>0</v>
      </c>
      <c r="N114" s="1195">
        <f>(AC$7*AC114)+(AD$7*AD114)+(AE$7*AE114)</f>
        <v>0</v>
      </c>
      <c r="P114" s="1197">
        <f t="shared" si="94"/>
        <v>0</v>
      </c>
      <c r="Q114" s="1197">
        <f t="shared" si="95"/>
        <v>0</v>
      </c>
      <c r="R114" s="1198">
        <f t="shared" si="96"/>
        <v>0</v>
      </c>
      <c r="S114" s="1744">
        <f t="shared" si="74"/>
        <v>0</v>
      </c>
      <c r="T114" s="1744">
        <f t="shared" si="75"/>
        <v>0</v>
      </c>
      <c r="U114" s="1744">
        <f t="shared" si="76"/>
        <v>0</v>
      </c>
      <c r="V114" s="1744">
        <f t="shared" si="77"/>
        <v>0</v>
      </c>
      <c r="W114" s="1744">
        <f t="shared" si="78"/>
        <v>0</v>
      </c>
      <c r="X114" s="1744">
        <f t="shared" si="79"/>
        <v>0</v>
      </c>
      <c r="Y114" s="1744">
        <f t="shared" si="80"/>
        <v>0</v>
      </c>
      <c r="Z114" s="1758">
        <f t="shared" si="81"/>
        <v>0</v>
      </c>
      <c r="AA114" s="1744">
        <f t="shared" si="82"/>
        <v>0</v>
      </c>
      <c r="AB114" s="1744">
        <f t="shared" si="83"/>
        <v>0</v>
      </c>
      <c r="AC114" s="1746">
        <f t="shared" si="84"/>
        <v>0</v>
      </c>
      <c r="AD114" s="1744">
        <f t="shared" si="85"/>
        <v>0</v>
      </c>
      <c r="AE114" s="1744">
        <f t="shared" si="86"/>
        <v>0</v>
      </c>
      <c r="AG114" s="1197"/>
      <c r="AH114" s="1201"/>
      <c r="AI114" s="1198"/>
      <c r="AJ114" s="1199"/>
      <c r="AK114" s="1199"/>
      <c r="AL114" s="1199"/>
      <c r="AM114" s="1199"/>
      <c r="AN114" s="1199"/>
      <c r="AO114" s="1199"/>
      <c r="AP114" s="1199"/>
      <c r="AQ114" s="1251"/>
      <c r="AR114" s="1199"/>
      <c r="AS114" s="1202"/>
      <c r="AT114" s="1203"/>
      <c r="AU114" s="1202"/>
      <c r="AV114" s="1202"/>
      <c r="AX114" s="1197"/>
      <c r="AY114" s="1201"/>
      <c r="AZ114" s="1198"/>
      <c r="BA114" s="1202"/>
      <c r="BB114" s="1202"/>
      <c r="BC114" s="1202"/>
      <c r="BD114" s="1202"/>
      <c r="BE114" s="1202"/>
      <c r="BF114" s="1202"/>
      <c r="BG114" s="1202"/>
      <c r="BH114" s="1252"/>
      <c r="BI114" s="1202"/>
      <c r="BJ114" s="1202"/>
      <c r="BK114" s="1203"/>
      <c r="BL114" s="1202"/>
      <c r="BM114" s="1202"/>
      <c r="BO114" s="1197"/>
      <c r="BP114" s="1201"/>
      <c r="BQ114" s="1198"/>
      <c r="BR114" s="1202"/>
      <c r="BS114" s="1202"/>
      <c r="BT114" s="1202"/>
      <c r="BU114" s="1202"/>
      <c r="BV114" s="1202"/>
      <c r="BW114" s="1202"/>
      <c r="BX114" s="1202"/>
      <c r="BY114" s="1252"/>
      <c r="BZ114" s="1202"/>
      <c r="CA114" s="1202"/>
      <c r="CB114" s="1203"/>
      <c r="CC114" s="1202"/>
      <c r="CD114" s="1202"/>
      <c r="CE114" s="1468"/>
      <c r="CG114" s="1197"/>
      <c r="CH114" s="1201"/>
      <c r="CI114" s="1198"/>
      <c r="CJ114" s="1686"/>
      <c r="CK114" s="1686"/>
      <c r="CL114" s="1686"/>
      <c r="CM114" s="1686"/>
      <c r="CN114" s="1686"/>
      <c r="CO114" s="1686"/>
      <c r="CP114" s="1686"/>
      <c r="CQ114" s="1703"/>
      <c r="CR114" s="1686"/>
      <c r="CS114" s="1686"/>
      <c r="CT114" s="1688"/>
      <c r="CU114" s="1686"/>
      <c r="CV114" s="1686"/>
      <c r="CX114" s="1197">
        <v>1</v>
      </c>
      <c r="CY114" s="1201" t="s">
        <v>114</v>
      </c>
      <c r="CZ114" s="1822" t="s">
        <v>2945</v>
      </c>
      <c r="DA114" s="1821">
        <v>1</v>
      </c>
      <c r="DB114" s="1676"/>
      <c r="DC114" s="1676"/>
      <c r="DD114" s="1676"/>
      <c r="DE114" s="1676"/>
      <c r="DF114" s="1676"/>
      <c r="DG114" s="1676"/>
      <c r="DH114" s="1804"/>
      <c r="DI114" s="1676"/>
      <c r="DJ114" s="1676"/>
      <c r="DK114" s="1677"/>
      <c r="DL114" s="1676"/>
      <c r="DM114" s="1676"/>
    </row>
    <row r="115" spans="2:117" hidden="1">
      <c r="B115" s="1186">
        <v>1.1000000000000001</v>
      </c>
      <c r="C115" s="1208">
        <f t="shared" si="93"/>
        <v>0</v>
      </c>
      <c r="D115" s="1206">
        <f>IF(I$114=0,0,G115/I$114)</f>
        <v>0</v>
      </c>
      <c r="E115" s="1206">
        <f>IF(J$114=0,0,H115/J$114)</f>
        <v>0</v>
      </c>
      <c r="G115" s="1206">
        <f>K115*M115</f>
        <v>0</v>
      </c>
      <c r="H115" s="1206">
        <f>L115*N115</f>
        <v>0</v>
      </c>
      <c r="I115" s="513"/>
      <c r="J115" s="1206"/>
      <c r="K115" s="1206">
        <f>IF(スコア!Q115=0,0,1)</f>
        <v>1</v>
      </c>
      <c r="L115" s="1206">
        <f>IF(スコア!S115=0,0,1)</f>
        <v>0</v>
      </c>
      <c r="M115" s="1206">
        <f>SUMPRODUCT($S$7:$AB$7,S115:AB115)</f>
        <v>0</v>
      </c>
      <c r="N115" s="1206">
        <f t="shared" ref="N115" si="131">(AC$7*AC115)+(AD$7*AD115)+(AE$7*AE115)</f>
        <v>0</v>
      </c>
      <c r="P115" s="1197">
        <f t="shared" si="94"/>
        <v>0</v>
      </c>
      <c r="Q115" s="1197">
        <f t="shared" si="95"/>
        <v>0</v>
      </c>
      <c r="R115" s="1198">
        <f t="shared" si="96"/>
        <v>0</v>
      </c>
      <c r="S115" s="1744">
        <f t="shared" si="74"/>
        <v>0</v>
      </c>
      <c r="T115" s="1744">
        <f t="shared" si="75"/>
        <v>0</v>
      </c>
      <c r="U115" s="1744">
        <f t="shared" si="76"/>
        <v>0</v>
      </c>
      <c r="V115" s="1744">
        <f t="shared" si="77"/>
        <v>0</v>
      </c>
      <c r="W115" s="1744">
        <f t="shared" si="78"/>
        <v>0</v>
      </c>
      <c r="X115" s="1744">
        <f t="shared" si="79"/>
        <v>0</v>
      </c>
      <c r="Y115" s="1744">
        <f t="shared" si="80"/>
        <v>0</v>
      </c>
      <c r="Z115" s="1758">
        <f t="shared" si="81"/>
        <v>0</v>
      </c>
      <c r="AA115" s="1744">
        <f t="shared" si="82"/>
        <v>0</v>
      </c>
      <c r="AB115" s="1744">
        <f t="shared" si="83"/>
        <v>0</v>
      </c>
      <c r="AC115" s="1746">
        <f t="shared" si="84"/>
        <v>0</v>
      </c>
      <c r="AD115" s="1744">
        <f t="shared" si="85"/>
        <v>0</v>
      </c>
      <c r="AE115" s="1744">
        <f t="shared" si="86"/>
        <v>0</v>
      </c>
      <c r="AG115" s="1197"/>
      <c r="AH115" s="1201"/>
      <c r="AI115" s="1198"/>
      <c r="AJ115" s="1199"/>
      <c r="AK115" s="1199"/>
      <c r="AL115" s="1199"/>
      <c r="AM115" s="1199"/>
      <c r="AN115" s="1199"/>
      <c r="AO115" s="1199"/>
      <c r="AP115" s="1199"/>
      <c r="AQ115" s="1251"/>
      <c r="AR115" s="1199"/>
      <c r="AS115" s="1202"/>
      <c r="AT115" s="1203"/>
      <c r="AU115" s="1202"/>
      <c r="AV115" s="1202"/>
      <c r="AX115" s="1197"/>
      <c r="AY115" s="1201"/>
      <c r="AZ115" s="1198"/>
      <c r="BA115" s="1202"/>
      <c r="BB115" s="1202"/>
      <c r="BC115" s="1202"/>
      <c r="BD115" s="1202"/>
      <c r="BE115" s="1202"/>
      <c r="BF115" s="1202"/>
      <c r="BG115" s="1202"/>
      <c r="BH115" s="1252"/>
      <c r="BI115" s="1202"/>
      <c r="BJ115" s="1202"/>
      <c r="BK115" s="1203"/>
      <c r="BL115" s="1202"/>
      <c r="BM115" s="1202"/>
      <c r="BO115" s="1197"/>
      <c r="BP115" s="1201"/>
      <c r="BQ115" s="1198"/>
      <c r="BR115" s="1202"/>
      <c r="BS115" s="1202"/>
      <c r="BT115" s="1202"/>
      <c r="BU115" s="1202"/>
      <c r="BV115" s="1202"/>
      <c r="BW115" s="1202"/>
      <c r="BX115" s="1202"/>
      <c r="BY115" s="1252"/>
      <c r="BZ115" s="1202"/>
      <c r="CA115" s="1202"/>
      <c r="CB115" s="1203"/>
      <c r="CC115" s="1202"/>
      <c r="CD115" s="1202"/>
      <c r="CE115" s="1468"/>
      <c r="CG115" s="1197"/>
      <c r="CH115" s="1201"/>
      <c r="CI115" s="1198"/>
      <c r="CJ115" s="1686"/>
      <c r="CK115" s="1686"/>
      <c r="CL115" s="1686"/>
      <c r="CM115" s="1686"/>
      <c r="CN115" s="1686"/>
      <c r="CO115" s="1686"/>
      <c r="CP115" s="1686"/>
      <c r="CQ115" s="1703"/>
      <c r="CR115" s="1686"/>
      <c r="CS115" s="1686"/>
      <c r="CT115" s="1688"/>
      <c r="CU115" s="1686"/>
      <c r="CV115" s="1686"/>
      <c r="CX115" s="1207" t="s">
        <v>1168</v>
      </c>
      <c r="CY115" s="1211" t="s">
        <v>116</v>
      </c>
      <c r="CZ115" s="1823" t="s">
        <v>2936</v>
      </c>
      <c r="DA115" s="1821">
        <v>1</v>
      </c>
      <c r="DB115" s="1676"/>
      <c r="DC115" s="1676"/>
      <c r="DD115" s="1676"/>
      <c r="DE115" s="1676"/>
      <c r="DF115" s="1676"/>
      <c r="DG115" s="1676"/>
      <c r="DH115" s="1804"/>
      <c r="DI115" s="1676"/>
      <c r="DJ115" s="1676"/>
      <c r="DK115" s="1677"/>
      <c r="DL115" s="1676"/>
      <c r="DM115" s="1676"/>
    </row>
    <row r="116" spans="2:117">
      <c r="B116" s="1186">
        <f t="shared" si="125"/>
        <v>2</v>
      </c>
      <c r="C116" s="1198" t="str">
        <f t="shared" si="93"/>
        <v>まちなみ・景観への配慮</v>
      </c>
      <c r="D116" s="1194">
        <f t="shared" si="126"/>
        <v>0.4</v>
      </c>
      <c r="E116" s="1195">
        <f t="shared" si="126"/>
        <v>0</v>
      </c>
      <c r="G116" s="1195">
        <f t="shared" si="122"/>
        <v>0.4</v>
      </c>
      <c r="H116" s="1195">
        <f t="shared" si="123"/>
        <v>0</v>
      </c>
      <c r="I116" s="1195"/>
      <c r="J116" s="1195"/>
      <c r="K116" s="1195">
        <f>IF(スコア!Q116=0,0,1)</f>
        <v>1</v>
      </c>
      <c r="L116" s="1195">
        <f>IF(スコア!S116=0,0,1)</f>
        <v>0</v>
      </c>
      <c r="M116" s="1195">
        <f t="shared" si="124"/>
        <v>0.4</v>
      </c>
      <c r="N116" s="1195">
        <f t="shared" si="120"/>
        <v>0</v>
      </c>
      <c r="P116" s="1197">
        <f t="shared" si="94"/>
        <v>2</v>
      </c>
      <c r="Q116" s="1197" t="str">
        <f t="shared" si="95"/>
        <v xml:space="preserve"> Q3</v>
      </c>
      <c r="R116" s="1198" t="str">
        <f t="shared" si="96"/>
        <v>まちなみ・景観への配慮</v>
      </c>
      <c r="S116" s="1744">
        <f t="shared" si="74"/>
        <v>0.4</v>
      </c>
      <c r="T116" s="1744">
        <f t="shared" si="75"/>
        <v>0.4</v>
      </c>
      <c r="U116" s="1744">
        <f t="shared" si="76"/>
        <v>0.4</v>
      </c>
      <c r="V116" s="1744">
        <f t="shared" si="77"/>
        <v>0.4</v>
      </c>
      <c r="W116" s="1744">
        <f t="shared" si="78"/>
        <v>0.4</v>
      </c>
      <c r="X116" s="1744">
        <f t="shared" si="79"/>
        <v>0.4</v>
      </c>
      <c r="Y116" s="1744">
        <f t="shared" si="80"/>
        <v>0.4</v>
      </c>
      <c r="Z116" s="1758">
        <f t="shared" si="81"/>
        <v>0.4</v>
      </c>
      <c r="AA116" s="1744">
        <f t="shared" si="82"/>
        <v>0.4</v>
      </c>
      <c r="AB116" s="1744">
        <f t="shared" si="83"/>
        <v>0.4</v>
      </c>
      <c r="AC116" s="1746">
        <f t="shared" si="84"/>
        <v>0</v>
      </c>
      <c r="AD116" s="1744">
        <f t="shared" si="85"/>
        <v>0</v>
      </c>
      <c r="AE116" s="1744">
        <f t="shared" si="86"/>
        <v>0</v>
      </c>
      <c r="AG116" s="1197">
        <v>2</v>
      </c>
      <c r="AH116" s="1201" t="s">
        <v>114</v>
      </c>
      <c r="AI116" s="1198" t="s">
        <v>1166</v>
      </c>
      <c r="AJ116" s="1199">
        <v>0.4</v>
      </c>
      <c r="AK116" s="1199">
        <v>0.4</v>
      </c>
      <c r="AL116" s="1199">
        <v>0.4</v>
      </c>
      <c r="AM116" s="1199">
        <v>0.4</v>
      </c>
      <c r="AN116" s="1199">
        <v>0.4</v>
      </c>
      <c r="AO116" s="1199">
        <v>0.4</v>
      </c>
      <c r="AP116" s="1199">
        <v>0.4</v>
      </c>
      <c r="AQ116" s="1251">
        <v>0.4</v>
      </c>
      <c r="AR116" s="1199">
        <v>0.4</v>
      </c>
      <c r="AS116" s="1202">
        <v>0.4</v>
      </c>
      <c r="AT116" s="1203">
        <v>0</v>
      </c>
      <c r="AU116" s="1202">
        <v>0</v>
      </c>
      <c r="AV116" s="1202">
        <v>0</v>
      </c>
      <c r="AX116" s="1197">
        <v>2</v>
      </c>
      <c r="AY116" s="1201" t="s">
        <v>114</v>
      </c>
      <c r="AZ116" s="1198" t="s">
        <v>1166</v>
      </c>
      <c r="BA116" s="1202">
        <v>0.4</v>
      </c>
      <c r="BB116" s="1202">
        <v>0.4</v>
      </c>
      <c r="BC116" s="1202">
        <v>0.4</v>
      </c>
      <c r="BD116" s="1202">
        <v>0.4</v>
      </c>
      <c r="BE116" s="1202">
        <v>0.4</v>
      </c>
      <c r="BF116" s="1202">
        <v>0.4</v>
      </c>
      <c r="BG116" s="1202">
        <v>0.4</v>
      </c>
      <c r="BH116" s="1252">
        <v>0.4</v>
      </c>
      <c r="BI116" s="1202">
        <v>0.4</v>
      </c>
      <c r="BJ116" s="1202">
        <v>0.4</v>
      </c>
      <c r="BK116" s="1203"/>
      <c r="BL116" s="1202"/>
      <c r="BM116" s="1202"/>
      <c r="BO116" s="1197">
        <v>2</v>
      </c>
      <c r="BP116" s="1201" t="s">
        <v>114</v>
      </c>
      <c r="BQ116" s="1198" t="s">
        <v>1166</v>
      </c>
      <c r="BR116" s="1202">
        <v>0.4</v>
      </c>
      <c r="BS116" s="1202">
        <v>0.4</v>
      </c>
      <c r="BT116" s="1202">
        <v>0.4</v>
      </c>
      <c r="BU116" s="1202">
        <v>0.4</v>
      </c>
      <c r="BV116" s="1202">
        <v>0.4</v>
      </c>
      <c r="BW116" s="1202">
        <v>0.4</v>
      </c>
      <c r="BX116" s="1202">
        <v>0.4</v>
      </c>
      <c r="BY116" s="1252">
        <v>0.4</v>
      </c>
      <c r="BZ116" s="1202">
        <v>0.4</v>
      </c>
      <c r="CA116" s="1202">
        <v>0.4</v>
      </c>
      <c r="CB116" s="1203"/>
      <c r="CC116" s="1202"/>
      <c r="CD116" s="1202"/>
      <c r="CE116" s="1468"/>
      <c r="CG116" s="1197">
        <v>2</v>
      </c>
      <c r="CH116" s="1201" t="s">
        <v>114</v>
      </c>
      <c r="CI116" s="1198" t="s">
        <v>1166</v>
      </c>
      <c r="CJ116" s="1686">
        <f t="shared" si="114"/>
        <v>0.4</v>
      </c>
      <c r="CK116" s="1686">
        <f t="shared" si="102"/>
        <v>0.4</v>
      </c>
      <c r="CL116" s="1686">
        <f t="shared" si="103"/>
        <v>0.4</v>
      </c>
      <c r="CM116" s="1686">
        <f t="shared" si="104"/>
        <v>0.4</v>
      </c>
      <c r="CN116" s="1686">
        <f t="shared" si="105"/>
        <v>0.4</v>
      </c>
      <c r="CO116" s="1686">
        <f t="shared" si="106"/>
        <v>0.4</v>
      </c>
      <c r="CP116" s="1686">
        <f t="shared" si="107"/>
        <v>0.4</v>
      </c>
      <c r="CQ116" s="1703">
        <f t="shared" si="108"/>
        <v>0.4</v>
      </c>
      <c r="CR116" s="1686">
        <f t="shared" si="109"/>
        <v>0.4</v>
      </c>
      <c r="CS116" s="1686">
        <f t="shared" si="110"/>
        <v>0.4</v>
      </c>
      <c r="CT116" s="1688">
        <f t="shared" si="111"/>
        <v>0</v>
      </c>
      <c r="CU116" s="1686">
        <f t="shared" si="112"/>
        <v>0</v>
      </c>
      <c r="CV116" s="1686">
        <f t="shared" si="113"/>
        <v>0</v>
      </c>
      <c r="CX116" s="1197">
        <v>2</v>
      </c>
      <c r="CY116" s="1201" t="s">
        <v>114</v>
      </c>
      <c r="CZ116" s="1198" t="s">
        <v>1166</v>
      </c>
      <c r="DA116" s="1821">
        <v>0</v>
      </c>
      <c r="DB116" s="1676"/>
      <c r="DC116" s="1676"/>
      <c r="DD116" s="1676"/>
      <c r="DE116" s="1676"/>
      <c r="DF116" s="1676"/>
      <c r="DG116" s="1676"/>
      <c r="DH116" s="1804"/>
      <c r="DI116" s="1676"/>
      <c r="DJ116" s="1676"/>
      <c r="DK116" s="1677"/>
      <c r="DL116" s="1676"/>
      <c r="DM116" s="1676"/>
    </row>
    <row r="117" spans="2:117">
      <c r="B117" s="1186">
        <f t="shared" si="125"/>
        <v>3</v>
      </c>
      <c r="C117" s="1198" t="str">
        <f t="shared" si="93"/>
        <v>地域性・アメニティへの配慮</v>
      </c>
      <c r="D117" s="1194">
        <f t="shared" si="126"/>
        <v>0.3</v>
      </c>
      <c r="E117" s="1195">
        <f t="shared" si="126"/>
        <v>0</v>
      </c>
      <c r="G117" s="1195">
        <f t="shared" si="122"/>
        <v>0.3</v>
      </c>
      <c r="H117" s="1195">
        <f t="shared" si="123"/>
        <v>0</v>
      </c>
      <c r="I117" s="1254">
        <f>SUM(G118:G119)</f>
        <v>1</v>
      </c>
      <c r="J117" s="1254">
        <f>SUM(H118:H119)</f>
        <v>0</v>
      </c>
      <c r="K117" s="1195">
        <f>IF(スコア!Q117=0,0,1)</f>
        <v>1</v>
      </c>
      <c r="L117" s="1195">
        <f>IF(スコア!S117=0,0,1)</f>
        <v>0</v>
      </c>
      <c r="M117" s="1195">
        <f t="shared" si="124"/>
        <v>0.3</v>
      </c>
      <c r="N117" s="1195">
        <f t="shared" si="120"/>
        <v>0</v>
      </c>
      <c r="P117" s="1197">
        <f t="shared" si="94"/>
        <v>3</v>
      </c>
      <c r="Q117" s="1197" t="str">
        <f t="shared" si="95"/>
        <v xml:space="preserve"> Q3</v>
      </c>
      <c r="R117" s="1198" t="str">
        <f t="shared" si="96"/>
        <v>地域性・アメニティへの配慮</v>
      </c>
      <c r="S117" s="1744">
        <f t="shared" si="74"/>
        <v>0.3</v>
      </c>
      <c r="T117" s="1744">
        <f t="shared" si="75"/>
        <v>0.3</v>
      </c>
      <c r="U117" s="1744">
        <f t="shared" si="76"/>
        <v>0.3</v>
      </c>
      <c r="V117" s="1744">
        <f t="shared" si="77"/>
        <v>0.3</v>
      </c>
      <c r="W117" s="1744">
        <f t="shared" si="78"/>
        <v>0.3</v>
      </c>
      <c r="X117" s="1744">
        <f t="shared" si="79"/>
        <v>0.3</v>
      </c>
      <c r="Y117" s="1744">
        <f t="shared" si="80"/>
        <v>0.3</v>
      </c>
      <c r="Z117" s="1758">
        <f t="shared" si="81"/>
        <v>0.3</v>
      </c>
      <c r="AA117" s="1744">
        <f t="shared" si="82"/>
        <v>0.3</v>
      </c>
      <c r="AB117" s="1744">
        <f t="shared" si="83"/>
        <v>0.3</v>
      </c>
      <c r="AC117" s="1746">
        <f t="shared" si="84"/>
        <v>0</v>
      </c>
      <c r="AD117" s="1744">
        <f t="shared" si="85"/>
        <v>0</v>
      </c>
      <c r="AE117" s="1744">
        <f t="shared" si="86"/>
        <v>0</v>
      </c>
      <c r="AG117" s="1197">
        <v>3</v>
      </c>
      <c r="AH117" s="1201" t="s">
        <v>114</v>
      </c>
      <c r="AI117" s="1198" t="s">
        <v>1167</v>
      </c>
      <c r="AJ117" s="1199">
        <v>0.3</v>
      </c>
      <c r="AK117" s="1199">
        <v>0.3</v>
      </c>
      <c r="AL117" s="1199">
        <v>0.3</v>
      </c>
      <c r="AM117" s="1199">
        <v>0.3</v>
      </c>
      <c r="AN117" s="1199">
        <v>0.3</v>
      </c>
      <c r="AO117" s="1199">
        <v>0.3</v>
      </c>
      <c r="AP117" s="1199">
        <v>0.3</v>
      </c>
      <c r="AQ117" s="1251">
        <v>0.3</v>
      </c>
      <c r="AR117" s="1199">
        <v>0.3</v>
      </c>
      <c r="AS117" s="1202">
        <v>0.3</v>
      </c>
      <c r="AT117" s="1203">
        <v>0</v>
      </c>
      <c r="AU117" s="1202">
        <v>0</v>
      </c>
      <c r="AV117" s="1202">
        <v>0</v>
      </c>
      <c r="AX117" s="1197">
        <v>3</v>
      </c>
      <c r="AY117" s="1201" t="s">
        <v>114</v>
      </c>
      <c r="AZ117" s="1198" t="s">
        <v>1167</v>
      </c>
      <c r="BA117" s="1202">
        <v>0.3</v>
      </c>
      <c r="BB117" s="1202">
        <v>0.3</v>
      </c>
      <c r="BC117" s="1202">
        <v>0.3</v>
      </c>
      <c r="BD117" s="1202">
        <v>0.3</v>
      </c>
      <c r="BE117" s="1202">
        <v>0.3</v>
      </c>
      <c r="BF117" s="1202">
        <v>0.3</v>
      </c>
      <c r="BG117" s="1202">
        <v>0.3</v>
      </c>
      <c r="BH117" s="1252">
        <v>0.3</v>
      </c>
      <c r="BI117" s="1202">
        <v>0.3</v>
      </c>
      <c r="BJ117" s="1202">
        <v>0.3</v>
      </c>
      <c r="BK117" s="1203"/>
      <c r="BL117" s="1202"/>
      <c r="BM117" s="1202"/>
      <c r="BO117" s="1197">
        <v>3</v>
      </c>
      <c r="BP117" s="1201" t="s">
        <v>114</v>
      </c>
      <c r="BQ117" s="1198" t="s">
        <v>1167</v>
      </c>
      <c r="BR117" s="1202">
        <v>0.3</v>
      </c>
      <c r="BS117" s="1202">
        <v>0.3</v>
      </c>
      <c r="BT117" s="1202">
        <v>0.3</v>
      </c>
      <c r="BU117" s="1202">
        <v>0.3</v>
      </c>
      <c r="BV117" s="1202">
        <v>0.3</v>
      </c>
      <c r="BW117" s="1202">
        <v>0.3</v>
      </c>
      <c r="BX117" s="1202">
        <v>0.3</v>
      </c>
      <c r="BY117" s="1252">
        <v>0.3</v>
      </c>
      <c r="BZ117" s="1202">
        <v>0.3</v>
      </c>
      <c r="CA117" s="1202">
        <v>0.3</v>
      </c>
      <c r="CB117" s="1203"/>
      <c r="CC117" s="1202"/>
      <c r="CD117" s="1202"/>
      <c r="CE117" s="1468"/>
      <c r="CG117" s="1197">
        <v>3</v>
      </c>
      <c r="CH117" s="1201" t="s">
        <v>114</v>
      </c>
      <c r="CI117" s="1198" t="s">
        <v>1167</v>
      </c>
      <c r="CJ117" s="1686">
        <f t="shared" si="114"/>
        <v>0.3</v>
      </c>
      <c r="CK117" s="1686">
        <f t="shared" si="102"/>
        <v>0.3</v>
      </c>
      <c r="CL117" s="1686">
        <f t="shared" si="103"/>
        <v>0.3</v>
      </c>
      <c r="CM117" s="1686">
        <f t="shared" si="104"/>
        <v>0.3</v>
      </c>
      <c r="CN117" s="1686">
        <f t="shared" si="105"/>
        <v>0.3</v>
      </c>
      <c r="CO117" s="1686">
        <f t="shared" si="106"/>
        <v>0.3</v>
      </c>
      <c r="CP117" s="1686">
        <f t="shared" si="107"/>
        <v>0.3</v>
      </c>
      <c r="CQ117" s="1703">
        <f t="shared" si="108"/>
        <v>0.3</v>
      </c>
      <c r="CR117" s="1686">
        <f t="shared" si="109"/>
        <v>0.3</v>
      </c>
      <c r="CS117" s="1686">
        <f t="shared" si="110"/>
        <v>0.3</v>
      </c>
      <c r="CT117" s="1688">
        <f t="shared" si="111"/>
        <v>0</v>
      </c>
      <c r="CU117" s="1686">
        <f t="shared" si="112"/>
        <v>0</v>
      </c>
      <c r="CV117" s="1686">
        <f t="shared" si="113"/>
        <v>0</v>
      </c>
      <c r="CX117" s="1197">
        <v>3</v>
      </c>
      <c r="CY117" s="1201" t="s">
        <v>114</v>
      </c>
      <c r="CZ117" s="1198" t="s">
        <v>1167</v>
      </c>
      <c r="DA117" s="1821">
        <v>0</v>
      </c>
      <c r="DB117" s="1676"/>
      <c r="DC117" s="1676"/>
      <c r="DD117" s="1676"/>
      <c r="DE117" s="1676"/>
      <c r="DF117" s="1676"/>
      <c r="DG117" s="1676"/>
      <c r="DH117" s="1804"/>
      <c r="DI117" s="1676"/>
      <c r="DJ117" s="1676"/>
      <c r="DK117" s="1677"/>
      <c r="DL117" s="1676"/>
      <c r="DM117" s="1676"/>
    </row>
    <row r="118" spans="2:117">
      <c r="B118" s="1186" t="str">
        <f t="shared" si="125"/>
        <v>3.1</v>
      </c>
      <c r="C118" s="1208" t="str">
        <f t="shared" si="93"/>
        <v>地域性への配慮、快適性の向上</v>
      </c>
      <c r="D118" s="1205">
        <f>IF(I$117=0,0,G118/I$117)</f>
        <v>0.5</v>
      </c>
      <c r="E118" s="1206">
        <f>IF(J$117=0,0,H118/J$117)</f>
        <v>0</v>
      </c>
      <c r="G118" s="1206">
        <f>K118*M118</f>
        <v>0.5</v>
      </c>
      <c r="H118" s="1206">
        <f t="shared" si="123"/>
        <v>0</v>
      </c>
      <c r="I118" s="513"/>
      <c r="J118" s="1206"/>
      <c r="K118" s="1206">
        <f>IF(スコア!Q118=0,0,1)</f>
        <v>1</v>
      </c>
      <c r="L118" s="1206">
        <f>IF(スコア!S118=0,0,1)</f>
        <v>0</v>
      </c>
      <c r="M118" s="1206">
        <f t="shared" si="124"/>
        <v>0.5</v>
      </c>
      <c r="N118" s="1206">
        <f t="shared" si="120"/>
        <v>0</v>
      </c>
      <c r="P118" s="1207" t="str">
        <f t="shared" si="94"/>
        <v>3.1</v>
      </c>
      <c r="Q118" s="1207" t="str">
        <f t="shared" si="95"/>
        <v xml:space="preserve"> Q3 3</v>
      </c>
      <c r="R118" s="1208" t="str">
        <f t="shared" si="96"/>
        <v>地域性への配慮、快適性の向上</v>
      </c>
      <c r="S118" s="1759">
        <f t="shared" si="74"/>
        <v>0.5</v>
      </c>
      <c r="T118" s="1759">
        <f t="shared" si="75"/>
        <v>0.5</v>
      </c>
      <c r="U118" s="1759">
        <f t="shared" si="76"/>
        <v>0.5</v>
      </c>
      <c r="V118" s="1759">
        <f t="shared" si="77"/>
        <v>0.5</v>
      </c>
      <c r="W118" s="1759">
        <f t="shared" si="78"/>
        <v>0.5</v>
      </c>
      <c r="X118" s="1759">
        <f t="shared" si="79"/>
        <v>0.5</v>
      </c>
      <c r="Y118" s="1759">
        <f t="shared" si="80"/>
        <v>0.5</v>
      </c>
      <c r="Z118" s="1759">
        <f t="shared" si="81"/>
        <v>0.5</v>
      </c>
      <c r="AA118" s="1759">
        <f t="shared" si="82"/>
        <v>0.5</v>
      </c>
      <c r="AB118" s="1759">
        <f t="shared" si="83"/>
        <v>0.5</v>
      </c>
      <c r="AC118" s="1760">
        <f t="shared" si="84"/>
        <v>0</v>
      </c>
      <c r="AD118" s="1759">
        <f t="shared" si="85"/>
        <v>0</v>
      </c>
      <c r="AE118" s="1759">
        <f t="shared" si="86"/>
        <v>0</v>
      </c>
      <c r="AG118" s="1207" t="s">
        <v>1168</v>
      </c>
      <c r="AH118" s="1211" t="s">
        <v>116</v>
      </c>
      <c r="AI118" s="1255" t="s">
        <v>1169</v>
      </c>
      <c r="AJ118" s="1256">
        <v>0.5</v>
      </c>
      <c r="AK118" s="1256">
        <v>0.5</v>
      </c>
      <c r="AL118" s="1256">
        <v>0.5</v>
      </c>
      <c r="AM118" s="1256">
        <v>0.5</v>
      </c>
      <c r="AN118" s="1256">
        <v>0.5</v>
      </c>
      <c r="AO118" s="1256">
        <v>0.5</v>
      </c>
      <c r="AP118" s="1256">
        <v>0.5</v>
      </c>
      <c r="AQ118" s="1256">
        <v>0.5</v>
      </c>
      <c r="AR118" s="1256">
        <v>0.5</v>
      </c>
      <c r="AS118" s="1257">
        <v>0.5</v>
      </c>
      <c r="AT118" s="1258">
        <v>0</v>
      </c>
      <c r="AU118" s="1257">
        <v>0</v>
      </c>
      <c r="AV118" s="1257">
        <v>0</v>
      </c>
      <c r="AX118" s="1207" t="s">
        <v>1168</v>
      </c>
      <c r="AY118" s="1211" t="s">
        <v>116</v>
      </c>
      <c r="AZ118" s="1255" t="s">
        <v>1169</v>
      </c>
      <c r="BA118" s="1257">
        <v>0.5</v>
      </c>
      <c r="BB118" s="1257">
        <v>0.5</v>
      </c>
      <c r="BC118" s="1257">
        <v>0.5</v>
      </c>
      <c r="BD118" s="1257">
        <v>0.5</v>
      </c>
      <c r="BE118" s="1257">
        <v>0.5</v>
      </c>
      <c r="BF118" s="1257">
        <v>0.5</v>
      </c>
      <c r="BG118" s="1257">
        <v>0.5</v>
      </c>
      <c r="BH118" s="1257">
        <v>0.5</v>
      </c>
      <c r="BI118" s="1257">
        <v>0.5</v>
      </c>
      <c r="BJ118" s="1257">
        <v>0.5</v>
      </c>
      <c r="BK118" s="1258"/>
      <c r="BL118" s="1257"/>
      <c r="BM118" s="1257"/>
      <c r="BO118" s="1207" t="s">
        <v>1168</v>
      </c>
      <c r="BP118" s="1211" t="s">
        <v>116</v>
      </c>
      <c r="BQ118" s="1255" t="s">
        <v>1169</v>
      </c>
      <c r="BR118" s="1257">
        <v>0.5</v>
      </c>
      <c r="BS118" s="1257">
        <v>0.5</v>
      </c>
      <c r="BT118" s="1257">
        <v>0.5</v>
      </c>
      <c r="BU118" s="1257">
        <v>0.5</v>
      </c>
      <c r="BV118" s="1257">
        <v>0.5</v>
      </c>
      <c r="BW118" s="1257">
        <v>0.5</v>
      </c>
      <c r="BX118" s="1257">
        <v>0.5</v>
      </c>
      <c r="BY118" s="1257">
        <v>0.5</v>
      </c>
      <c r="BZ118" s="1257">
        <v>0.5</v>
      </c>
      <c r="CA118" s="1257">
        <v>0.5</v>
      </c>
      <c r="CB118" s="1258"/>
      <c r="CC118" s="1257"/>
      <c r="CD118" s="1257"/>
      <c r="CE118" s="1472"/>
      <c r="CG118" s="1207" t="s">
        <v>1168</v>
      </c>
      <c r="CH118" s="1211" t="s">
        <v>116</v>
      </c>
      <c r="CI118" s="1255" t="s">
        <v>1169</v>
      </c>
      <c r="CJ118" s="1704">
        <f t="shared" si="114"/>
        <v>0.5</v>
      </c>
      <c r="CK118" s="1704">
        <f t="shared" si="102"/>
        <v>0.5</v>
      </c>
      <c r="CL118" s="1704">
        <f t="shared" si="103"/>
        <v>0.5</v>
      </c>
      <c r="CM118" s="1704">
        <f t="shared" si="104"/>
        <v>0.5</v>
      </c>
      <c r="CN118" s="1704">
        <f t="shared" si="105"/>
        <v>0.5</v>
      </c>
      <c r="CO118" s="1704">
        <f t="shared" si="106"/>
        <v>0.5</v>
      </c>
      <c r="CP118" s="1704">
        <f t="shared" si="107"/>
        <v>0.5</v>
      </c>
      <c r="CQ118" s="1704">
        <f t="shared" si="108"/>
        <v>0.5</v>
      </c>
      <c r="CR118" s="1704">
        <f t="shared" si="109"/>
        <v>0.5</v>
      </c>
      <c r="CS118" s="1704">
        <f t="shared" si="110"/>
        <v>0.5</v>
      </c>
      <c r="CT118" s="1705">
        <f t="shared" si="111"/>
        <v>0</v>
      </c>
      <c r="CU118" s="1704">
        <f t="shared" si="112"/>
        <v>0</v>
      </c>
      <c r="CV118" s="1704">
        <f t="shared" si="113"/>
        <v>0</v>
      </c>
      <c r="CX118" s="1207" t="s">
        <v>1168</v>
      </c>
      <c r="CY118" s="1211" t="s">
        <v>116</v>
      </c>
      <c r="CZ118" s="1255" t="s">
        <v>1169</v>
      </c>
      <c r="DA118" s="1824">
        <v>0</v>
      </c>
      <c r="DB118" s="1681"/>
      <c r="DC118" s="1681"/>
      <c r="DD118" s="1681"/>
      <c r="DE118" s="1681"/>
      <c r="DF118" s="1681"/>
      <c r="DG118" s="1681"/>
      <c r="DH118" s="1681"/>
      <c r="DI118" s="1681"/>
      <c r="DJ118" s="1681"/>
      <c r="DK118" s="1805"/>
      <c r="DL118" s="1681"/>
      <c r="DM118" s="1681"/>
    </row>
    <row r="119" spans="2:117">
      <c r="B119" s="1186" t="str">
        <f t="shared" si="125"/>
        <v>3.2</v>
      </c>
      <c r="C119" s="1208" t="str">
        <f t="shared" si="93"/>
        <v>敷地内温熱環境の向上</v>
      </c>
      <c r="D119" s="1205">
        <f>IF(I$117=0,0,G119/I$117)</f>
        <v>0.5</v>
      </c>
      <c r="E119" s="1206">
        <f>IF(J$117=0,0,H119/J$117)</f>
        <v>0</v>
      </c>
      <c r="G119" s="1206">
        <f t="shared" si="122"/>
        <v>0.5</v>
      </c>
      <c r="H119" s="1206">
        <f t="shared" si="123"/>
        <v>0</v>
      </c>
      <c r="I119" s="513"/>
      <c r="J119" s="1206"/>
      <c r="K119" s="1206">
        <f>IF(スコア!Q119=0,0,1)</f>
        <v>1</v>
      </c>
      <c r="L119" s="1206">
        <f>IF(スコア!S119=0,0,1)</f>
        <v>0</v>
      </c>
      <c r="M119" s="1206">
        <f t="shared" si="124"/>
        <v>0.5</v>
      </c>
      <c r="N119" s="1206">
        <f t="shared" si="120"/>
        <v>0</v>
      </c>
      <c r="P119" s="1207" t="str">
        <f t="shared" si="94"/>
        <v>3.2</v>
      </c>
      <c r="Q119" s="1207" t="str">
        <f t="shared" si="95"/>
        <v xml:space="preserve"> Q3 3</v>
      </c>
      <c r="R119" s="1208" t="str">
        <f t="shared" si="96"/>
        <v>敷地内温熱環境の向上</v>
      </c>
      <c r="S119" s="1759">
        <f t="shared" si="74"/>
        <v>0.5</v>
      </c>
      <c r="T119" s="1759">
        <f t="shared" si="75"/>
        <v>0.5</v>
      </c>
      <c r="U119" s="1759">
        <f t="shared" si="76"/>
        <v>0.5</v>
      </c>
      <c r="V119" s="1759">
        <f t="shared" si="77"/>
        <v>0.5</v>
      </c>
      <c r="W119" s="1759">
        <f t="shared" si="78"/>
        <v>0.5</v>
      </c>
      <c r="X119" s="1759">
        <f t="shared" si="79"/>
        <v>0.5</v>
      </c>
      <c r="Y119" s="1759">
        <f t="shared" si="80"/>
        <v>0.5</v>
      </c>
      <c r="Z119" s="1759">
        <f t="shared" si="81"/>
        <v>0.5</v>
      </c>
      <c r="AA119" s="1759">
        <f t="shared" si="82"/>
        <v>0.5</v>
      </c>
      <c r="AB119" s="1759">
        <f t="shared" si="83"/>
        <v>0.5</v>
      </c>
      <c r="AC119" s="1760">
        <f t="shared" si="84"/>
        <v>0</v>
      </c>
      <c r="AD119" s="1759">
        <f t="shared" si="85"/>
        <v>0</v>
      </c>
      <c r="AE119" s="1759">
        <f t="shared" si="86"/>
        <v>0</v>
      </c>
      <c r="AG119" s="1207" t="s">
        <v>1170</v>
      </c>
      <c r="AH119" s="1211" t="s">
        <v>116</v>
      </c>
      <c r="AI119" s="1255" t="s">
        <v>1171</v>
      </c>
      <c r="AJ119" s="1256">
        <v>0.5</v>
      </c>
      <c r="AK119" s="1256">
        <v>0.5</v>
      </c>
      <c r="AL119" s="1256">
        <v>0.5</v>
      </c>
      <c r="AM119" s="1256">
        <v>0.5</v>
      </c>
      <c r="AN119" s="1256">
        <v>0.5</v>
      </c>
      <c r="AO119" s="1256">
        <v>0.5</v>
      </c>
      <c r="AP119" s="1256">
        <v>0.5</v>
      </c>
      <c r="AQ119" s="1256">
        <v>0.5</v>
      </c>
      <c r="AR119" s="1256">
        <v>0.5</v>
      </c>
      <c r="AS119" s="1257">
        <v>0.5</v>
      </c>
      <c r="AT119" s="1258">
        <v>0</v>
      </c>
      <c r="AU119" s="1257">
        <v>0</v>
      </c>
      <c r="AV119" s="1257">
        <v>0</v>
      </c>
      <c r="AX119" s="1207" t="s">
        <v>1170</v>
      </c>
      <c r="AY119" s="1211" t="s">
        <v>116</v>
      </c>
      <c r="AZ119" s="1255" t="s">
        <v>1171</v>
      </c>
      <c r="BA119" s="1257">
        <v>0.5</v>
      </c>
      <c r="BB119" s="1257">
        <v>0.5</v>
      </c>
      <c r="BC119" s="1257">
        <v>0.5</v>
      </c>
      <c r="BD119" s="1257">
        <v>0.5</v>
      </c>
      <c r="BE119" s="1257">
        <v>0.5</v>
      </c>
      <c r="BF119" s="1257">
        <v>0.5</v>
      </c>
      <c r="BG119" s="1257">
        <v>0.5</v>
      </c>
      <c r="BH119" s="1257">
        <v>0.5</v>
      </c>
      <c r="BI119" s="1257">
        <v>0.5</v>
      </c>
      <c r="BJ119" s="1257">
        <v>0.5</v>
      </c>
      <c r="BK119" s="1258"/>
      <c r="BL119" s="1257"/>
      <c r="BM119" s="1257"/>
      <c r="BO119" s="1207" t="s">
        <v>1170</v>
      </c>
      <c r="BP119" s="1211" t="s">
        <v>116</v>
      </c>
      <c r="BQ119" s="1255" t="s">
        <v>1171</v>
      </c>
      <c r="BR119" s="1257">
        <v>0.5</v>
      </c>
      <c r="BS119" s="1257">
        <v>0.5</v>
      </c>
      <c r="BT119" s="1257">
        <v>0.5</v>
      </c>
      <c r="BU119" s="1257">
        <v>0.5</v>
      </c>
      <c r="BV119" s="1257">
        <v>0.5</v>
      </c>
      <c r="BW119" s="1257">
        <v>0.5</v>
      </c>
      <c r="BX119" s="1257">
        <v>0.5</v>
      </c>
      <c r="BY119" s="1257">
        <v>0.5</v>
      </c>
      <c r="BZ119" s="1257">
        <v>0.5</v>
      </c>
      <c r="CA119" s="1257">
        <v>0.5</v>
      </c>
      <c r="CB119" s="1258"/>
      <c r="CC119" s="1257"/>
      <c r="CD119" s="1257"/>
      <c r="CE119" s="1472"/>
      <c r="CG119" s="1207" t="s">
        <v>1170</v>
      </c>
      <c r="CH119" s="1211" t="s">
        <v>116</v>
      </c>
      <c r="CI119" s="1255" t="s">
        <v>1171</v>
      </c>
      <c r="CJ119" s="1704">
        <f t="shared" si="114"/>
        <v>0.5</v>
      </c>
      <c r="CK119" s="1704">
        <f t="shared" si="102"/>
        <v>0.5</v>
      </c>
      <c r="CL119" s="1704">
        <f t="shared" si="103"/>
        <v>0.5</v>
      </c>
      <c r="CM119" s="1704">
        <f t="shared" si="104"/>
        <v>0.5</v>
      </c>
      <c r="CN119" s="1704">
        <f t="shared" si="105"/>
        <v>0.5</v>
      </c>
      <c r="CO119" s="1704">
        <f t="shared" si="106"/>
        <v>0.5</v>
      </c>
      <c r="CP119" s="1704">
        <f t="shared" si="107"/>
        <v>0.5</v>
      </c>
      <c r="CQ119" s="1704">
        <f t="shared" si="108"/>
        <v>0.5</v>
      </c>
      <c r="CR119" s="1704">
        <f t="shared" si="109"/>
        <v>0.5</v>
      </c>
      <c r="CS119" s="1704">
        <f t="shared" si="110"/>
        <v>0.5</v>
      </c>
      <c r="CT119" s="1705">
        <f t="shared" si="111"/>
        <v>0</v>
      </c>
      <c r="CU119" s="1704">
        <f t="shared" si="112"/>
        <v>0</v>
      </c>
      <c r="CV119" s="1704">
        <f t="shared" si="113"/>
        <v>0</v>
      </c>
      <c r="CX119" s="1207" t="s">
        <v>1170</v>
      </c>
      <c r="CY119" s="1211" t="s">
        <v>116</v>
      </c>
      <c r="CZ119" s="1255" t="s">
        <v>1171</v>
      </c>
      <c r="DA119" s="1824">
        <v>0</v>
      </c>
      <c r="DB119" s="1681"/>
      <c r="DC119" s="1681"/>
      <c r="DD119" s="1681"/>
      <c r="DE119" s="1681"/>
      <c r="DF119" s="1681"/>
      <c r="DG119" s="1681"/>
      <c r="DH119" s="1681"/>
      <c r="DI119" s="1681"/>
      <c r="DJ119" s="1681"/>
      <c r="DK119" s="1805"/>
      <c r="DL119" s="1681"/>
      <c r="DM119" s="1681"/>
    </row>
    <row r="120" spans="2:117" hidden="1">
      <c r="B120" s="1186">
        <f t="shared" si="125"/>
        <v>0</v>
      </c>
      <c r="C120" s="1198">
        <f t="shared" si="93"/>
        <v>0</v>
      </c>
      <c r="D120" s="1194"/>
      <c r="E120" s="1195"/>
      <c r="G120" s="1195">
        <f t="shared" si="122"/>
        <v>0</v>
      </c>
      <c r="H120" s="1195">
        <f t="shared" si="123"/>
        <v>0</v>
      </c>
      <c r="I120" s="1195"/>
      <c r="J120" s="1195"/>
      <c r="K120" s="1195"/>
      <c r="L120" s="1195"/>
      <c r="M120" s="1195">
        <f t="shared" si="124"/>
        <v>0</v>
      </c>
      <c r="N120" s="1195"/>
      <c r="P120" s="1197">
        <f t="shared" si="94"/>
        <v>0</v>
      </c>
      <c r="Q120" s="1197" t="str">
        <f t="shared" si="95"/>
        <v xml:space="preserve"> Q</v>
      </c>
      <c r="R120" s="1198">
        <f t="shared" si="96"/>
        <v>0</v>
      </c>
      <c r="S120" s="1744">
        <f t="shared" si="74"/>
        <v>0</v>
      </c>
      <c r="T120" s="1744">
        <f t="shared" si="75"/>
        <v>0</v>
      </c>
      <c r="U120" s="1744">
        <f t="shared" si="76"/>
        <v>0</v>
      </c>
      <c r="V120" s="1744">
        <f t="shared" si="77"/>
        <v>0</v>
      </c>
      <c r="W120" s="1744">
        <f t="shared" si="78"/>
        <v>0</v>
      </c>
      <c r="X120" s="1744">
        <f t="shared" si="79"/>
        <v>0</v>
      </c>
      <c r="Y120" s="1744">
        <f t="shared" si="80"/>
        <v>0</v>
      </c>
      <c r="Z120" s="1758">
        <f t="shared" si="81"/>
        <v>0</v>
      </c>
      <c r="AA120" s="1744">
        <f t="shared" si="82"/>
        <v>0</v>
      </c>
      <c r="AB120" s="1744">
        <f t="shared" si="83"/>
        <v>0</v>
      </c>
      <c r="AC120" s="1746">
        <f t="shared" si="84"/>
        <v>0</v>
      </c>
      <c r="AD120" s="1744">
        <f t="shared" si="85"/>
        <v>0</v>
      </c>
      <c r="AE120" s="1744">
        <f t="shared" si="86"/>
        <v>0</v>
      </c>
      <c r="AG120" s="1197"/>
      <c r="AH120" s="1201" t="s">
        <v>792</v>
      </c>
      <c r="AI120" s="1198"/>
      <c r="AJ120" s="1202">
        <v>0</v>
      </c>
      <c r="AK120" s="1202">
        <v>0</v>
      </c>
      <c r="AL120" s="1202">
        <v>0</v>
      </c>
      <c r="AM120" s="1202">
        <v>0</v>
      </c>
      <c r="AN120" s="1202">
        <v>0</v>
      </c>
      <c r="AO120" s="1202">
        <v>0</v>
      </c>
      <c r="AP120" s="1202">
        <v>0</v>
      </c>
      <c r="AQ120" s="1252">
        <v>0</v>
      </c>
      <c r="AR120" s="1202">
        <v>0</v>
      </c>
      <c r="AS120" s="1202">
        <v>0</v>
      </c>
      <c r="AT120" s="1203">
        <v>0</v>
      </c>
      <c r="AU120" s="1202">
        <v>0</v>
      </c>
      <c r="AV120" s="1202">
        <v>0</v>
      </c>
      <c r="AX120" s="1197"/>
      <c r="AY120" s="1201" t="s">
        <v>792</v>
      </c>
      <c r="AZ120" s="1198"/>
      <c r="BA120" s="1202"/>
      <c r="BB120" s="1202"/>
      <c r="BC120" s="1202"/>
      <c r="BD120" s="1202"/>
      <c r="BE120" s="1202"/>
      <c r="BF120" s="1202"/>
      <c r="BG120" s="1202"/>
      <c r="BH120" s="1252"/>
      <c r="BI120" s="1202"/>
      <c r="BJ120" s="1202"/>
      <c r="BK120" s="1203"/>
      <c r="BL120" s="1202"/>
      <c r="BM120" s="1202"/>
      <c r="BO120" s="1197"/>
      <c r="BP120" s="1201" t="s">
        <v>792</v>
      </c>
      <c r="BQ120" s="1198"/>
      <c r="BR120" s="1202"/>
      <c r="BS120" s="1202"/>
      <c r="BT120" s="1202"/>
      <c r="BU120" s="1202"/>
      <c r="BV120" s="1202"/>
      <c r="BW120" s="1202"/>
      <c r="BX120" s="1202"/>
      <c r="BY120" s="1252"/>
      <c r="BZ120" s="1202"/>
      <c r="CA120" s="1202"/>
      <c r="CB120" s="1203"/>
      <c r="CC120" s="1202"/>
      <c r="CD120" s="1202"/>
      <c r="CE120" s="1468"/>
      <c r="CG120" s="1197"/>
      <c r="CH120" s="1201" t="s">
        <v>792</v>
      </c>
      <c r="CI120" s="1198"/>
      <c r="CJ120" s="1686">
        <f t="shared" si="114"/>
        <v>0</v>
      </c>
      <c r="CK120" s="1686">
        <f t="shared" si="102"/>
        <v>0</v>
      </c>
      <c r="CL120" s="1686">
        <f t="shared" si="103"/>
        <v>0</v>
      </c>
      <c r="CM120" s="1686">
        <f t="shared" si="104"/>
        <v>0</v>
      </c>
      <c r="CN120" s="1686">
        <f t="shared" si="105"/>
        <v>0</v>
      </c>
      <c r="CO120" s="1686">
        <f t="shared" si="106"/>
        <v>0</v>
      </c>
      <c r="CP120" s="1686">
        <f t="shared" si="107"/>
        <v>0</v>
      </c>
      <c r="CQ120" s="1703">
        <f t="shared" si="108"/>
        <v>0</v>
      </c>
      <c r="CR120" s="1686">
        <f t="shared" si="109"/>
        <v>0</v>
      </c>
      <c r="CS120" s="1686">
        <f t="shared" si="110"/>
        <v>0</v>
      </c>
      <c r="CT120" s="1688">
        <f t="shared" si="111"/>
        <v>0</v>
      </c>
      <c r="CU120" s="1686">
        <f t="shared" si="112"/>
        <v>0</v>
      </c>
      <c r="CV120" s="1686">
        <f t="shared" si="113"/>
        <v>0</v>
      </c>
      <c r="CX120" s="1197"/>
      <c r="CY120" s="1201" t="s">
        <v>792</v>
      </c>
      <c r="CZ120" s="1198"/>
      <c r="DA120" s="1676">
        <f t="shared" si="115"/>
        <v>0</v>
      </c>
      <c r="DB120" s="1676"/>
      <c r="DC120" s="1676"/>
      <c r="DD120" s="1676"/>
      <c r="DE120" s="1676"/>
      <c r="DF120" s="1676"/>
      <c r="DG120" s="1676"/>
      <c r="DH120" s="1804"/>
      <c r="DI120" s="1676"/>
      <c r="DJ120" s="1676"/>
      <c r="DK120" s="1677"/>
      <c r="DL120" s="1676"/>
      <c r="DM120" s="1676"/>
    </row>
    <row r="121" spans="2:117" ht="14.25">
      <c r="B121" s="1259" t="str">
        <f t="shared" si="125"/>
        <v>LR</v>
      </c>
      <c r="C121" s="1178" t="str">
        <f t="shared" si="93"/>
        <v>建築物の環境負荷低減性</v>
      </c>
      <c r="D121" s="1179"/>
      <c r="E121" s="1180"/>
      <c r="G121" s="1180" t="e">
        <f t="shared" si="122"/>
        <v>#VALUE!</v>
      </c>
      <c r="H121" s="1180">
        <f t="shared" si="123"/>
        <v>0</v>
      </c>
      <c r="I121" s="1180" t="e">
        <f>G122+G145+G172</f>
        <v>#VALUE!</v>
      </c>
      <c r="J121" s="1180">
        <f>H122+H145+H172</f>
        <v>0</v>
      </c>
      <c r="K121" s="1180" t="e">
        <f>IF(スコア!U121=0,0,1)</f>
        <v>#VALUE!</v>
      </c>
      <c r="L121" s="1180">
        <f>IF(スコア!S121=0,0,1)</f>
        <v>0</v>
      </c>
      <c r="M121" s="1180">
        <f t="shared" si="124"/>
        <v>0</v>
      </c>
      <c r="N121" s="1180">
        <f t="shared" ref="N121:N156" si="132">(AC$7*AC121)+(AD$7*AD121)+(AE$7*AE121)</f>
        <v>0</v>
      </c>
      <c r="P121" s="1177" t="str">
        <f t="shared" si="94"/>
        <v>LR</v>
      </c>
      <c r="Q121" s="1177" t="str">
        <f t="shared" si="95"/>
        <v xml:space="preserve"> </v>
      </c>
      <c r="R121" s="1260" t="str">
        <f t="shared" si="96"/>
        <v>建築物の環境負荷低減性</v>
      </c>
      <c r="S121" s="1182">
        <f t="shared" si="74"/>
        <v>0</v>
      </c>
      <c r="T121" s="1182">
        <f t="shared" si="75"/>
        <v>0</v>
      </c>
      <c r="U121" s="1182">
        <f t="shared" si="76"/>
        <v>0</v>
      </c>
      <c r="V121" s="1182">
        <f t="shared" si="77"/>
        <v>0</v>
      </c>
      <c r="W121" s="1182">
        <f t="shared" si="78"/>
        <v>0</v>
      </c>
      <c r="X121" s="1182">
        <f t="shared" si="79"/>
        <v>0</v>
      </c>
      <c r="Y121" s="1182">
        <f t="shared" si="80"/>
        <v>0</v>
      </c>
      <c r="Z121" s="1183">
        <f t="shared" si="81"/>
        <v>0</v>
      </c>
      <c r="AA121" s="1182">
        <f t="shared" si="82"/>
        <v>0</v>
      </c>
      <c r="AB121" s="1182">
        <f t="shared" si="83"/>
        <v>0</v>
      </c>
      <c r="AC121" s="1761">
        <f t="shared" si="84"/>
        <v>0</v>
      </c>
      <c r="AD121" s="1762">
        <f t="shared" si="85"/>
        <v>0</v>
      </c>
      <c r="AE121" s="1762">
        <f t="shared" si="86"/>
        <v>0</v>
      </c>
      <c r="AG121" s="1177" t="s">
        <v>1172</v>
      </c>
      <c r="AH121" s="1177" t="s">
        <v>117</v>
      </c>
      <c r="AI121" s="1178" t="s">
        <v>118</v>
      </c>
      <c r="AJ121" s="1182">
        <v>0</v>
      </c>
      <c r="AK121" s="1182">
        <v>0</v>
      </c>
      <c r="AL121" s="1182">
        <v>0</v>
      </c>
      <c r="AM121" s="1182">
        <v>0</v>
      </c>
      <c r="AN121" s="1182">
        <v>0</v>
      </c>
      <c r="AO121" s="1182">
        <v>0</v>
      </c>
      <c r="AP121" s="1182">
        <v>0</v>
      </c>
      <c r="AQ121" s="1183">
        <v>0</v>
      </c>
      <c r="AR121" s="1182">
        <v>0</v>
      </c>
      <c r="AS121" s="1182">
        <v>0</v>
      </c>
      <c r="AT121" s="1184">
        <v>0</v>
      </c>
      <c r="AU121" s="1185">
        <v>0</v>
      </c>
      <c r="AV121" s="1185">
        <v>0</v>
      </c>
      <c r="AX121" s="1177" t="s">
        <v>1173</v>
      </c>
      <c r="AY121" s="1177" t="s">
        <v>117</v>
      </c>
      <c r="AZ121" s="1178" t="s">
        <v>118</v>
      </c>
      <c r="BA121" s="1182"/>
      <c r="BB121" s="1182"/>
      <c r="BC121" s="1182"/>
      <c r="BD121" s="1182"/>
      <c r="BE121" s="1182"/>
      <c r="BF121" s="1182"/>
      <c r="BG121" s="1182"/>
      <c r="BH121" s="1183"/>
      <c r="BI121" s="1182"/>
      <c r="BJ121" s="1182"/>
      <c r="BK121" s="1184"/>
      <c r="BL121" s="1185"/>
      <c r="BM121" s="1185"/>
      <c r="BO121" s="1177" t="s">
        <v>1173</v>
      </c>
      <c r="BP121" s="1177" t="s">
        <v>117</v>
      </c>
      <c r="BQ121" s="1178" t="s">
        <v>118</v>
      </c>
      <c r="BR121" s="1182"/>
      <c r="BS121" s="1182"/>
      <c r="BT121" s="1182"/>
      <c r="BU121" s="1182"/>
      <c r="BV121" s="1182"/>
      <c r="BW121" s="1182"/>
      <c r="BX121" s="1182"/>
      <c r="BY121" s="1183"/>
      <c r="BZ121" s="1182"/>
      <c r="CA121" s="1182"/>
      <c r="CB121" s="1184"/>
      <c r="CC121" s="1185"/>
      <c r="CD121" s="1185"/>
      <c r="CE121" s="1466"/>
      <c r="CG121" s="1177" t="s">
        <v>1172</v>
      </c>
      <c r="CH121" s="1177" t="s">
        <v>117</v>
      </c>
      <c r="CI121" s="1178" t="s">
        <v>118</v>
      </c>
      <c r="CJ121" s="1706">
        <f t="shared" si="114"/>
        <v>0</v>
      </c>
      <c r="CK121" s="1706">
        <f t="shared" si="102"/>
        <v>0</v>
      </c>
      <c r="CL121" s="1706">
        <f t="shared" si="103"/>
        <v>0</v>
      </c>
      <c r="CM121" s="1706">
        <f t="shared" si="104"/>
        <v>0</v>
      </c>
      <c r="CN121" s="1706">
        <f t="shared" si="105"/>
        <v>0</v>
      </c>
      <c r="CO121" s="1706">
        <f t="shared" si="106"/>
        <v>0</v>
      </c>
      <c r="CP121" s="1706">
        <f t="shared" si="107"/>
        <v>0</v>
      </c>
      <c r="CQ121" s="1707">
        <f t="shared" si="108"/>
        <v>0</v>
      </c>
      <c r="CR121" s="1706">
        <f t="shared" si="109"/>
        <v>0</v>
      </c>
      <c r="CS121" s="1706">
        <f t="shared" si="110"/>
        <v>0</v>
      </c>
      <c r="CT121" s="1708">
        <f t="shared" si="111"/>
        <v>0</v>
      </c>
      <c r="CU121" s="1709">
        <f t="shared" si="112"/>
        <v>0</v>
      </c>
      <c r="CV121" s="1709">
        <f t="shared" si="113"/>
        <v>0</v>
      </c>
      <c r="CX121" s="1177" t="s">
        <v>1172</v>
      </c>
      <c r="CY121" s="1177" t="s">
        <v>117</v>
      </c>
      <c r="CZ121" s="1178" t="s">
        <v>118</v>
      </c>
      <c r="DA121" s="1806">
        <f t="shared" si="115"/>
        <v>0</v>
      </c>
      <c r="DB121" s="1806"/>
      <c r="DC121" s="1806"/>
      <c r="DD121" s="1806"/>
      <c r="DE121" s="1806"/>
      <c r="DF121" s="1806"/>
      <c r="DG121" s="1806"/>
      <c r="DH121" s="1807"/>
      <c r="DI121" s="1806"/>
      <c r="DJ121" s="1806"/>
      <c r="DK121" s="1808"/>
      <c r="DL121" s="1809"/>
      <c r="DM121" s="1809"/>
    </row>
    <row r="122" spans="2:117">
      <c r="B122" s="1186" t="str">
        <f t="shared" si="125"/>
        <v>LR1</v>
      </c>
      <c r="C122" s="1189" t="str">
        <f t="shared" si="93"/>
        <v>エネルギー</v>
      </c>
      <c r="D122" s="1261" t="e">
        <f>IF(I$121=0,0,G122/I$121)</f>
        <v>#VALUE!</v>
      </c>
      <c r="E122" s="1188">
        <f>IF(J$121=0,0,H122/J$121)</f>
        <v>0</v>
      </c>
      <c r="G122" s="1188">
        <f t="shared" si="122"/>
        <v>0.4</v>
      </c>
      <c r="H122" s="1188">
        <f t="shared" si="123"/>
        <v>0</v>
      </c>
      <c r="I122" s="1188">
        <f>G123+G124+G129+G138</f>
        <v>1</v>
      </c>
      <c r="J122" s="1188">
        <f>H123+H124+H129+H138</f>
        <v>0</v>
      </c>
      <c r="K122" s="1188">
        <f>IF(スコア!U122=0,0,1)</f>
        <v>1</v>
      </c>
      <c r="L122" s="1188">
        <f>IF(スコア!S122=0,0,1)</f>
        <v>0</v>
      </c>
      <c r="M122" s="1188">
        <f t="shared" si="124"/>
        <v>0.4</v>
      </c>
      <c r="N122" s="1188">
        <f t="shared" si="132"/>
        <v>0</v>
      </c>
      <c r="P122" s="1186" t="str">
        <f t="shared" si="94"/>
        <v>LR1</v>
      </c>
      <c r="Q122" s="1186" t="str">
        <f t="shared" si="95"/>
        <v>LR</v>
      </c>
      <c r="R122" s="1189" t="str">
        <f t="shared" si="96"/>
        <v>エネルギー</v>
      </c>
      <c r="S122" s="1741">
        <f t="shared" si="74"/>
        <v>0.4</v>
      </c>
      <c r="T122" s="1741">
        <f t="shared" si="75"/>
        <v>0.4</v>
      </c>
      <c r="U122" s="1741">
        <f t="shared" si="76"/>
        <v>0.4</v>
      </c>
      <c r="V122" s="1741">
        <f t="shared" si="77"/>
        <v>0.4</v>
      </c>
      <c r="W122" s="1741">
        <f t="shared" si="78"/>
        <v>0.4</v>
      </c>
      <c r="X122" s="1741">
        <f t="shared" si="79"/>
        <v>0.4</v>
      </c>
      <c r="Y122" s="1741">
        <f t="shared" si="80"/>
        <v>0.4</v>
      </c>
      <c r="Z122" s="1741">
        <f t="shared" si="81"/>
        <v>0.4</v>
      </c>
      <c r="AA122" s="1741">
        <f t="shared" si="82"/>
        <v>0.4</v>
      </c>
      <c r="AB122" s="1741">
        <f t="shared" si="83"/>
        <v>0.4</v>
      </c>
      <c r="AC122" s="1743">
        <f t="shared" si="84"/>
        <v>0</v>
      </c>
      <c r="AD122" s="1741">
        <f t="shared" si="85"/>
        <v>0</v>
      </c>
      <c r="AE122" s="1741">
        <f t="shared" si="86"/>
        <v>0</v>
      </c>
      <c r="AG122" s="1186" t="s">
        <v>1174</v>
      </c>
      <c r="AH122" s="1191" t="s">
        <v>1175</v>
      </c>
      <c r="AI122" s="1189" t="s">
        <v>1176</v>
      </c>
      <c r="AJ122" s="1192">
        <v>0.4</v>
      </c>
      <c r="AK122" s="1192">
        <v>0.4</v>
      </c>
      <c r="AL122" s="1192">
        <v>0.4</v>
      </c>
      <c r="AM122" s="1192">
        <v>0.4</v>
      </c>
      <c r="AN122" s="1192">
        <v>0.4</v>
      </c>
      <c r="AO122" s="1192">
        <v>0.4</v>
      </c>
      <c r="AP122" s="1192">
        <v>0.4</v>
      </c>
      <c r="AQ122" s="1192">
        <v>0.4</v>
      </c>
      <c r="AR122" s="1192">
        <v>0.4</v>
      </c>
      <c r="AS122" s="1192">
        <v>0.4</v>
      </c>
      <c r="AT122" s="1193"/>
      <c r="AU122" s="1192"/>
      <c r="AV122" s="1192"/>
      <c r="AX122" s="1186" t="s">
        <v>1174</v>
      </c>
      <c r="AY122" s="1191" t="s">
        <v>1175</v>
      </c>
      <c r="AZ122" s="1189" t="s">
        <v>1176</v>
      </c>
      <c r="BA122" s="1192">
        <v>0.4</v>
      </c>
      <c r="BB122" s="1192">
        <v>0.4</v>
      </c>
      <c r="BC122" s="1192">
        <v>0.4</v>
      </c>
      <c r="BD122" s="1192">
        <v>0.4</v>
      </c>
      <c r="BE122" s="1192">
        <v>0.4</v>
      </c>
      <c r="BF122" s="1192">
        <v>0.4</v>
      </c>
      <c r="BG122" s="1192">
        <v>0.4</v>
      </c>
      <c r="BH122" s="1192">
        <v>0.4</v>
      </c>
      <c r="BI122" s="1192">
        <v>0.4</v>
      </c>
      <c r="BJ122" s="1192">
        <v>0.4</v>
      </c>
      <c r="BK122" s="1193"/>
      <c r="BL122" s="1192"/>
      <c r="BM122" s="1192"/>
      <c r="BO122" s="1186" t="s">
        <v>1174</v>
      </c>
      <c r="BP122" s="1191" t="s">
        <v>1175</v>
      </c>
      <c r="BQ122" s="1189" t="s">
        <v>1176</v>
      </c>
      <c r="BR122" s="1192">
        <v>0.4</v>
      </c>
      <c r="BS122" s="1192">
        <v>0.4</v>
      </c>
      <c r="BT122" s="1192">
        <v>0.4</v>
      </c>
      <c r="BU122" s="1192">
        <v>0.4</v>
      </c>
      <c r="BV122" s="1192">
        <v>0.4</v>
      </c>
      <c r="BW122" s="1192">
        <v>0.4</v>
      </c>
      <c r="BX122" s="1192">
        <v>0.4</v>
      </c>
      <c r="BY122" s="1192">
        <v>0.4</v>
      </c>
      <c r="BZ122" s="1890">
        <v>0.4</v>
      </c>
      <c r="CA122" s="1192">
        <v>0.4</v>
      </c>
      <c r="CB122" s="1193"/>
      <c r="CC122" s="1192"/>
      <c r="CD122" s="1192"/>
      <c r="CE122" s="1467"/>
      <c r="CG122" s="1186" t="s">
        <v>1050</v>
      </c>
      <c r="CH122" s="1191" t="s">
        <v>1175</v>
      </c>
      <c r="CI122" s="1189" t="s">
        <v>1051</v>
      </c>
      <c r="CJ122" s="1674">
        <v>0.2</v>
      </c>
      <c r="CK122" s="1674">
        <v>0.2</v>
      </c>
      <c r="CL122" s="1674">
        <v>0.2</v>
      </c>
      <c r="CM122" s="1674">
        <v>0.2</v>
      </c>
      <c r="CN122" s="1674">
        <v>0.2</v>
      </c>
      <c r="CO122" s="1674">
        <v>0.2</v>
      </c>
      <c r="CP122" s="1674">
        <v>0.2</v>
      </c>
      <c r="CQ122" s="1674">
        <v>0.2</v>
      </c>
      <c r="CR122" s="1674">
        <v>0.2</v>
      </c>
      <c r="CS122" s="1674">
        <v>0.2</v>
      </c>
      <c r="CT122" s="1675">
        <f t="shared" si="111"/>
        <v>0</v>
      </c>
      <c r="CU122" s="1674">
        <f t="shared" si="112"/>
        <v>0</v>
      </c>
      <c r="CV122" s="1674">
        <f t="shared" si="113"/>
        <v>0</v>
      </c>
      <c r="CX122" s="1186" t="s">
        <v>1050</v>
      </c>
      <c r="CY122" s="1191" t="s">
        <v>1175</v>
      </c>
      <c r="CZ122" s="1189" t="s">
        <v>1051</v>
      </c>
      <c r="DA122" s="1813">
        <v>0.55000000000000004</v>
      </c>
      <c r="DB122" s="1674"/>
      <c r="DC122" s="1674"/>
      <c r="DD122" s="1674"/>
      <c r="DE122" s="1674"/>
      <c r="DF122" s="1674"/>
      <c r="DG122" s="1674"/>
      <c r="DH122" s="1674"/>
      <c r="DI122" s="1674"/>
      <c r="DJ122" s="1674"/>
      <c r="DK122" s="1675"/>
      <c r="DL122" s="1674"/>
      <c r="DM122" s="1674"/>
    </row>
    <row r="123" spans="2:117">
      <c r="B123" s="1186">
        <f t="shared" si="125"/>
        <v>1</v>
      </c>
      <c r="C123" s="1198" t="str">
        <f t="shared" si="93"/>
        <v>建物外皮の熱負荷抑制</v>
      </c>
      <c r="D123" s="1194">
        <f>IF(I$122=0,0,G123/I$122)</f>
        <v>0.2</v>
      </c>
      <c r="E123" s="1195">
        <f>IF(J$122=0,0,H123/J$122)</f>
        <v>0</v>
      </c>
      <c r="G123" s="1195">
        <f t="shared" si="122"/>
        <v>0.2</v>
      </c>
      <c r="H123" s="1195">
        <f t="shared" si="123"/>
        <v>0</v>
      </c>
      <c r="I123" s="1195"/>
      <c r="J123" s="1195"/>
      <c r="K123" s="1195">
        <f>IF(スコア!Q123=0,0,1)</f>
        <v>1</v>
      </c>
      <c r="L123" s="1195">
        <f>IF(スコア!S123=0,0,1)</f>
        <v>0</v>
      </c>
      <c r="M123" s="1195">
        <f t="shared" si="124"/>
        <v>0.2</v>
      </c>
      <c r="N123" s="1195">
        <f t="shared" si="132"/>
        <v>0</v>
      </c>
      <c r="P123" s="1262">
        <f t="shared" si="94"/>
        <v>1</v>
      </c>
      <c r="Q123" s="1197" t="str">
        <f t="shared" si="95"/>
        <v>LR1</v>
      </c>
      <c r="R123" s="1198" t="str">
        <f t="shared" si="96"/>
        <v>建物外皮の熱負荷抑制</v>
      </c>
      <c r="S123" s="1756">
        <f t="shared" si="74"/>
        <v>0.2</v>
      </c>
      <c r="T123" s="1756">
        <f t="shared" si="75"/>
        <v>0.2</v>
      </c>
      <c r="U123" s="1756">
        <f t="shared" si="76"/>
        <v>0.2</v>
      </c>
      <c r="V123" s="1756">
        <f t="shared" si="77"/>
        <v>0.2</v>
      </c>
      <c r="W123" s="1756">
        <f t="shared" si="78"/>
        <v>0.2</v>
      </c>
      <c r="X123" s="1756">
        <f t="shared" si="79"/>
        <v>0.2</v>
      </c>
      <c r="Y123" s="1756">
        <f t="shared" si="80"/>
        <v>0.2</v>
      </c>
      <c r="Z123" s="1745">
        <f t="shared" si="81"/>
        <v>0.2</v>
      </c>
      <c r="AA123" s="1756">
        <f t="shared" si="82"/>
        <v>0.2</v>
      </c>
      <c r="AB123" s="1756">
        <f t="shared" si="83"/>
        <v>0.2</v>
      </c>
      <c r="AC123" s="1746">
        <f t="shared" si="84"/>
        <v>0</v>
      </c>
      <c r="AD123" s="1744">
        <f t="shared" si="85"/>
        <v>0</v>
      </c>
      <c r="AE123" s="1744">
        <f t="shared" si="86"/>
        <v>0</v>
      </c>
      <c r="AG123" s="1262">
        <v>1</v>
      </c>
      <c r="AH123" s="1201" t="s">
        <v>1474</v>
      </c>
      <c r="AI123" s="1198" t="s">
        <v>1822</v>
      </c>
      <c r="AJ123" s="1247">
        <v>0.2</v>
      </c>
      <c r="AK123" s="1247">
        <v>0.2</v>
      </c>
      <c r="AL123" s="1247">
        <v>0.2</v>
      </c>
      <c r="AM123" s="1247">
        <v>0.2</v>
      </c>
      <c r="AN123" s="1247">
        <v>0.2</v>
      </c>
      <c r="AO123" s="1247">
        <v>0.2</v>
      </c>
      <c r="AP123" s="1247">
        <v>0.2</v>
      </c>
      <c r="AQ123" s="1247">
        <v>0.2</v>
      </c>
      <c r="AR123" s="1247"/>
      <c r="AS123" s="1247">
        <v>0.2</v>
      </c>
      <c r="AT123" s="1203"/>
      <c r="AU123" s="1202"/>
      <c r="AV123" s="1202"/>
      <c r="AX123" s="1262">
        <v>1</v>
      </c>
      <c r="AY123" s="1201" t="s">
        <v>1474</v>
      </c>
      <c r="AZ123" s="1198" t="s">
        <v>1822</v>
      </c>
      <c r="BA123" s="1247">
        <v>0.2</v>
      </c>
      <c r="BB123" s="1247">
        <v>0.2</v>
      </c>
      <c r="BC123" s="1247">
        <v>0.2</v>
      </c>
      <c r="BD123" s="1247">
        <v>0.2</v>
      </c>
      <c r="BE123" s="1247">
        <v>0.2</v>
      </c>
      <c r="BF123" s="1247">
        <v>0.2</v>
      </c>
      <c r="BG123" s="1247">
        <v>0.2</v>
      </c>
      <c r="BH123" s="1247">
        <v>0.2</v>
      </c>
      <c r="BI123" s="1247">
        <v>0.2</v>
      </c>
      <c r="BJ123" s="1247">
        <v>0.2</v>
      </c>
      <c r="BK123" s="1203"/>
      <c r="BL123" s="1202"/>
      <c r="BM123" s="1202"/>
      <c r="BO123" s="1262">
        <v>1</v>
      </c>
      <c r="BP123" s="1201" t="s">
        <v>1474</v>
      </c>
      <c r="BQ123" s="1198" t="s">
        <v>1822</v>
      </c>
      <c r="BR123" s="1247">
        <v>0.2</v>
      </c>
      <c r="BS123" s="1247">
        <v>0.2</v>
      </c>
      <c r="BT123" s="1247">
        <v>0.2</v>
      </c>
      <c r="BU123" s="1247">
        <v>0.2</v>
      </c>
      <c r="BV123" s="1247">
        <v>0.2</v>
      </c>
      <c r="BW123" s="1247">
        <v>0.2</v>
      </c>
      <c r="BX123" s="1247">
        <v>0.2</v>
      </c>
      <c r="BY123" s="1247">
        <v>0.2</v>
      </c>
      <c r="BZ123" s="1890">
        <v>0.2</v>
      </c>
      <c r="CA123" s="1247">
        <v>0.2</v>
      </c>
      <c r="CB123" s="1203"/>
      <c r="CC123" s="1202"/>
      <c r="CD123" s="1202"/>
      <c r="CE123" s="1468"/>
      <c r="CG123" s="1262">
        <v>1</v>
      </c>
      <c r="CH123" s="1201" t="s">
        <v>1474</v>
      </c>
      <c r="CI123" s="1198" t="s">
        <v>1822</v>
      </c>
      <c r="CJ123" s="1699">
        <f t="shared" si="114"/>
        <v>0.2</v>
      </c>
      <c r="CK123" s="1699">
        <f t="shared" si="102"/>
        <v>0.2</v>
      </c>
      <c r="CL123" s="1699">
        <f t="shared" si="103"/>
        <v>0.2</v>
      </c>
      <c r="CM123" s="1699">
        <f t="shared" si="104"/>
        <v>0.2</v>
      </c>
      <c r="CN123" s="1699">
        <f t="shared" si="105"/>
        <v>0.2</v>
      </c>
      <c r="CO123" s="1699">
        <f t="shared" si="106"/>
        <v>0.2</v>
      </c>
      <c r="CP123" s="1699">
        <f t="shared" si="107"/>
        <v>0.2</v>
      </c>
      <c r="CQ123" s="1699">
        <f t="shared" si="108"/>
        <v>0.2</v>
      </c>
      <c r="CR123" s="1699">
        <f t="shared" si="109"/>
        <v>0.2</v>
      </c>
      <c r="CS123" s="1699">
        <f t="shared" si="110"/>
        <v>0.2</v>
      </c>
      <c r="CT123" s="1688">
        <f t="shared" si="111"/>
        <v>0</v>
      </c>
      <c r="CU123" s="1686">
        <f t="shared" si="112"/>
        <v>0</v>
      </c>
      <c r="CV123" s="1686">
        <f t="shared" si="113"/>
        <v>0</v>
      </c>
      <c r="CX123" s="1262">
        <v>1</v>
      </c>
      <c r="CY123" s="1201" t="s">
        <v>1474</v>
      </c>
      <c r="CZ123" s="1198" t="s">
        <v>1822</v>
      </c>
      <c r="DA123" s="1679">
        <f t="shared" si="115"/>
        <v>0.2</v>
      </c>
      <c r="DB123" s="1679"/>
      <c r="DC123" s="1679"/>
      <c r="DD123" s="1679"/>
      <c r="DE123" s="1679"/>
      <c r="DF123" s="1679"/>
      <c r="DG123" s="1679"/>
      <c r="DH123" s="1679"/>
      <c r="DI123" s="1679"/>
      <c r="DJ123" s="1679"/>
      <c r="DK123" s="1677"/>
      <c r="DL123" s="1676"/>
      <c r="DM123" s="1676"/>
    </row>
    <row r="124" spans="2:117">
      <c r="B124" s="1186">
        <f t="shared" si="125"/>
        <v>2</v>
      </c>
      <c r="C124" s="1198" t="str">
        <f t="shared" si="93"/>
        <v>自然エネルギー利用</v>
      </c>
      <c r="D124" s="1194">
        <f>IF(I$122=0,0,G124/I$122)</f>
        <v>0.1</v>
      </c>
      <c r="E124" s="1195">
        <f>IF(J$122=0,0,H124/J$122)</f>
        <v>0</v>
      </c>
      <c r="G124" s="1195">
        <f>K124*M124</f>
        <v>0.1</v>
      </c>
      <c r="H124" s="1195">
        <f t="shared" si="123"/>
        <v>0</v>
      </c>
      <c r="I124" s="1263">
        <f>SUM(G125:G126)</f>
        <v>0</v>
      </c>
      <c r="J124" s="1263">
        <f>SUM(H125:H126)</f>
        <v>0</v>
      </c>
      <c r="K124" s="1195">
        <f>IF(スコア!Q124=0,0,1)</f>
        <v>1</v>
      </c>
      <c r="L124" s="1195">
        <f>IF(スコア!S124=0,0,1)</f>
        <v>0</v>
      </c>
      <c r="M124" s="1195">
        <f t="shared" si="124"/>
        <v>0.1</v>
      </c>
      <c r="N124" s="1195">
        <f t="shared" si="132"/>
        <v>0</v>
      </c>
      <c r="P124" s="1197">
        <f t="shared" si="94"/>
        <v>2</v>
      </c>
      <c r="Q124" s="1197" t="str">
        <f t="shared" si="95"/>
        <v>LR1</v>
      </c>
      <c r="R124" s="1198" t="str">
        <f t="shared" si="96"/>
        <v>自然エネルギー利用</v>
      </c>
      <c r="S124" s="1756">
        <f t="shared" si="74"/>
        <v>0.1</v>
      </c>
      <c r="T124" s="1756">
        <f t="shared" si="75"/>
        <v>0.1</v>
      </c>
      <c r="U124" s="1756">
        <f t="shared" si="76"/>
        <v>0.1</v>
      </c>
      <c r="V124" s="1756">
        <f t="shared" si="77"/>
        <v>0.1</v>
      </c>
      <c r="W124" s="1756">
        <f t="shared" si="78"/>
        <v>0.1</v>
      </c>
      <c r="X124" s="1756">
        <f t="shared" si="79"/>
        <v>0.1</v>
      </c>
      <c r="Y124" s="1756">
        <f t="shared" si="80"/>
        <v>0.1</v>
      </c>
      <c r="Z124" s="1745">
        <f t="shared" si="81"/>
        <v>0.1</v>
      </c>
      <c r="AA124" s="1756">
        <f t="shared" si="82"/>
        <v>0.1</v>
      </c>
      <c r="AB124" s="1756">
        <f t="shared" si="83"/>
        <v>0.1</v>
      </c>
      <c r="AC124" s="1746">
        <f t="shared" si="84"/>
        <v>0</v>
      </c>
      <c r="AD124" s="1744">
        <f t="shared" si="85"/>
        <v>0</v>
      </c>
      <c r="AE124" s="1744">
        <f t="shared" si="86"/>
        <v>0</v>
      </c>
      <c r="AG124" s="1197">
        <v>2</v>
      </c>
      <c r="AH124" s="1201" t="s">
        <v>1474</v>
      </c>
      <c r="AI124" s="1198" t="s">
        <v>1052</v>
      </c>
      <c r="AJ124" s="1247">
        <v>0.1</v>
      </c>
      <c r="AK124" s="1247">
        <v>0.1</v>
      </c>
      <c r="AL124" s="1247">
        <v>0.1</v>
      </c>
      <c r="AM124" s="1247">
        <v>0.1</v>
      </c>
      <c r="AN124" s="1247">
        <v>0.1</v>
      </c>
      <c r="AO124" s="1247">
        <v>0.1</v>
      </c>
      <c r="AP124" s="1247">
        <v>0.1</v>
      </c>
      <c r="AQ124" s="1247">
        <v>0.1</v>
      </c>
      <c r="AR124" s="1348">
        <v>0.125</v>
      </c>
      <c r="AS124" s="1247">
        <v>0.1</v>
      </c>
      <c r="AT124" s="1203"/>
      <c r="AU124" s="1202"/>
      <c r="AV124" s="1202"/>
      <c r="AX124" s="1197">
        <v>2</v>
      </c>
      <c r="AY124" s="1201" t="s">
        <v>1474</v>
      </c>
      <c r="AZ124" s="1198" t="s">
        <v>1052</v>
      </c>
      <c r="BA124" s="1247">
        <v>0.1</v>
      </c>
      <c r="BB124" s="1247">
        <v>0.1</v>
      </c>
      <c r="BC124" s="1247">
        <v>0.1</v>
      </c>
      <c r="BD124" s="1247">
        <v>0.1</v>
      </c>
      <c r="BE124" s="1247">
        <v>0.1</v>
      </c>
      <c r="BF124" s="1247">
        <v>0.1</v>
      </c>
      <c r="BG124" s="1247">
        <v>0.1</v>
      </c>
      <c r="BH124" s="1247">
        <v>0.1</v>
      </c>
      <c r="BI124" s="1247">
        <v>0.1</v>
      </c>
      <c r="BJ124" s="1247">
        <v>0.1</v>
      </c>
      <c r="BK124" s="1203"/>
      <c r="BL124" s="1202"/>
      <c r="BM124" s="1202"/>
      <c r="BO124" s="1197">
        <v>2</v>
      </c>
      <c r="BP124" s="1201" t="s">
        <v>1474</v>
      </c>
      <c r="BQ124" s="1198" t="s">
        <v>1052</v>
      </c>
      <c r="BR124" s="1247">
        <v>0.1</v>
      </c>
      <c r="BS124" s="1247">
        <v>0.1</v>
      </c>
      <c r="BT124" s="1247">
        <v>0.1</v>
      </c>
      <c r="BU124" s="1247">
        <v>0.1</v>
      </c>
      <c r="BV124" s="1247">
        <v>0.1</v>
      </c>
      <c r="BW124" s="1247">
        <v>0.1</v>
      </c>
      <c r="BX124" s="1247">
        <v>0.1</v>
      </c>
      <c r="BY124" s="1247">
        <v>0.1</v>
      </c>
      <c r="BZ124" s="1890">
        <v>0.1</v>
      </c>
      <c r="CA124" s="1247">
        <v>0.1</v>
      </c>
      <c r="CB124" s="1203"/>
      <c r="CC124" s="1202"/>
      <c r="CD124" s="1202"/>
      <c r="CE124" s="1468"/>
      <c r="CG124" s="1197">
        <v>2</v>
      </c>
      <c r="CH124" s="1201" t="s">
        <v>1474</v>
      </c>
      <c r="CI124" s="1198" t="s">
        <v>1052</v>
      </c>
      <c r="CJ124" s="1699">
        <f t="shared" si="114"/>
        <v>0.1</v>
      </c>
      <c r="CK124" s="1699">
        <f t="shared" si="102"/>
        <v>0.1</v>
      </c>
      <c r="CL124" s="1699">
        <f t="shared" si="103"/>
        <v>0.1</v>
      </c>
      <c r="CM124" s="1699">
        <f t="shared" si="104"/>
        <v>0.1</v>
      </c>
      <c r="CN124" s="1699">
        <f t="shared" si="105"/>
        <v>0.1</v>
      </c>
      <c r="CO124" s="1699">
        <f t="shared" si="106"/>
        <v>0.1</v>
      </c>
      <c r="CP124" s="1699">
        <f t="shared" si="107"/>
        <v>0.1</v>
      </c>
      <c r="CQ124" s="1699">
        <f t="shared" si="108"/>
        <v>0.1</v>
      </c>
      <c r="CR124" s="1699">
        <f t="shared" si="109"/>
        <v>0.1</v>
      </c>
      <c r="CS124" s="1699">
        <f t="shared" si="110"/>
        <v>0.1</v>
      </c>
      <c r="CT124" s="1688">
        <f t="shared" si="111"/>
        <v>0</v>
      </c>
      <c r="CU124" s="1686">
        <f t="shared" si="112"/>
        <v>0</v>
      </c>
      <c r="CV124" s="1686">
        <f t="shared" si="113"/>
        <v>0</v>
      </c>
      <c r="CX124" s="1197">
        <v>2</v>
      </c>
      <c r="CY124" s="1201" t="s">
        <v>1474</v>
      </c>
      <c r="CZ124" s="1198" t="s">
        <v>1052</v>
      </c>
      <c r="DA124" s="1679">
        <f t="shared" si="115"/>
        <v>0.1</v>
      </c>
      <c r="DB124" s="1679"/>
      <c r="DC124" s="1679"/>
      <c r="DD124" s="1679"/>
      <c r="DE124" s="1679"/>
      <c r="DF124" s="1679"/>
      <c r="DG124" s="1679"/>
      <c r="DH124" s="1679"/>
      <c r="DI124" s="1679"/>
      <c r="DJ124" s="1679"/>
      <c r="DK124" s="1677"/>
      <c r="DL124" s="1676"/>
      <c r="DM124" s="1676"/>
    </row>
    <row r="125" spans="2:117" hidden="1">
      <c r="B125" s="1186">
        <f t="shared" si="125"/>
        <v>0</v>
      </c>
      <c r="C125" s="1198">
        <f t="shared" si="93"/>
        <v>0</v>
      </c>
      <c r="D125" s="1205">
        <f>IF(I$124=0,0,G125/I$124)</f>
        <v>0</v>
      </c>
      <c r="E125" s="1205">
        <f>IF(J$124=0,0,H125/J$124)</f>
        <v>0</v>
      </c>
      <c r="G125" s="1195">
        <f t="shared" si="122"/>
        <v>0</v>
      </c>
      <c r="H125" s="1195">
        <f t="shared" si="123"/>
        <v>0</v>
      </c>
      <c r="I125" s="1195"/>
      <c r="J125" s="1195"/>
      <c r="K125" s="1206">
        <f>IF(スコア!Q125=0,0,1)</f>
        <v>0</v>
      </c>
      <c r="L125" s="1206">
        <f>IF(スコア!S125=0,0,1)</f>
        <v>0</v>
      </c>
      <c r="M125" s="1206">
        <f t="shared" si="124"/>
        <v>0</v>
      </c>
      <c r="N125" s="1206">
        <f t="shared" si="132"/>
        <v>0</v>
      </c>
      <c r="P125" s="1197">
        <f t="shared" si="94"/>
        <v>0</v>
      </c>
      <c r="Q125" s="1197" t="str">
        <f t="shared" si="95"/>
        <v>LR</v>
      </c>
      <c r="R125" s="1198">
        <f t="shared" si="96"/>
        <v>0</v>
      </c>
      <c r="S125" s="1747">
        <f t="shared" si="74"/>
        <v>0</v>
      </c>
      <c r="T125" s="1747">
        <f t="shared" si="75"/>
        <v>0</v>
      </c>
      <c r="U125" s="1747">
        <f t="shared" si="76"/>
        <v>0</v>
      </c>
      <c r="V125" s="1747">
        <f t="shared" si="77"/>
        <v>0</v>
      </c>
      <c r="W125" s="1747">
        <f t="shared" si="78"/>
        <v>0</v>
      </c>
      <c r="X125" s="1747">
        <f t="shared" si="79"/>
        <v>0</v>
      </c>
      <c r="Y125" s="1747">
        <f t="shared" si="80"/>
        <v>0</v>
      </c>
      <c r="Z125" s="1749">
        <f t="shared" si="81"/>
        <v>0</v>
      </c>
      <c r="AA125" s="1747">
        <f t="shared" si="82"/>
        <v>0</v>
      </c>
      <c r="AB125" s="1747">
        <f t="shared" si="83"/>
        <v>0</v>
      </c>
      <c r="AC125" s="1746">
        <f t="shared" si="84"/>
        <v>0</v>
      </c>
      <c r="AD125" s="1744">
        <f t="shared" si="85"/>
        <v>0</v>
      </c>
      <c r="AE125" s="1744">
        <f t="shared" si="86"/>
        <v>0</v>
      </c>
      <c r="AG125" s="1197"/>
      <c r="AH125" s="1201" t="s">
        <v>119</v>
      </c>
      <c r="AI125" s="1198" t="s">
        <v>1053</v>
      </c>
      <c r="AJ125" s="1247"/>
      <c r="AK125" s="1247"/>
      <c r="AL125" s="1247"/>
      <c r="AM125" s="1247"/>
      <c r="AN125" s="1247"/>
      <c r="AO125" s="1247"/>
      <c r="AP125" s="1247"/>
      <c r="AQ125" s="1247"/>
      <c r="AR125" s="1247"/>
      <c r="AS125" s="1247"/>
      <c r="AT125" s="1203"/>
      <c r="AU125" s="1202"/>
      <c r="AV125" s="1202"/>
      <c r="AX125" s="1197"/>
      <c r="AY125" s="1201" t="s">
        <v>119</v>
      </c>
      <c r="AZ125" s="1198" t="s">
        <v>854</v>
      </c>
      <c r="BA125" s="1247"/>
      <c r="BB125" s="1247"/>
      <c r="BC125" s="1247"/>
      <c r="BD125" s="1247"/>
      <c r="BE125" s="1247"/>
      <c r="BF125" s="1247"/>
      <c r="BG125" s="1247"/>
      <c r="BH125" s="1247"/>
      <c r="BI125" s="1247"/>
      <c r="BJ125" s="1247"/>
      <c r="BK125" s="1203"/>
      <c r="BL125" s="1202"/>
      <c r="BM125" s="1202"/>
      <c r="BO125" s="1197"/>
      <c r="BP125" s="1201" t="s">
        <v>119</v>
      </c>
      <c r="BQ125" s="1198"/>
      <c r="BR125" s="1247"/>
      <c r="BS125" s="1247"/>
      <c r="BT125" s="1247"/>
      <c r="BU125" s="1247"/>
      <c r="BV125" s="1247"/>
      <c r="BW125" s="1247"/>
      <c r="BX125" s="1247"/>
      <c r="BY125" s="1247"/>
      <c r="BZ125" s="1890"/>
      <c r="CA125" s="1247"/>
      <c r="CB125" s="1203"/>
      <c r="CC125" s="1202"/>
      <c r="CD125" s="1202"/>
      <c r="CE125" s="1468"/>
      <c r="CG125" s="1197"/>
      <c r="CH125" s="1201" t="s">
        <v>119</v>
      </c>
      <c r="CI125" s="1198"/>
      <c r="CJ125" s="1699">
        <f t="shared" si="114"/>
        <v>0</v>
      </c>
      <c r="CK125" s="1699">
        <f t="shared" si="102"/>
        <v>0</v>
      </c>
      <c r="CL125" s="1699">
        <f t="shared" si="103"/>
        <v>0</v>
      </c>
      <c r="CM125" s="1699">
        <f t="shared" si="104"/>
        <v>0</v>
      </c>
      <c r="CN125" s="1699">
        <f t="shared" si="105"/>
        <v>0</v>
      </c>
      <c r="CO125" s="1699">
        <f t="shared" si="106"/>
        <v>0</v>
      </c>
      <c r="CP125" s="1699">
        <f t="shared" si="107"/>
        <v>0</v>
      </c>
      <c r="CQ125" s="1699">
        <f t="shared" si="108"/>
        <v>0</v>
      </c>
      <c r="CR125" s="1699">
        <f t="shared" si="109"/>
        <v>0</v>
      </c>
      <c r="CS125" s="1699">
        <f t="shared" si="110"/>
        <v>0</v>
      </c>
      <c r="CT125" s="1688">
        <f t="shared" si="111"/>
        <v>0</v>
      </c>
      <c r="CU125" s="1686">
        <f t="shared" si="112"/>
        <v>0</v>
      </c>
      <c r="CV125" s="1686">
        <f t="shared" si="113"/>
        <v>0</v>
      </c>
      <c r="CX125" s="1197"/>
      <c r="CY125" s="1201" t="s">
        <v>119</v>
      </c>
      <c r="CZ125" s="1198"/>
      <c r="DA125" s="1679">
        <f t="shared" si="115"/>
        <v>0</v>
      </c>
      <c r="DB125" s="1679"/>
      <c r="DC125" s="1679"/>
      <c r="DD125" s="1679"/>
      <c r="DE125" s="1679"/>
      <c r="DF125" s="1679"/>
      <c r="DG125" s="1679"/>
      <c r="DH125" s="1679"/>
      <c r="DI125" s="1679"/>
      <c r="DJ125" s="1679"/>
      <c r="DK125" s="1677"/>
      <c r="DL125" s="1676"/>
      <c r="DM125" s="1676"/>
    </row>
    <row r="126" spans="2:117" hidden="1">
      <c r="B126" s="1186">
        <f t="shared" si="125"/>
        <v>0</v>
      </c>
      <c r="C126" s="1198">
        <f t="shared" si="93"/>
        <v>0</v>
      </c>
      <c r="D126" s="1205">
        <f>IF(I$124=0,0,G126/I$124)</f>
        <v>0</v>
      </c>
      <c r="E126" s="1205">
        <f>IF(J$124=0,0,H126/J$124)</f>
        <v>0</v>
      </c>
      <c r="G126" s="1195">
        <f t="shared" si="122"/>
        <v>0</v>
      </c>
      <c r="H126" s="1195">
        <f t="shared" si="123"/>
        <v>0</v>
      </c>
      <c r="I126" s="1263">
        <f>SUM(G127:G128)</f>
        <v>0</v>
      </c>
      <c r="J126" s="1263">
        <f>SUM(H127:H128)</f>
        <v>0</v>
      </c>
      <c r="K126" s="1206">
        <f>IF(スコア!Q126=0,0,1)</f>
        <v>0</v>
      </c>
      <c r="L126" s="1206">
        <f>IF(スコア!S126=0,0,1)</f>
        <v>0</v>
      </c>
      <c r="M126" s="1206">
        <f t="shared" si="124"/>
        <v>0</v>
      </c>
      <c r="N126" s="1206">
        <f t="shared" si="132"/>
        <v>0</v>
      </c>
      <c r="P126" s="1197">
        <f t="shared" si="94"/>
        <v>0</v>
      </c>
      <c r="Q126" s="1197" t="str">
        <f t="shared" si="95"/>
        <v>LR</v>
      </c>
      <c r="R126" s="1198">
        <f t="shared" si="96"/>
        <v>0</v>
      </c>
      <c r="S126" s="1747">
        <f t="shared" si="74"/>
        <v>0</v>
      </c>
      <c r="T126" s="1747">
        <f t="shared" si="75"/>
        <v>0</v>
      </c>
      <c r="U126" s="1747">
        <f t="shared" si="76"/>
        <v>0</v>
      </c>
      <c r="V126" s="1747">
        <f t="shared" si="77"/>
        <v>0</v>
      </c>
      <c r="W126" s="1747">
        <f t="shared" si="78"/>
        <v>0</v>
      </c>
      <c r="X126" s="1747">
        <f t="shared" si="79"/>
        <v>0</v>
      </c>
      <c r="Y126" s="1747">
        <f t="shared" si="80"/>
        <v>0</v>
      </c>
      <c r="Z126" s="1749">
        <f t="shared" si="81"/>
        <v>0</v>
      </c>
      <c r="AA126" s="1747">
        <f t="shared" si="82"/>
        <v>0</v>
      </c>
      <c r="AB126" s="1747">
        <f t="shared" si="83"/>
        <v>0</v>
      </c>
      <c r="AC126" s="1746">
        <f t="shared" si="84"/>
        <v>0</v>
      </c>
      <c r="AD126" s="1744">
        <f t="shared" si="85"/>
        <v>0</v>
      </c>
      <c r="AE126" s="1744">
        <f t="shared" si="86"/>
        <v>0</v>
      </c>
      <c r="AG126" s="1197"/>
      <c r="AH126" s="1201" t="s">
        <v>119</v>
      </c>
      <c r="AI126" s="1198" t="s">
        <v>1054</v>
      </c>
      <c r="AJ126" s="1247"/>
      <c r="AK126" s="1247"/>
      <c r="AL126" s="1247"/>
      <c r="AM126" s="1247"/>
      <c r="AN126" s="1247"/>
      <c r="AO126" s="1247"/>
      <c r="AP126" s="1247"/>
      <c r="AQ126" s="1247"/>
      <c r="AR126" s="1247"/>
      <c r="AS126" s="1247"/>
      <c r="AT126" s="1203"/>
      <c r="AU126" s="1202"/>
      <c r="AV126" s="1202"/>
      <c r="AX126" s="1197"/>
      <c r="AY126" s="1201" t="s">
        <v>119</v>
      </c>
      <c r="AZ126" s="1198" t="s">
        <v>853</v>
      </c>
      <c r="BA126" s="1247">
        <v>1</v>
      </c>
      <c r="BB126" s="1247">
        <v>1</v>
      </c>
      <c r="BC126" s="1247">
        <v>1</v>
      </c>
      <c r="BD126" s="1247">
        <v>1</v>
      </c>
      <c r="BE126" s="1247">
        <v>1</v>
      </c>
      <c r="BF126" s="1247">
        <v>1</v>
      </c>
      <c r="BG126" s="1247">
        <v>1</v>
      </c>
      <c r="BH126" s="1247">
        <v>1</v>
      </c>
      <c r="BI126" s="1247">
        <v>1</v>
      </c>
      <c r="BJ126" s="1247">
        <v>1</v>
      </c>
      <c r="BK126" s="1203"/>
      <c r="BL126" s="1202"/>
      <c r="BM126" s="1202"/>
      <c r="BO126" s="1197"/>
      <c r="BP126" s="1201" t="s">
        <v>119</v>
      </c>
      <c r="BQ126" s="1198"/>
      <c r="BR126" s="1247"/>
      <c r="BS126" s="1247"/>
      <c r="BT126" s="1247"/>
      <c r="BU126" s="1247"/>
      <c r="BV126" s="1247"/>
      <c r="BW126" s="1247"/>
      <c r="BX126" s="1247"/>
      <c r="BY126" s="1247"/>
      <c r="BZ126" s="1890"/>
      <c r="CA126" s="1247"/>
      <c r="CB126" s="1203"/>
      <c r="CC126" s="1202"/>
      <c r="CD126" s="1202"/>
      <c r="CE126" s="1468"/>
      <c r="CG126" s="1197"/>
      <c r="CH126" s="1201" t="s">
        <v>119</v>
      </c>
      <c r="CI126" s="1198"/>
      <c r="CJ126" s="1699">
        <f t="shared" si="114"/>
        <v>0</v>
      </c>
      <c r="CK126" s="1699">
        <f t="shared" si="102"/>
        <v>0</v>
      </c>
      <c r="CL126" s="1699">
        <f t="shared" si="103"/>
        <v>0</v>
      </c>
      <c r="CM126" s="1699">
        <f t="shared" si="104"/>
        <v>0</v>
      </c>
      <c r="CN126" s="1699">
        <f t="shared" si="105"/>
        <v>0</v>
      </c>
      <c r="CO126" s="1699">
        <f t="shared" si="106"/>
        <v>0</v>
      </c>
      <c r="CP126" s="1699">
        <f t="shared" si="107"/>
        <v>0</v>
      </c>
      <c r="CQ126" s="1699">
        <f t="shared" si="108"/>
        <v>0</v>
      </c>
      <c r="CR126" s="1699">
        <f t="shared" si="109"/>
        <v>0</v>
      </c>
      <c r="CS126" s="1699">
        <f t="shared" si="110"/>
        <v>0</v>
      </c>
      <c r="CT126" s="1688">
        <f t="shared" si="111"/>
        <v>0</v>
      </c>
      <c r="CU126" s="1686">
        <f t="shared" si="112"/>
        <v>0</v>
      </c>
      <c r="CV126" s="1686">
        <f t="shared" si="113"/>
        <v>0</v>
      </c>
      <c r="CX126" s="1197"/>
      <c r="CY126" s="1201" t="s">
        <v>119</v>
      </c>
      <c r="CZ126" s="1198"/>
      <c r="DA126" s="1679">
        <f t="shared" si="115"/>
        <v>0</v>
      </c>
      <c r="DB126" s="1679"/>
      <c r="DC126" s="1679"/>
      <c r="DD126" s="1679"/>
      <c r="DE126" s="1679"/>
      <c r="DF126" s="1679"/>
      <c r="DG126" s="1679"/>
      <c r="DH126" s="1679"/>
      <c r="DI126" s="1679"/>
      <c r="DJ126" s="1679"/>
      <c r="DK126" s="1677"/>
      <c r="DL126" s="1676"/>
      <c r="DM126" s="1676"/>
    </row>
    <row r="127" spans="2:117" hidden="1">
      <c r="B127" s="1186" t="str">
        <f t="shared" si="125"/>
        <v>2.1</v>
      </c>
      <c r="C127" s="1208">
        <f t="shared" si="93"/>
        <v>0</v>
      </c>
      <c r="D127" s="1205">
        <f>IF(I$126=0,0,G127/I$126)</f>
        <v>0</v>
      </c>
      <c r="E127" s="1205">
        <f>IF(J$126=0,0,H127/J$126)</f>
        <v>0</v>
      </c>
      <c r="G127" s="1206">
        <f t="shared" si="122"/>
        <v>0</v>
      </c>
      <c r="H127" s="1206">
        <f t="shared" si="123"/>
        <v>0</v>
      </c>
      <c r="I127" s="1206"/>
      <c r="J127" s="1206"/>
      <c r="K127" s="1206">
        <f>IF(スコア!Q127=0,0,1)</f>
        <v>0</v>
      </c>
      <c r="L127" s="1206">
        <f>IF(スコア!S127=0,0,1)</f>
        <v>0</v>
      </c>
      <c r="M127" s="1206">
        <f t="shared" si="124"/>
        <v>0</v>
      </c>
      <c r="N127" s="1206">
        <f t="shared" si="132"/>
        <v>0</v>
      </c>
      <c r="P127" s="1207" t="str">
        <f t="shared" si="94"/>
        <v>2.1</v>
      </c>
      <c r="Q127" s="1207" t="str">
        <f t="shared" si="95"/>
        <v>LR1 2</v>
      </c>
      <c r="R127" s="1208">
        <f t="shared" si="96"/>
        <v>0</v>
      </c>
      <c r="S127" s="1747">
        <f t="shared" si="74"/>
        <v>0</v>
      </c>
      <c r="T127" s="1747">
        <f t="shared" si="75"/>
        <v>0</v>
      </c>
      <c r="U127" s="1747">
        <f t="shared" si="76"/>
        <v>0</v>
      </c>
      <c r="V127" s="1747">
        <f t="shared" si="77"/>
        <v>0</v>
      </c>
      <c r="W127" s="1747">
        <f t="shared" si="78"/>
        <v>0</v>
      </c>
      <c r="X127" s="1747">
        <f t="shared" si="79"/>
        <v>0</v>
      </c>
      <c r="Y127" s="1747">
        <f t="shared" si="80"/>
        <v>0</v>
      </c>
      <c r="Z127" s="1749">
        <f t="shared" si="81"/>
        <v>0</v>
      </c>
      <c r="AA127" s="1747">
        <f t="shared" si="82"/>
        <v>0</v>
      </c>
      <c r="AB127" s="1747">
        <f t="shared" si="83"/>
        <v>0</v>
      </c>
      <c r="AC127" s="1760">
        <f t="shared" si="84"/>
        <v>0</v>
      </c>
      <c r="AD127" s="1759">
        <f t="shared" si="85"/>
        <v>0</v>
      </c>
      <c r="AE127" s="1759">
        <f t="shared" si="86"/>
        <v>0</v>
      </c>
      <c r="AG127" s="1207" t="s">
        <v>1177</v>
      </c>
      <c r="AH127" s="1211" t="s">
        <v>120</v>
      </c>
      <c r="AI127" s="1208" t="s">
        <v>1055</v>
      </c>
      <c r="AJ127" s="1213"/>
      <c r="AK127" s="1213"/>
      <c r="AL127" s="1213"/>
      <c r="AM127" s="1213"/>
      <c r="AN127" s="1213"/>
      <c r="AO127" s="1213"/>
      <c r="AP127" s="1213"/>
      <c r="AQ127" s="1213"/>
      <c r="AR127" s="1213"/>
      <c r="AS127" s="1213"/>
      <c r="AT127" s="1258"/>
      <c r="AU127" s="1257"/>
      <c r="AV127" s="1257"/>
      <c r="AX127" s="1207" t="s">
        <v>1177</v>
      </c>
      <c r="AY127" s="1211" t="s">
        <v>120</v>
      </c>
      <c r="AZ127" s="1208" t="s">
        <v>1055</v>
      </c>
      <c r="BA127" s="1213"/>
      <c r="BB127" s="1213"/>
      <c r="BC127" s="1213"/>
      <c r="BD127" s="1213"/>
      <c r="BE127" s="1213"/>
      <c r="BF127" s="1213"/>
      <c r="BG127" s="1213"/>
      <c r="BH127" s="1213"/>
      <c r="BI127" s="1213"/>
      <c r="BJ127" s="1213"/>
      <c r="BK127" s="1258"/>
      <c r="BL127" s="1257"/>
      <c r="BM127" s="1257"/>
      <c r="BO127" s="1207" t="s">
        <v>1177</v>
      </c>
      <c r="BP127" s="1211" t="s">
        <v>120</v>
      </c>
      <c r="BQ127" s="1208"/>
      <c r="BR127" s="1213"/>
      <c r="BS127" s="1213"/>
      <c r="BT127" s="1213"/>
      <c r="BU127" s="1213"/>
      <c r="BV127" s="1213"/>
      <c r="BW127" s="1213"/>
      <c r="BX127" s="1213"/>
      <c r="BY127" s="1213"/>
      <c r="BZ127" s="1891"/>
      <c r="CA127" s="1213"/>
      <c r="CB127" s="1258"/>
      <c r="CC127" s="1257"/>
      <c r="CD127" s="1257"/>
      <c r="CE127" s="1472"/>
      <c r="CG127" s="1207" t="s">
        <v>1177</v>
      </c>
      <c r="CH127" s="1211" t="s">
        <v>120</v>
      </c>
      <c r="CI127" s="1208"/>
      <c r="CJ127" s="1689">
        <f t="shared" si="114"/>
        <v>0</v>
      </c>
      <c r="CK127" s="1689">
        <f t="shared" si="102"/>
        <v>0</v>
      </c>
      <c r="CL127" s="1689">
        <f t="shared" si="103"/>
        <v>0</v>
      </c>
      <c r="CM127" s="1689">
        <f t="shared" si="104"/>
        <v>0</v>
      </c>
      <c r="CN127" s="1689">
        <f t="shared" si="105"/>
        <v>0</v>
      </c>
      <c r="CO127" s="1689">
        <f t="shared" si="106"/>
        <v>0</v>
      </c>
      <c r="CP127" s="1689">
        <f t="shared" si="107"/>
        <v>0</v>
      </c>
      <c r="CQ127" s="1689">
        <f t="shared" si="108"/>
        <v>0</v>
      </c>
      <c r="CR127" s="1689">
        <f t="shared" si="109"/>
        <v>0</v>
      </c>
      <c r="CS127" s="1689">
        <f t="shared" si="110"/>
        <v>0</v>
      </c>
      <c r="CT127" s="1705">
        <f t="shared" si="111"/>
        <v>0</v>
      </c>
      <c r="CU127" s="1704">
        <f t="shared" si="112"/>
        <v>0</v>
      </c>
      <c r="CV127" s="1704">
        <f t="shared" si="113"/>
        <v>0</v>
      </c>
      <c r="CX127" s="1207" t="s">
        <v>1177</v>
      </c>
      <c r="CY127" s="1211" t="s">
        <v>120</v>
      </c>
      <c r="CZ127" s="1208"/>
      <c r="DA127" s="1678">
        <f t="shared" si="115"/>
        <v>0</v>
      </c>
      <c r="DB127" s="1678"/>
      <c r="DC127" s="1678"/>
      <c r="DD127" s="1678"/>
      <c r="DE127" s="1678"/>
      <c r="DF127" s="1678"/>
      <c r="DG127" s="1678"/>
      <c r="DH127" s="1678"/>
      <c r="DI127" s="1678"/>
      <c r="DJ127" s="1678"/>
      <c r="DK127" s="1805"/>
      <c r="DL127" s="1681"/>
      <c r="DM127" s="1681"/>
    </row>
    <row r="128" spans="2:117" hidden="1">
      <c r="B128" s="1186" t="str">
        <f t="shared" si="125"/>
        <v>2.2</v>
      </c>
      <c r="C128" s="1208">
        <f t="shared" si="93"/>
        <v>0</v>
      </c>
      <c r="D128" s="1205">
        <f>IF(I$126=0,0,G128/I$126)</f>
        <v>0</v>
      </c>
      <c r="E128" s="1205">
        <f>IF(J$126=0,0,H128/J$126)</f>
        <v>0</v>
      </c>
      <c r="G128" s="1206">
        <f t="shared" si="122"/>
        <v>0</v>
      </c>
      <c r="H128" s="1206">
        <f t="shared" si="123"/>
        <v>0</v>
      </c>
      <c r="I128" s="1206"/>
      <c r="J128" s="1206"/>
      <c r="K128" s="1206">
        <f>IF(スコア!Q128=0,0,1)</f>
        <v>0</v>
      </c>
      <c r="L128" s="1206">
        <f>IF(スコア!S128=0,0,1)</f>
        <v>0</v>
      </c>
      <c r="M128" s="1206">
        <f t="shared" si="124"/>
        <v>0</v>
      </c>
      <c r="N128" s="1206">
        <f t="shared" si="132"/>
        <v>0</v>
      </c>
      <c r="P128" s="1207" t="str">
        <f t="shared" si="94"/>
        <v>2.2</v>
      </c>
      <c r="Q128" s="1207" t="str">
        <f t="shared" si="95"/>
        <v>LR1 2</v>
      </c>
      <c r="R128" s="1208">
        <f t="shared" si="96"/>
        <v>0</v>
      </c>
      <c r="S128" s="1747">
        <f t="shared" ref="S128:S191" si="133">IF($P$3=1,BA128,IF($P$3=2,BR128,IF($P$3=3,CJ128,IF($P$3=4,DA128,AJ128))))</f>
        <v>0</v>
      </c>
      <c r="T128" s="1747">
        <f t="shared" ref="T128:T191" si="134">IF($P$3=1,BB128,IF($P$3=2,BS128,IF($P$3=3,CK128,IF($P$3=4,DB128,AK128))))</f>
        <v>0</v>
      </c>
      <c r="U128" s="1747">
        <f t="shared" ref="U128:U191" si="135">IF($P$3=1,BC128,IF($P$3=2,BT128,IF($P$3=3,CL128,IF($P$3=4,DC128,AL128))))</f>
        <v>0</v>
      </c>
      <c r="V128" s="1747">
        <f t="shared" ref="V128:V191" si="136">IF($P$3=1,BD128,IF($P$3=2,BU128,IF($P$3=3,CM128,IF($P$3=4,DD128,AM128))))</f>
        <v>0</v>
      </c>
      <c r="W128" s="1747">
        <f t="shared" ref="W128:W191" si="137">IF($P$3=1,BE128,IF($P$3=2,BV128,IF($P$3=3,CN128,IF($P$3=4,DE128,AN128))))</f>
        <v>0</v>
      </c>
      <c r="X128" s="1747">
        <f t="shared" ref="X128:X191" si="138">IF($P$3=1,BF128,IF($P$3=2,BW128,IF($P$3=3,CO128,IF($P$3=4,DF128,AO128))))</f>
        <v>0</v>
      </c>
      <c r="Y128" s="1747">
        <f t="shared" ref="Y128:Y191" si="139">IF($P$3=1,BG128,IF($P$3=2,BX128,IF($P$3=3,CP128,IF($P$3=4,DG128,AP128))))</f>
        <v>0</v>
      </c>
      <c r="Z128" s="1749">
        <f t="shared" ref="Z128:Z191" si="140">IF($P$3=1,BH128,IF($P$3=2,BY128,IF($P$3=3,CQ128,IF($P$3=4,DH128,AQ128))))</f>
        <v>0</v>
      </c>
      <c r="AA128" s="1747">
        <f t="shared" ref="AA128:AA191" si="141">IF($P$3=1,BI128,IF($P$3=2,BZ128,IF($P$3=3,CR128,IF($P$3=4,DI128,AR128))))</f>
        <v>0</v>
      </c>
      <c r="AB128" s="1747">
        <f t="shared" ref="AB128:AB191" si="142">IF($P$3=1,BJ128,IF($P$3=2,CA128,IF($P$3=3,CS128,IF($P$3=4,DJ128,AS128))))</f>
        <v>0</v>
      </c>
      <c r="AC128" s="1760">
        <f t="shared" ref="AC128:AC191" si="143">IF($P$3=1,BK128,IF($P$3=2,CB128,IF($P$3=3,CT128,IF($P$3=4,DK128,AT128))))</f>
        <v>0</v>
      </c>
      <c r="AD128" s="1759">
        <f t="shared" ref="AD128:AD191" si="144">IF($P$3=1,BL128,IF($P$3=2,CC128,IF($P$3=3,CU128,IF($P$3=4,DL128,AU128))))</f>
        <v>0</v>
      </c>
      <c r="AE128" s="1759">
        <f t="shared" ref="AE128:AE191" si="145">IF($P$3=1,BM128,IF($P$3=2,CD128,IF($P$3=3,CV128,IF($P$3=4,DM128,AV128))))</f>
        <v>0</v>
      </c>
      <c r="AG128" s="1207" t="s">
        <v>1178</v>
      </c>
      <c r="AH128" s="1211" t="s">
        <v>120</v>
      </c>
      <c r="AI128" s="1208" t="s">
        <v>1056</v>
      </c>
      <c r="AJ128" s="1213"/>
      <c r="AK128" s="1213"/>
      <c r="AL128" s="1213"/>
      <c r="AM128" s="1213"/>
      <c r="AN128" s="1213"/>
      <c r="AO128" s="1213"/>
      <c r="AP128" s="1213"/>
      <c r="AQ128" s="1213"/>
      <c r="AR128" s="1213"/>
      <c r="AS128" s="1213"/>
      <c r="AT128" s="1258"/>
      <c r="AU128" s="1257"/>
      <c r="AV128" s="1257"/>
      <c r="AX128" s="1207" t="s">
        <v>1178</v>
      </c>
      <c r="AY128" s="1211" t="s">
        <v>120</v>
      </c>
      <c r="AZ128" s="1208" t="s">
        <v>1056</v>
      </c>
      <c r="BA128" s="1213"/>
      <c r="BB128" s="1213"/>
      <c r="BC128" s="1213"/>
      <c r="BD128" s="1213"/>
      <c r="BE128" s="1213"/>
      <c r="BF128" s="1213"/>
      <c r="BG128" s="1213"/>
      <c r="BH128" s="1213"/>
      <c r="BI128" s="1213"/>
      <c r="BJ128" s="1213"/>
      <c r="BK128" s="1258"/>
      <c r="BL128" s="1257"/>
      <c r="BM128" s="1257"/>
      <c r="BO128" s="1207" t="s">
        <v>1178</v>
      </c>
      <c r="BP128" s="1211" t="s">
        <v>120</v>
      </c>
      <c r="BQ128" s="1208"/>
      <c r="BR128" s="1213"/>
      <c r="BS128" s="1213"/>
      <c r="BT128" s="1213"/>
      <c r="BU128" s="1213"/>
      <c r="BV128" s="1213"/>
      <c r="BW128" s="1213"/>
      <c r="BX128" s="1213"/>
      <c r="BY128" s="1213"/>
      <c r="BZ128" s="1891"/>
      <c r="CA128" s="1213"/>
      <c r="CB128" s="1258"/>
      <c r="CC128" s="1257"/>
      <c r="CD128" s="1257"/>
      <c r="CE128" s="1472"/>
      <c r="CG128" s="1207" t="s">
        <v>1178</v>
      </c>
      <c r="CH128" s="1211" t="s">
        <v>120</v>
      </c>
      <c r="CI128" s="1208"/>
      <c r="CJ128" s="1689">
        <f t="shared" si="114"/>
        <v>0</v>
      </c>
      <c r="CK128" s="1689">
        <f t="shared" si="102"/>
        <v>0</v>
      </c>
      <c r="CL128" s="1689">
        <f t="shared" si="103"/>
        <v>0</v>
      </c>
      <c r="CM128" s="1689">
        <f t="shared" si="104"/>
        <v>0</v>
      </c>
      <c r="CN128" s="1689">
        <f t="shared" si="105"/>
        <v>0</v>
      </c>
      <c r="CO128" s="1689">
        <f t="shared" si="106"/>
        <v>0</v>
      </c>
      <c r="CP128" s="1689">
        <f t="shared" si="107"/>
        <v>0</v>
      </c>
      <c r="CQ128" s="1689">
        <f t="shared" si="108"/>
        <v>0</v>
      </c>
      <c r="CR128" s="1689">
        <f t="shared" si="109"/>
        <v>0</v>
      </c>
      <c r="CS128" s="1689">
        <f t="shared" si="110"/>
        <v>0</v>
      </c>
      <c r="CT128" s="1705">
        <f t="shared" si="111"/>
        <v>0</v>
      </c>
      <c r="CU128" s="1704">
        <f t="shared" si="112"/>
        <v>0</v>
      </c>
      <c r="CV128" s="1704">
        <f t="shared" si="113"/>
        <v>0</v>
      </c>
      <c r="CX128" s="1207" t="s">
        <v>1178</v>
      </c>
      <c r="CY128" s="1211" t="s">
        <v>120</v>
      </c>
      <c r="CZ128" s="1208"/>
      <c r="DA128" s="1678">
        <f t="shared" si="115"/>
        <v>0</v>
      </c>
      <c r="DB128" s="1678"/>
      <c r="DC128" s="1678"/>
      <c r="DD128" s="1678"/>
      <c r="DE128" s="1678"/>
      <c r="DF128" s="1678"/>
      <c r="DG128" s="1678"/>
      <c r="DH128" s="1678"/>
      <c r="DI128" s="1678"/>
      <c r="DJ128" s="1678"/>
      <c r="DK128" s="1805"/>
      <c r="DL128" s="1681"/>
      <c r="DM128" s="1681"/>
    </row>
    <row r="129" spans="2:117">
      <c r="B129" s="1186">
        <f t="shared" si="125"/>
        <v>3</v>
      </c>
      <c r="C129" s="1198" t="str">
        <f t="shared" si="93"/>
        <v>設備システムの高効率化</v>
      </c>
      <c r="D129" s="1194">
        <f>IF(I$122=0,0,G129/I$122)</f>
        <v>0.5</v>
      </c>
      <c r="E129" s="1195">
        <f>IF(J$122=0,0,H129/J$122)</f>
        <v>0</v>
      </c>
      <c r="G129" s="1195">
        <f t="shared" si="122"/>
        <v>0.5</v>
      </c>
      <c r="H129" s="1195">
        <f t="shared" si="123"/>
        <v>0</v>
      </c>
      <c r="I129" s="1263">
        <f>SUM(G130:G131)</f>
        <v>0</v>
      </c>
      <c r="J129" s="1263">
        <f>SUM(H130:H131)</f>
        <v>0</v>
      </c>
      <c r="K129" s="1195">
        <f>IF(スコア!Q129=0,0,1)</f>
        <v>1</v>
      </c>
      <c r="L129" s="1195">
        <f>IF(スコア!S129=0,0,1)</f>
        <v>0</v>
      </c>
      <c r="M129" s="1195">
        <f t="shared" si="124"/>
        <v>0.5</v>
      </c>
      <c r="N129" s="1195">
        <f t="shared" si="132"/>
        <v>0</v>
      </c>
      <c r="P129" s="1197">
        <f t="shared" si="94"/>
        <v>3</v>
      </c>
      <c r="Q129" s="1197" t="str">
        <f t="shared" si="95"/>
        <v>LR1</v>
      </c>
      <c r="R129" s="1198" t="str">
        <f t="shared" si="96"/>
        <v>設備システムの高効率化</v>
      </c>
      <c r="S129" s="1756">
        <f t="shared" si="133"/>
        <v>0.5</v>
      </c>
      <c r="T129" s="1756">
        <f t="shared" si="134"/>
        <v>0.5</v>
      </c>
      <c r="U129" s="1756">
        <f t="shared" si="135"/>
        <v>0.5</v>
      </c>
      <c r="V129" s="1756">
        <f t="shared" si="136"/>
        <v>0.5</v>
      </c>
      <c r="W129" s="1756">
        <f t="shared" si="137"/>
        <v>0.5</v>
      </c>
      <c r="X129" s="1756">
        <f t="shared" si="138"/>
        <v>0.5</v>
      </c>
      <c r="Y129" s="1756">
        <f t="shared" si="139"/>
        <v>0.5</v>
      </c>
      <c r="Z129" s="1745">
        <f t="shared" si="140"/>
        <v>0.5</v>
      </c>
      <c r="AA129" s="1756">
        <f t="shared" si="141"/>
        <v>0.5</v>
      </c>
      <c r="AB129" s="1756">
        <f t="shared" si="142"/>
        <v>0.5</v>
      </c>
      <c r="AC129" s="1746">
        <f t="shared" si="143"/>
        <v>0</v>
      </c>
      <c r="AD129" s="1744">
        <f t="shared" si="144"/>
        <v>0</v>
      </c>
      <c r="AE129" s="1744">
        <f t="shared" si="145"/>
        <v>0</v>
      </c>
      <c r="AG129" s="1197">
        <v>3</v>
      </c>
      <c r="AH129" s="1201" t="s">
        <v>1474</v>
      </c>
      <c r="AI129" s="1198" t="s">
        <v>1057</v>
      </c>
      <c r="AJ129" s="1247">
        <v>0.5</v>
      </c>
      <c r="AK129" s="1247">
        <v>0.5</v>
      </c>
      <c r="AL129" s="1247">
        <v>0.5</v>
      </c>
      <c r="AM129" s="1247">
        <v>0.5</v>
      </c>
      <c r="AN129" s="1247">
        <v>0.5</v>
      </c>
      <c r="AO129" s="1247">
        <v>0.5</v>
      </c>
      <c r="AP129" s="1247">
        <v>0.5</v>
      </c>
      <c r="AQ129" s="1247">
        <v>0.5</v>
      </c>
      <c r="AR129" s="1348">
        <v>0.625</v>
      </c>
      <c r="AS129" s="1247">
        <v>0.5</v>
      </c>
      <c r="AT129" s="1203"/>
      <c r="AU129" s="1202"/>
      <c r="AV129" s="1202"/>
      <c r="AX129" s="1197">
        <v>3</v>
      </c>
      <c r="AY129" s="1201" t="s">
        <v>1474</v>
      </c>
      <c r="AZ129" s="1198" t="s">
        <v>1057</v>
      </c>
      <c r="BA129" s="1247">
        <v>0.5</v>
      </c>
      <c r="BB129" s="1247">
        <v>0.5</v>
      </c>
      <c r="BC129" s="1247">
        <v>0.5</v>
      </c>
      <c r="BD129" s="1247">
        <v>0.5</v>
      </c>
      <c r="BE129" s="1247">
        <v>0.5</v>
      </c>
      <c r="BF129" s="1247">
        <v>0.5</v>
      </c>
      <c r="BG129" s="1247">
        <v>0.5</v>
      </c>
      <c r="BH129" s="1247">
        <v>0.5</v>
      </c>
      <c r="BI129" s="1247">
        <v>0.5</v>
      </c>
      <c r="BJ129" s="1247">
        <v>0.5</v>
      </c>
      <c r="BK129" s="1203"/>
      <c r="BL129" s="1202"/>
      <c r="BM129" s="1202"/>
      <c r="BO129" s="1197">
        <v>3</v>
      </c>
      <c r="BP129" s="1201" t="s">
        <v>1474</v>
      </c>
      <c r="BQ129" s="1198" t="s">
        <v>1057</v>
      </c>
      <c r="BR129" s="1247">
        <v>0.5</v>
      </c>
      <c r="BS129" s="1247">
        <v>0.5</v>
      </c>
      <c r="BT129" s="1247">
        <v>0.5</v>
      </c>
      <c r="BU129" s="1247">
        <v>0.5</v>
      </c>
      <c r="BV129" s="1247">
        <v>0.5</v>
      </c>
      <c r="BW129" s="1247">
        <v>0.5</v>
      </c>
      <c r="BX129" s="1247">
        <v>0.5</v>
      </c>
      <c r="BY129" s="1247">
        <v>0.5</v>
      </c>
      <c r="BZ129" s="1890">
        <v>0.5</v>
      </c>
      <c r="CA129" s="1247">
        <v>0.5</v>
      </c>
      <c r="CB129" s="1203"/>
      <c r="CC129" s="1202"/>
      <c r="CD129" s="1202"/>
      <c r="CE129" s="1468"/>
      <c r="CG129" s="1197">
        <v>3</v>
      </c>
      <c r="CH129" s="1201" t="s">
        <v>1474</v>
      </c>
      <c r="CI129" s="1198" t="s">
        <v>1057</v>
      </c>
      <c r="CJ129" s="1699">
        <f t="shared" si="114"/>
        <v>0.5</v>
      </c>
      <c r="CK129" s="1699">
        <f t="shared" si="102"/>
        <v>0.5</v>
      </c>
      <c r="CL129" s="1699">
        <f t="shared" si="103"/>
        <v>0.5</v>
      </c>
      <c r="CM129" s="1699">
        <f t="shared" si="104"/>
        <v>0.5</v>
      </c>
      <c r="CN129" s="1699">
        <f t="shared" si="105"/>
        <v>0.5</v>
      </c>
      <c r="CO129" s="1699">
        <f t="shared" si="106"/>
        <v>0.5</v>
      </c>
      <c r="CP129" s="1699">
        <f t="shared" si="107"/>
        <v>0.5</v>
      </c>
      <c r="CQ129" s="1699">
        <f t="shared" si="108"/>
        <v>0.5</v>
      </c>
      <c r="CR129" s="1699">
        <f t="shared" si="109"/>
        <v>0.5</v>
      </c>
      <c r="CS129" s="1699">
        <f t="shared" si="110"/>
        <v>0.5</v>
      </c>
      <c r="CT129" s="1688">
        <f t="shared" si="111"/>
        <v>0</v>
      </c>
      <c r="CU129" s="1686">
        <f t="shared" si="112"/>
        <v>0</v>
      </c>
      <c r="CV129" s="1686">
        <f t="shared" si="113"/>
        <v>0</v>
      </c>
      <c r="CX129" s="1197">
        <v>3</v>
      </c>
      <c r="CY129" s="1201" t="s">
        <v>1474</v>
      </c>
      <c r="CZ129" s="1198" t="s">
        <v>1057</v>
      </c>
      <c r="DA129" s="1679">
        <f t="shared" si="115"/>
        <v>0.5</v>
      </c>
      <c r="DB129" s="1679"/>
      <c r="DC129" s="1679"/>
      <c r="DD129" s="1679"/>
      <c r="DE129" s="1679"/>
      <c r="DF129" s="1679"/>
      <c r="DG129" s="1679"/>
      <c r="DH129" s="1679"/>
      <c r="DI129" s="1679"/>
      <c r="DJ129" s="1679"/>
      <c r="DK129" s="1677"/>
      <c r="DL129" s="1676"/>
      <c r="DM129" s="1676"/>
    </row>
    <row r="130" spans="2:117" hidden="1">
      <c r="B130" s="1186" t="str">
        <f t="shared" si="125"/>
        <v>3a.3b</v>
      </c>
      <c r="C130" s="1198" t="str">
        <f t="shared" si="93"/>
        <v>非住宅部分</v>
      </c>
      <c r="D130" s="1194">
        <f>IF(I$129=0,0,G130/I$129)</f>
        <v>0</v>
      </c>
      <c r="E130" s="1195">
        <f>IF(J$129=0,0,H130/J$129)</f>
        <v>0</v>
      </c>
      <c r="G130" s="1195">
        <f t="shared" si="122"/>
        <v>0</v>
      </c>
      <c r="H130" s="1195">
        <f t="shared" si="123"/>
        <v>0</v>
      </c>
      <c r="I130" s="1195"/>
      <c r="J130" s="1195"/>
      <c r="K130" s="1195">
        <f>IF(スコア!Q130=0,0,1)</f>
        <v>0</v>
      </c>
      <c r="L130" s="1195">
        <f>IF(スコア!S130=0,0,1)</f>
        <v>0</v>
      </c>
      <c r="M130" s="1195">
        <f>SUMPRODUCT($S$7:$AB$7,S130:AB130)</f>
        <v>1</v>
      </c>
      <c r="N130" s="1195">
        <f t="shared" si="132"/>
        <v>0</v>
      </c>
      <c r="P130" s="1197" t="str">
        <f t="shared" si="94"/>
        <v>3a.3b</v>
      </c>
      <c r="Q130" s="1197" t="str">
        <f t="shared" si="95"/>
        <v>LR1 3</v>
      </c>
      <c r="R130" s="1198" t="str">
        <f t="shared" si="96"/>
        <v>非住宅部分</v>
      </c>
      <c r="S130" s="1747">
        <f t="shared" si="133"/>
        <v>1</v>
      </c>
      <c r="T130" s="1747">
        <f t="shared" si="134"/>
        <v>1</v>
      </c>
      <c r="U130" s="1747">
        <f t="shared" si="135"/>
        <v>1</v>
      </c>
      <c r="V130" s="1747">
        <f t="shared" si="136"/>
        <v>1</v>
      </c>
      <c r="W130" s="1747">
        <f t="shared" si="137"/>
        <v>1</v>
      </c>
      <c r="X130" s="1747">
        <f t="shared" si="138"/>
        <v>1</v>
      </c>
      <c r="Y130" s="1747">
        <f t="shared" si="139"/>
        <v>0</v>
      </c>
      <c r="Z130" s="1749">
        <f t="shared" si="140"/>
        <v>1</v>
      </c>
      <c r="AA130" s="1747">
        <f t="shared" si="141"/>
        <v>1</v>
      </c>
      <c r="AB130" s="1747">
        <f t="shared" si="142"/>
        <v>1</v>
      </c>
      <c r="AC130" s="1746">
        <f t="shared" si="143"/>
        <v>0</v>
      </c>
      <c r="AD130" s="1744">
        <f t="shared" si="144"/>
        <v>0</v>
      </c>
      <c r="AE130" s="1744">
        <f t="shared" si="145"/>
        <v>0</v>
      </c>
      <c r="AG130" s="1197" t="s">
        <v>1179</v>
      </c>
      <c r="AH130" s="1201" t="s">
        <v>1180</v>
      </c>
      <c r="AI130" s="1198" t="s">
        <v>121</v>
      </c>
      <c r="AJ130" s="1299"/>
      <c r="AK130" s="1299"/>
      <c r="AL130" s="1299"/>
      <c r="AM130" s="1299"/>
      <c r="AN130" s="1299"/>
      <c r="AO130" s="1299"/>
      <c r="AP130" s="1300"/>
      <c r="AQ130" s="1299"/>
      <c r="AR130" s="1299"/>
      <c r="AS130" s="1300"/>
      <c r="AT130" s="1203"/>
      <c r="AU130" s="1202"/>
      <c r="AV130" s="1202"/>
      <c r="AX130" s="1197" t="s">
        <v>1179</v>
      </c>
      <c r="AY130" s="1201" t="s">
        <v>1180</v>
      </c>
      <c r="AZ130" s="1198" t="s">
        <v>859</v>
      </c>
      <c r="BA130" s="1300">
        <v>1</v>
      </c>
      <c r="BB130" s="1300">
        <v>1</v>
      </c>
      <c r="BC130" s="1300">
        <v>1</v>
      </c>
      <c r="BD130" s="1300">
        <v>1</v>
      </c>
      <c r="BE130" s="1300">
        <v>1</v>
      </c>
      <c r="BF130" s="1300">
        <v>1</v>
      </c>
      <c r="BG130" s="1300"/>
      <c r="BH130" s="1300">
        <v>1</v>
      </c>
      <c r="BI130" s="1300">
        <v>1</v>
      </c>
      <c r="BJ130" s="1300">
        <v>1</v>
      </c>
      <c r="BK130" s="1203"/>
      <c r="BL130" s="1202"/>
      <c r="BM130" s="1202"/>
      <c r="BO130" s="1197" t="s">
        <v>2504</v>
      </c>
      <c r="BP130" s="1201" t="s">
        <v>1180</v>
      </c>
      <c r="BQ130" s="1198" t="s">
        <v>859</v>
      </c>
      <c r="BR130" s="1300">
        <v>1</v>
      </c>
      <c r="BS130" s="1300">
        <v>1</v>
      </c>
      <c r="BT130" s="1300">
        <v>1</v>
      </c>
      <c r="BU130" s="1300">
        <v>1</v>
      </c>
      <c r="BV130" s="1300">
        <v>1</v>
      </c>
      <c r="BW130" s="1300">
        <v>1</v>
      </c>
      <c r="BX130" s="1300"/>
      <c r="BY130" s="1300">
        <v>1</v>
      </c>
      <c r="BZ130" s="1892">
        <v>1</v>
      </c>
      <c r="CA130" s="1300">
        <v>1</v>
      </c>
      <c r="CB130" s="1203"/>
      <c r="CC130" s="1202"/>
      <c r="CD130" s="1202"/>
      <c r="CE130" s="1468"/>
      <c r="CG130" s="1197" t="s">
        <v>2504</v>
      </c>
      <c r="CH130" s="1201" t="s">
        <v>1180</v>
      </c>
      <c r="CI130" s="1198" t="s">
        <v>859</v>
      </c>
      <c r="CJ130" s="1700">
        <f t="shared" si="114"/>
        <v>1</v>
      </c>
      <c r="CK130" s="1700">
        <f t="shared" si="102"/>
        <v>1</v>
      </c>
      <c r="CL130" s="1700">
        <f t="shared" si="103"/>
        <v>1</v>
      </c>
      <c r="CM130" s="1700">
        <f t="shared" si="104"/>
        <v>1</v>
      </c>
      <c r="CN130" s="1700">
        <f t="shared" si="105"/>
        <v>1</v>
      </c>
      <c r="CO130" s="1700">
        <f t="shared" si="106"/>
        <v>1</v>
      </c>
      <c r="CP130" s="1700">
        <f t="shared" si="107"/>
        <v>0</v>
      </c>
      <c r="CQ130" s="1700">
        <f t="shared" si="108"/>
        <v>1</v>
      </c>
      <c r="CR130" s="1700">
        <f t="shared" si="109"/>
        <v>1</v>
      </c>
      <c r="CS130" s="1700">
        <f t="shared" si="110"/>
        <v>1</v>
      </c>
      <c r="CT130" s="1688">
        <f t="shared" si="111"/>
        <v>0</v>
      </c>
      <c r="CU130" s="1686">
        <f t="shared" si="112"/>
        <v>0</v>
      </c>
      <c r="CV130" s="1686">
        <f t="shared" si="113"/>
        <v>0</v>
      </c>
      <c r="CX130" s="1197" t="s">
        <v>2504</v>
      </c>
      <c r="CY130" s="1201" t="s">
        <v>1180</v>
      </c>
      <c r="CZ130" s="1198" t="s">
        <v>859</v>
      </c>
      <c r="DA130" s="1680">
        <f t="shared" si="115"/>
        <v>1</v>
      </c>
      <c r="DB130" s="1680"/>
      <c r="DC130" s="1680"/>
      <c r="DD130" s="1680"/>
      <c r="DE130" s="1680"/>
      <c r="DF130" s="1680"/>
      <c r="DG130" s="1680"/>
      <c r="DH130" s="1680"/>
      <c r="DI130" s="1680"/>
      <c r="DJ130" s="1680"/>
      <c r="DK130" s="1677"/>
      <c r="DL130" s="1676"/>
      <c r="DM130" s="1676"/>
    </row>
    <row r="131" spans="2:117" hidden="1">
      <c r="B131" s="1186" t="str">
        <f t="shared" si="125"/>
        <v>3b.c</v>
      </c>
      <c r="C131" s="1198" t="str">
        <f t="shared" si="93"/>
        <v>集合住宅の評価</v>
      </c>
      <c r="D131" s="1194">
        <f>IF(I$129=0,0,G131/I$129)</f>
        <v>0</v>
      </c>
      <c r="E131" s="1195">
        <f>IF(J$129=0,0,H131/J$129)</f>
        <v>0</v>
      </c>
      <c r="G131" s="1195">
        <f t="shared" si="122"/>
        <v>0</v>
      </c>
      <c r="H131" s="1195">
        <f t="shared" si="123"/>
        <v>0</v>
      </c>
      <c r="I131" s="1195">
        <f>G132+G133+G134+G135+G136</f>
        <v>0</v>
      </c>
      <c r="J131" s="1195">
        <f>H132+H133+H134+H135+H136</f>
        <v>0</v>
      </c>
      <c r="K131" s="1195">
        <f>IF(スコア!Q131=0,0,1)</f>
        <v>0</v>
      </c>
      <c r="L131" s="1195">
        <f>IF(スコア!S131=0,0,1)</f>
        <v>0</v>
      </c>
      <c r="M131" s="1195">
        <f>SUMPRODUCT($S$7:$AB$7,S131:AB131)</f>
        <v>0</v>
      </c>
      <c r="N131" s="1195">
        <f t="shared" si="132"/>
        <v>0</v>
      </c>
      <c r="P131" s="1197" t="str">
        <f t="shared" si="94"/>
        <v>3b.c</v>
      </c>
      <c r="Q131" s="1197" t="str">
        <f t="shared" si="95"/>
        <v>LR1 3</v>
      </c>
      <c r="R131" s="1198" t="str">
        <f t="shared" si="96"/>
        <v>集合住宅の評価</v>
      </c>
      <c r="S131" s="1747">
        <f t="shared" si="133"/>
        <v>0</v>
      </c>
      <c r="T131" s="1747">
        <f t="shared" si="134"/>
        <v>0</v>
      </c>
      <c r="U131" s="1747">
        <f t="shared" si="135"/>
        <v>0</v>
      </c>
      <c r="V131" s="1747">
        <f t="shared" si="136"/>
        <v>0</v>
      </c>
      <c r="W131" s="1747">
        <f t="shared" si="137"/>
        <v>0</v>
      </c>
      <c r="X131" s="1747">
        <f t="shared" si="138"/>
        <v>0</v>
      </c>
      <c r="Y131" s="1747">
        <f t="shared" si="139"/>
        <v>1</v>
      </c>
      <c r="Z131" s="1749">
        <f t="shared" si="140"/>
        <v>0</v>
      </c>
      <c r="AA131" s="1747">
        <f t="shared" si="141"/>
        <v>0</v>
      </c>
      <c r="AB131" s="1747">
        <f t="shared" si="142"/>
        <v>0</v>
      </c>
      <c r="AC131" s="1746">
        <f t="shared" si="143"/>
        <v>0</v>
      </c>
      <c r="AD131" s="1744">
        <f t="shared" si="144"/>
        <v>0</v>
      </c>
      <c r="AE131" s="1744">
        <f t="shared" si="145"/>
        <v>0</v>
      </c>
      <c r="AG131" s="1197" t="s">
        <v>1607</v>
      </c>
      <c r="AH131" s="1201" t="s">
        <v>1180</v>
      </c>
      <c r="AI131" s="1198" t="s">
        <v>122</v>
      </c>
      <c r="AJ131" s="1301"/>
      <c r="AK131" s="1301"/>
      <c r="AL131" s="1301"/>
      <c r="AM131" s="1301"/>
      <c r="AN131" s="1301"/>
      <c r="AO131" s="1301"/>
      <c r="AP131" s="1300"/>
      <c r="AQ131" s="1301"/>
      <c r="AR131" s="1301"/>
      <c r="AS131" s="1300"/>
      <c r="AT131" s="1203"/>
      <c r="AU131" s="1202"/>
      <c r="AV131" s="1202"/>
      <c r="AX131" s="1197" t="s">
        <v>1607</v>
      </c>
      <c r="AY131" s="1201" t="s">
        <v>1180</v>
      </c>
      <c r="AZ131" s="1198" t="s">
        <v>1320</v>
      </c>
      <c r="BA131" s="1301"/>
      <c r="BB131" s="1301"/>
      <c r="BC131" s="1301"/>
      <c r="BD131" s="1301"/>
      <c r="BE131" s="1301"/>
      <c r="BF131" s="1301"/>
      <c r="BG131" s="1300">
        <v>1</v>
      </c>
      <c r="BH131" s="1301"/>
      <c r="BI131" s="1301"/>
      <c r="BJ131" s="1300"/>
      <c r="BK131" s="1203"/>
      <c r="BL131" s="1202"/>
      <c r="BM131" s="1202"/>
      <c r="BO131" s="1197" t="s">
        <v>2505</v>
      </c>
      <c r="BP131" s="1201" t="s">
        <v>1180</v>
      </c>
      <c r="BQ131" s="1198" t="s">
        <v>1320</v>
      </c>
      <c r="BR131" s="1301"/>
      <c r="BS131" s="1301"/>
      <c r="BT131" s="1301"/>
      <c r="BU131" s="1301"/>
      <c r="BV131" s="1301"/>
      <c r="BW131" s="1301"/>
      <c r="BX131" s="1300">
        <v>1</v>
      </c>
      <c r="BY131" s="1301"/>
      <c r="BZ131" s="1893"/>
      <c r="CA131" s="1300"/>
      <c r="CB131" s="1203"/>
      <c r="CC131" s="1202"/>
      <c r="CD131" s="1202"/>
      <c r="CE131" s="1468"/>
      <c r="CG131" s="1197" t="s">
        <v>2505</v>
      </c>
      <c r="CH131" s="1201" t="s">
        <v>1180</v>
      </c>
      <c r="CI131" s="1198" t="s">
        <v>1320</v>
      </c>
      <c r="CJ131" s="1699">
        <f t="shared" si="114"/>
        <v>0</v>
      </c>
      <c r="CK131" s="1699">
        <f t="shared" si="102"/>
        <v>0</v>
      </c>
      <c r="CL131" s="1699">
        <f t="shared" si="103"/>
        <v>0</v>
      </c>
      <c r="CM131" s="1699">
        <f t="shared" si="104"/>
        <v>0</v>
      </c>
      <c r="CN131" s="1699">
        <f t="shared" si="105"/>
        <v>0</v>
      </c>
      <c r="CO131" s="1699">
        <f t="shared" si="106"/>
        <v>0</v>
      </c>
      <c r="CP131" s="1700">
        <f t="shared" si="107"/>
        <v>1</v>
      </c>
      <c r="CQ131" s="1699">
        <f t="shared" si="108"/>
        <v>0</v>
      </c>
      <c r="CR131" s="1699">
        <f t="shared" si="109"/>
        <v>0</v>
      </c>
      <c r="CS131" s="1700">
        <f t="shared" si="110"/>
        <v>0</v>
      </c>
      <c r="CT131" s="1688">
        <f t="shared" si="111"/>
        <v>0</v>
      </c>
      <c r="CU131" s="1686">
        <f t="shared" si="112"/>
        <v>0</v>
      </c>
      <c r="CV131" s="1686">
        <f t="shared" si="113"/>
        <v>0</v>
      </c>
      <c r="CX131" s="1197" t="s">
        <v>2505</v>
      </c>
      <c r="CY131" s="1201" t="s">
        <v>1180</v>
      </c>
      <c r="CZ131" s="1198" t="s">
        <v>1320</v>
      </c>
      <c r="DA131" s="1679">
        <f t="shared" si="115"/>
        <v>0</v>
      </c>
      <c r="DB131" s="1679"/>
      <c r="DC131" s="1679"/>
      <c r="DD131" s="1679"/>
      <c r="DE131" s="1679"/>
      <c r="DF131" s="1679"/>
      <c r="DG131" s="1680"/>
      <c r="DH131" s="1679"/>
      <c r="DI131" s="1679"/>
      <c r="DJ131" s="1680"/>
      <c r="DK131" s="1677"/>
      <c r="DL131" s="1676"/>
      <c r="DM131" s="1676"/>
    </row>
    <row r="132" spans="2:117" hidden="1">
      <c r="B132" s="1186">
        <f t="shared" si="125"/>
        <v>3.1</v>
      </c>
      <c r="C132" s="1208" t="str">
        <f t="shared" si="93"/>
        <v>空調設備</v>
      </c>
      <c r="D132" s="1205">
        <f t="shared" ref="D132:E136" si="146">IF(I$131=0,0,G132/I$131)</f>
        <v>0</v>
      </c>
      <c r="E132" s="1206">
        <f t="shared" si="146"/>
        <v>0</v>
      </c>
      <c r="G132" s="1206">
        <f t="shared" si="122"/>
        <v>0</v>
      </c>
      <c r="H132" s="1206">
        <f t="shared" si="123"/>
        <v>0</v>
      </c>
      <c r="I132" s="1206"/>
      <c r="J132" s="1206"/>
      <c r="K132" s="1206">
        <f>IF(スコア!Q132=0,0,1)</f>
        <v>0</v>
      </c>
      <c r="L132" s="1206">
        <f>IF(スコア!S132=0,0,1)</f>
        <v>0</v>
      </c>
      <c r="M132" s="1206">
        <f t="shared" si="124"/>
        <v>0</v>
      </c>
      <c r="N132" s="1206">
        <f t="shared" si="132"/>
        <v>0</v>
      </c>
      <c r="P132" s="1207">
        <f t="shared" si="94"/>
        <v>3.1</v>
      </c>
      <c r="Q132" s="1207" t="str">
        <f t="shared" si="95"/>
        <v>LR1 3b</v>
      </c>
      <c r="R132" s="1208" t="str">
        <f t="shared" si="96"/>
        <v>空調設備</v>
      </c>
      <c r="S132" s="1747">
        <f t="shared" si="133"/>
        <v>0</v>
      </c>
      <c r="T132" s="1747">
        <f t="shared" si="134"/>
        <v>0</v>
      </c>
      <c r="U132" s="1747">
        <f t="shared" si="135"/>
        <v>0</v>
      </c>
      <c r="V132" s="1747">
        <f t="shared" si="136"/>
        <v>0</v>
      </c>
      <c r="W132" s="1747">
        <f t="shared" si="137"/>
        <v>0</v>
      </c>
      <c r="X132" s="1747">
        <f t="shared" si="138"/>
        <v>0</v>
      </c>
      <c r="Y132" s="1747">
        <f t="shared" si="139"/>
        <v>0</v>
      </c>
      <c r="Z132" s="1749">
        <f t="shared" si="140"/>
        <v>0</v>
      </c>
      <c r="AA132" s="1747">
        <f t="shared" si="141"/>
        <v>0</v>
      </c>
      <c r="AB132" s="1747">
        <f t="shared" si="142"/>
        <v>0</v>
      </c>
      <c r="AC132" s="1748">
        <f t="shared" si="143"/>
        <v>0</v>
      </c>
      <c r="AD132" s="1747">
        <f t="shared" si="144"/>
        <v>0</v>
      </c>
      <c r="AE132" s="1747">
        <f t="shared" si="145"/>
        <v>0</v>
      </c>
      <c r="AG132" s="1207">
        <v>3.1</v>
      </c>
      <c r="AH132" s="1211" t="s">
        <v>1181</v>
      </c>
      <c r="AI132" s="1208" t="s">
        <v>1058</v>
      </c>
      <c r="AJ132" s="1213"/>
      <c r="AK132" s="1213"/>
      <c r="AL132" s="1213"/>
      <c r="AM132" s="1213"/>
      <c r="AN132" s="1213"/>
      <c r="AO132" s="1213"/>
      <c r="AP132" s="1213"/>
      <c r="AQ132" s="1220"/>
      <c r="AR132" s="1213"/>
      <c r="AS132" s="1349">
        <v>0.65</v>
      </c>
      <c r="AT132" s="1214"/>
      <c r="AU132" s="1213"/>
      <c r="AV132" s="1213"/>
      <c r="AX132" s="1207">
        <v>3.1</v>
      </c>
      <c r="AY132" s="1211" t="s">
        <v>1181</v>
      </c>
      <c r="AZ132" s="1208" t="s">
        <v>1058</v>
      </c>
      <c r="BA132" s="1213"/>
      <c r="BB132" s="1213"/>
      <c r="BC132" s="1213"/>
      <c r="BD132" s="1213"/>
      <c r="BE132" s="1213"/>
      <c r="BF132" s="1213"/>
      <c r="BG132" s="1213"/>
      <c r="BH132" s="1220"/>
      <c r="BI132" s="1213"/>
      <c r="BJ132" s="1349">
        <v>0.65</v>
      </c>
      <c r="BK132" s="1214"/>
      <c r="BL132" s="1213"/>
      <c r="BM132" s="1213"/>
      <c r="BO132" s="1207">
        <v>3.1</v>
      </c>
      <c r="BP132" s="1211" t="s">
        <v>1181</v>
      </c>
      <c r="BQ132" s="1208" t="s">
        <v>1058</v>
      </c>
      <c r="BR132" s="1213"/>
      <c r="BS132" s="1213"/>
      <c r="BT132" s="1213"/>
      <c r="BU132" s="1213"/>
      <c r="BV132" s="1213"/>
      <c r="BW132" s="1213"/>
      <c r="BX132" s="1213"/>
      <c r="BY132" s="1220"/>
      <c r="BZ132" s="1891"/>
      <c r="CA132" s="1213"/>
      <c r="CB132" s="1214"/>
      <c r="CC132" s="1213"/>
      <c r="CD132" s="1213"/>
      <c r="CE132" s="1469"/>
      <c r="CF132">
        <f>ROWS($CF$5:CF131)</f>
        <v>127</v>
      </c>
      <c r="CG132" s="1207">
        <v>3.1</v>
      </c>
      <c r="CH132" s="1211" t="s">
        <v>1181</v>
      </c>
      <c r="CI132" s="1208"/>
      <c r="CJ132" s="1689">
        <f t="shared" si="114"/>
        <v>0</v>
      </c>
      <c r="CK132" s="1689">
        <f t="shared" si="102"/>
        <v>0</v>
      </c>
      <c r="CL132" s="1689">
        <f t="shared" si="103"/>
        <v>0</v>
      </c>
      <c r="CM132" s="1689">
        <f t="shared" si="104"/>
        <v>0</v>
      </c>
      <c r="CN132" s="1689">
        <f t="shared" si="105"/>
        <v>0</v>
      </c>
      <c r="CO132" s="1689">
        <f t="shared" si="106"/>
        <v>0</v>
      </c>
      <c r="CP132" s="1689">
        <f t="shared" si="107"/>
        <v>0</v>
      </c>
      <c r="CQ132" s="1701">
        <f t="shared" si="108"/>
        <v>0</v>
      </c>
      <c r="CR132" s="1689">
        <f t="shared" si="109"/>
        <v>0</v>
      </c>
      <c r="CS132" s="1689">
        <f t="shared" si="110"/>
        <v>0</v>
      </c>
      <c r="CT132" s="1691">
        <f t="shared" si="111"/>
        <v>0</v>
      </c>
      <c r="CU132" s="1689">
        <f t="shared" si="112"/>
        <v>0</v>
      </c>
      <c r="CV132" s="1689">
        <f t="shared" si="113"/>
        <v>0</v>
      </c>
      <c r="CX132" s="1207">
        <v>3.1</v>
      </c>
      <c r="CY132" s="1211" t="s">
        <v>1181</v>
      </c>
      <c r="CZ132" s="1208"/>
      <c r="DA132" s="1678">
        <f t="shared" si="115"/>
        <v>0</v>
      </c>
      <c r="DB132" s="1678"/>
      <c r="DC132" s="1678"/>
      <c r="DD132" s="1678"/>
      <c r="DE132" s="1678"/>
      <c r="DF132" s="1678"/>
      <c r="DG132" s="1678"/>
      <c r="DH132" s="1738"/>
      <c r="DI132" s="1678"/>
      <c r="DJ132" s="1678"/>
      <c r="DK132" s="1795"/>
      <c r="DL132" s="1678"/>
      <c r="DM132" s="1678"/>
    </row>
    <row r="133" spans="2:117" hidden="1">
      <c r="B133" s="1186">
        <f t="shared" si="125"/>
        <v>3.2</v>
      </c>
      <c r="C133" s="1208" t="str">
        <f t="shared" si="93"/>
        <v>換気設備</v>
      </c>
      <c r="D133" s="1205">
        <f t="shared" si="146"/>
        <v>0</v>
      </c>
      <c r="E133" s="1206">
        <f t="shared" si="146"/>
        <v>0</v>
      </c>
      <c r="G133" s="1206">
        <f t="shared" si="122"/>
        <v>0</v>
      </c>
      <c r="H133" s="1206">
        <f t="shared" si="123"/>
        <v>0</v>
      </c>
      <c r="I133" s="1206"/>
      <c r="J133" s="1206"/>
      <c r="K133" s="1206">
        <f>IF(スコア!Q133=0,0,1)</f>
        <v>0</v>
      </c>
      <c r="L133" s="1206">
        <f>IF(スコア!S133=0,0,1)</f>
        <v>0</v>
      </c>
      <c r="M133" s="1206">
        <f t="shared" si="124"/>
        <v>0</v>
      </c>
      <c r="N133" s="1206">
        <f t="shared" si="132"/>
        <v>0</v>
      </c>
      <c r="P133" s="1207">
        <f t="shared" si="94"/>
        <v>3.2</v>
      </c>
      <c r="Q133" s="1207" t="str">
        <f t="shared" si="95"/>
        <v>LR1 3b</v>
      </c>
      <c r="R133" s="1208" t="str">
        <f t="shared" si="96"/>
        <v>換気設備</v>
      </c>
      <c r="S133" s="1747">
        <f t="shared" si="133"/>
        <v>0</v>
      </c>
      <c r="T133" s="1747">
        <f t="shared" si="134"/>
        <v>0</v>
      </c>
      <c r="U133" s="1747">
        <f t="shared" si="135"/>
        <v>0</v>
      </c>
      <c r="V133" s="1747">
        <f t="shared" si="136"/>
        <v>0</v>
      </c>
      <c r="W133" s="1747">
        <f t="shared" si="137"/>
        <v>0</v>
      </c>
      <c r="X133" s="1747">
        <f t="shared" si="138"/>
        <v>0</v>
      </c>
      <c r="Y133" s="1747">
        <f t="shared" si="139"/>
        <v>0</v>
      </c>
      <c r="Z133" s="1749">
        <f t="shared" si="140"/>
        <v>0</v>
      </c>
      <c r="AA133" s="1747">
        <f t="shared" si="141"/>
        <v>0</v>
      </c>
      <c r="AB133" s="1747">
        <f t="shared" si="142"/>
        <v>0</v>
      </c>
      <c r="AC133" s="1748">
        <f t="shared" si="143"/>
        <v>0</v>
      </c>
      <c r="AD133" s="1747">
        <f t="shared" si="144"/>
        <v>0</v>
      </c>
      <c r="AE133" s="1747">
        <f t="shared" si="145"/>
        <v>0</v>
      </c>
      <c r="AG133" s="1207">
        <v>3.2</v>
      </c>
      <c r="AH133" s="1211" t="s">
        <v>1181</v>
      </c>
      <c r="AI133" s="1208" t="s">
        <v>1059</v>
      </c>
      <c r="AJ133" s="1213"/>
      <c r="AK133" s="1213"/>
      <c r="AL133" s="1213"/>
      <c r="AM133" s="1213"/>
      <c r="AN133" s="1213"/>
      <c r="AO133" s="1213"/>
      <c r="AP133" s="1213"/>
      <c r="AQ133" s="1220"/>
      <c r="AR133" s="1213"/>
      <c r="AS133" s="1349">
        <v>0.1</v>
      </c>
      <c r="AT133" s="1214"/>
      <c r="AU133" s="1213"/>
      <c r="AV133" s="1213"/>
      <c r="AX133" s="1207">
        <v>3.2</v>
      </c>
      <c r="AY133" s="1211" t="s">
        <v>1181</v>
      </c>
      <c r="AZ133" s="1208" t="s">
        <v>1059</v>
      </c>
      <c r="BA133" s="1213"/>
      <c r="BB133" s="1213"/>
      <c r="BC133" s="1213"/>
      <c r="BD133" s="1213"/>
      <c r="BE133" s="1213"/>
      <c r="BF133" s="1213"/>
      <c r="BG133" s="1213"/>
      <c r="BH133" s="1220"/>
      <c r="BI133" s="1213"/>
      <c r="BJ133" s="1349">
        <v>0.1</v>
      </c>
      <c r="BK133" s="1214"/>
      <c r="BL133" s="1213"/>
      <c r="BM133" s="1213"/>
      <c r="BO133" s="1207">
        <v>3.2</v>
      </c>
      <c r="BP133" s="1211" t="s">
        <v>1181</v>
      </c>
      <c r="BQ133" s="1208" t="s">
        <v>1059</v>
      </c>
      <c r="BR133" s="1213"/>
      <c r="BS133" s="1213"/>
      <c r="BT133" s="1213"/>
      <c r="BU133" s="1213"/>
      <c r="BV133" s="1213"/>
      <c r="BW133" s="1213"/>
      <c r="BX133" s="1213"/>
      <c r="BY133" s="1220"/>
      <c r="BZ133" s="1891"/>
      <c r="CA133" s="1213"/>
      <c r="CB133" s="1214"/>
      <c r="CC133" s="1213"/>
      <c r="CD133" s="1213"/>
      <c r="CE133" s="1469"/>
      <c r="CF133">
        <f>ROWS($CF$5:CF132)</f>
        <v>128</v>
      </c>
      <c r="CG133" s="1207">
        <v>3.2</v>
      </c>
      <c r="CH133" s="1211" t="s">
        <v>1181</v>
      </c>
      <c r="CI133" s="1208"/>
      <c r="CJ133" s="1689">
        <f t="shared" si="114"/>
        <v>0</v>
      </c>
      <c r="CK133" s="1689">
        <f t="shared" si="102"/>
        <v>0</v>
      </c>
      <c r="CL133" s="1689">
        <f t="shared" si="103"/>
        <v>0</v>
      </c>
      <c r="CM133" s="1689">
        <f t="shared" si="104"/>
        <v>0</v>
      </c>
      <c r="CN133" s="1689">
        <f t="shared" si="105"/>
        <v>0</v>
      </c>
      <c r="CO133" s="1689">
        <f t="shared" si="106"/>
        <v>0</v>
      </c>
      <c r="CP133" s="1689">
        <f t="shared" si="107"/>
        <v>0</v>
      </c>
      <c r="CQ133" s="1701">
        <f t="shared" si="108"/>
        <v>0</v>
      </c>
      <c r="CR133" s="1689">
        <f t="shared" si="109"/>
        <v>0</v>
      </c>
      <c r="CS133" s="1689">
        <f t="shared" si="110"/>
        <v>0</v>
      </c>
      <c r="CT133" s="1691">
        <f t="shared" si="111"/>
        <v>0</v>
      </c>
      <c r="CU133" s="1689">
        <f t="shared" si="112"/>
        <v>0</v>
      </c>
      <c r="CV133" s="1689">
        <f t="shared" si="113"/>
        <v>0</v>
      </c>
      <c r="CX133" s="1207">
        <v>3.2</v>
      </c>
      <c r="CY133" s="1211" t="s">
        <v>1181</v>
      </c>
      <c r="CZ133" s="1208"/>
      <c r="DA133" s="1678">
        <f t="shared" si="115"/>
        <v>0</v>
      </c>
      <c r="DB133" s="1678"/>
      <c r="DC133" s="1678"/>
      <c r="DD133" s="1678"/>
      <c r="DE133" s="1678"/>
      <c r="DF133" s="1678"/>
      <c r="DG133" s="1678"/>
      <c r="DH133" s="1738"/>
      <c r="DI133" s="1678"/>
      <c r="DJ133" s="1678"/>
      <c r="DK133" s="1795"/>
      <c r="DL133" s="1678"/>
      <c r="DM133" s="1678"/>
    </row>
    <row r="134" spans="2:117" hidden="1">
      <c r="B134" s="1186">
        <f t="shared" si="125"/>
        <v>3.3</v>
      </c>
      <c r="C134" s="1208" t="str">
        <f t="shared" si="93"/>
        <v>照明設備</v>
      </c>
      <c r="D134" s="1205">
        <f t="shared" si="146"/>
        <v>0</v>
      </c>
      <c r="E134" s="1206">
        <f t="shared" si="146"/>
        <v>0</v>
      </c>
      <c r="G134" s="1206">
        <f t="shared" si="122"/>
        <v>0</v>
      </c>
      <c r="H134" s="1206">
        <f t="shared" si="123"/>
        <v>0</v>
      </c>
      <c r="I134" s="1206"/>
      <c r="J134" s="1206"/>
      <c r="K134" s="1206">
        <f>IF(スコア!Q134=0,0,1)</f>
        <v>0</v>
      </c>
      <c r="L134" s="1206">
        <f>IF(スコア!S134=0,0,1)</f>
        <v>0</v>
      </c>
      <c r="M134" s="1206">
        <f t="shared" si="124"/>
        <v>0</v>
      </c>
      <c r="N134" s="1206">
        <f t="shared" si="132"/>
        <v>0</v>
      </c>
      <c r="P134" s="1207">
        <f t="shared" si="94"/>
        <v>3.3</v>
      </c>
      <c r="Q134" s="1207" t="str">
        <f t="shared" si="95"/>
        <v>LR1 3b</v>
      </c>
      <c r="R134" s="1208" t="str">
        <f t="shared" si="96"/>
        <v>照明設備</v>
      </c>
      <c r="S134" s="1747">
        <f t="shared" si="133"/>
        <v>0</v>
      </c>
      <c r="T134" s="1747">
        <f t="shared" si="134"/>
        <v>0</v>
      </c>
      <c r="U134" s="1747">
        <f t="shared" si="135"/>
        <v>0</v>
      </c>
      <c r="V134" s="1747">
        <f t="shared" si="136"/>
        <v>0</v>
      </c>
      <c r="W134" s="1747">
        <f t="shared" si="137"/>
        <v>0</v>
      </c>
      <c r="X134" s="1747">
        <f t="shared" si="138"/>
        <v>0</v>
      </c>
      <c r="Y134" s="1747">
        <f t="shared" si="139"/>
        <v>0</v>
      </c>
      <c r="Z134" s="1749">
        <f t="shared" si="140"/>
        <v>0</v>
      </c>
      <c r="AA134" s="1747">
        <f t="shared" si="141"/>
        <v>0</v>
      </c>
      <c r="AB134" s="1747">
        <f t="shared" si="142"/>
        <v>0</v>
      </c>
      <c r="AC134" s="1748">
        <f t="shared" si="143"/>
        <v>0</v>
      </c>
      <c r="AD134" s="1747">
        <f t="shared" si="144"/>
        <v>0</v>
      </c>
      <c r="AE134" s="1747">
        <f t="shared" si="145"/>
        <v>0</v>
      </c>
      <c r="AG134" s="1207">
        <v>3.3</v>
      </c>
      <c r="AH134" s="1211" t="s">
        <v>1181</v>
      </c>
      <c r="AI134" s="1208" t="s">
        <v>1060</v>
      </c>
      <c r="AJ134" s="1213"/>
      <c r="AK134" s="1213"/>
      <c r="AL134" s="1213"/>
      <c r="AM134" s="1213"/>
      <c r="AN134" s="1213"/>
      <c r="AO134" s="1213"/>
      <c r="AP134" s="1213"/>
      <c r="AQ134" s="1220"/>
      <c r="AR134" s="1213"/>
      <c r="AS134" s="1349">
        <v>0.2</v>
      </c>
      <c r="AT134" s="1214"/>
      <c r="AU134" s="1213"/>
      <c r="AV134" s="1213"/>
      <c r="AX134" s="1207">
        <v>3.3</v>
      </c>
      <c r="AY134" s="1211" t="s">
        <v>1181</v>
      </c>
      <c r="AZ134" s="1208" t="s">
        <v>1060</v>
      </c>
      <c r="BA134" s="1213"/>
      <c r="BB134" s="1213"/>
      <c r="BC134" s="1213"/>
      <c r="BD134" s="1213"/>
      <c r="BE134" s="1213"/>
      <c r="BF134" s="1213"/>
      <c r="BG134" s="1213"/>
      <c r="BH134" s="1220"/>
      <c r="BI134" s="1213"/>
      <c r="BJ134" s="1349">
        <v>0.2</v>
      </c>
      <c r="BK134" s="1214"/>
      <c r="BL134" s="1213"/>
      <c r="BM134" s="1213"/>
      <c r="BO134" s="1207">
        <v>3.3</v>
      </c>
      <c r="BP134" s="1211" t="s">
        <v>1181</v>
      </c>
      <c r="BQ134" s="1208" t="s">
        <v>1060</v>
      </c>
      <c r="BR134" s="1213"/>
      <c r="BS134" s="1213"/>
      <c r="BT134" s="1213"/>
      <c r="BU134" s="1213"/>
      <c r="BV134" s="1213"/>
      <c r="BW134" s="1213"/>
      <c r="BX134" s="1213"/>
      <c r="BY134" s="1220"/>
      <c r="BZ134" s="1891"/>
      <c r="CA134" s="1213"/>
      <c r="CB134" s="1214"/>
      <c r="CC134" s="1213"/>
      <c r="CD134" s="1213"/>
      <c r="CE134" s="1469"/>
      <c r="CF134">
        <f>ROWS($CF$5:CF133)</f>
        <v>129</v>
      </c>
      <c r="CG134" s="1207">
        <v>3.3</v>
      </c>
      <c r="CH134" s="1211" t="s">
        <v>1181</v>
      </c>
      <c r="CI134" s="1208"/>
      <c r="CJ134" s="1689">
        <f t="shared" si="114"/>
        <v>0</v>
      </c>
      <c r="CK134" s="1689">
        <f t="shared" si="102"/>
        <v>0</v>
      </c>
      <c r="CL134" s="1689">
        <f t="shared" si="103"/>
        <v>0</v>
      </c>
      <c r="CM134" s="1689">
        <f t="shared" si="104"/>
        <v>0</v>
      </c>
      <c r="CN134" s="1689">
        <f t="shared" si="105"/>
        <v>0</v>
      </c>
      <c r="CO134" s="1689">
        <f t="shared" si="106"/>
        <v>0</v>
      </c>
      <c r="CP134" s="1689">
        <f t="shared" si="107"/>
        <v>0</v>
      </c>
      <c r="CQ134" s="1701">
        <f t="shared" si="108"/>
        <v>0</v>
      </c>
      <c r="CR134" s="1689">
        <f t="shared" si="109"/>
        <v>0</v>
      </c>
      <c r="CS134" s="1689">
        <f t="shared" si="110"/>
        <v>0</v>
      </c>
      <c r="CT134" s="1691">
        <f t="shared" si="111"/>
        <v>0</v>
      </c>
      <c r="CU134" s="1689">
        <f t="shared" si="112"/>
        <v>0</v>
      </c>
      <c r="CV134" s="1689">
        <f t="shared" si="113"/>
        <v>0</v>
      </c>
      <c r="CX134" s="1207">
        <v>3.3</v>
      </c>
      <c r="CY134" s="1211" t="s">
        <v>1181</v>
      </c>
      <c r="CZ134" s="1208"/>
      <c r="DA134" s="1678">
        <f t="shared" si="115"/>
        <v>0</v>
      </c>
      <c r="DB134" s="1678"/>
      <c r="DC134" s="1678"/>
      <c r="DD134" s="1678"/>
      <c r="DE134" s="1678"/>
      <c r="DF134" s="1678"/>
      <c r="DG134" s="1678"/>
      <c r="DH134" s="1738"/>
      <c r="DI134" s="1678"/>
      <c r="DJ134" s="1678"/>
      <c r="DK134" s="1795"/>
      <c r="DL134" s="1678"/>
      <c r="DM134" s="1678"/>
    </row>
    <row r="135" spans="2:117" hidden="1">
      <c r="B135" s="1186">
        <f t="shared" si="125"/>
        <v>3.4</v>
      </c>
      <c r="C135" s="1208" t="str">
        <f t="shared" si="93"/>
        <v>給湯設備</v>
      </c>
      <c r="D135" s="1205">
        <f t="shared" si="146"/>
        <v>0</v>
      </c>
      <c r="E135" s="1206">
        <f t="shared" si="146"/>
        <v>0</v>
      </c>
      <c r="G135" s="1206">
        <f t="shared" si="122"/>
        <v>0</v>
      </c>
      <c r="H135" s="1206">
        <f t="shared" si="123"/>
        <v>0</v>
      </c>
      <c r="I135" s="1206"/>
      <c r="J135" s="1206"/>
      <c r="K135" s="1206">
        <f>IF(スコア!Q135=0,0,1)</f>
        <v>0</v>
      </c>
      <c r="L135" s="1206">
        <f>IF(スコア!S135=0,0,1)</f>
        <v>0</v>
      </c>
      <c r="M135" s="1206">
        <f t="shared" si="124"/>
        <v>0</v>
      </c>
      <c r="N135" s="1206">
        <f t="shared" si="132"/>
        <v>0</v>
      </c>
      <c r="P135" s="1264">
        <f t="shared" si="94"/>
        <v>3.4</v>
      </c>
      <c r="Q135" s="1207" t="str">
        <f t="shared" si="95"/>
        <v>LR1 3b</v>
      </c>
      <c r="R135" s="1208" t="str">
        <f t="shared" si="96"/>
        <v>給湯設備</v>
      </c>
      <c r="S135" s="1747">
        <f t="shared" si="133"/>
        <v>0</v>
      </c>
      <c r="T135" s="1747">
        <f t="shared" si="134"/>
        <v>0</v>
      </c>
      <c r="U135" s="1747">
        <f t="shared" si="135"/>
        <v>0</v>
      </c>
      <c r="V135" s="1747">
        <f t="shared" si="136"/>
        <v>0</v>
      </c>
      <c r="W135" s="1747">
        <f t="shared" si="137"/>
        <v>0</v>
      </c>
      <c r="X135" s="1747">
        <f t="shared" si="138"/>
        <v>0</v>
      </c>
      <c r="Y135" s="1747">
        <f t="shared" si="139"/>
        <v>0</v>
      </c>
      <c r="Z135" s="1749">
        <f t="shared" si="140"/>
        <v>0</v>
      </c>
      <c r="AA135" s="1747">
        <f t="shared" si="141"/>
        <v>0</v>
      </c>
      <c r="AB135" s="1747">
        <f t="shared" si="142"/>
        <v>0</v>
      </c>
      <c r="AC135" s="1748">
        <f t="shared" si="143"/>
        <v>0</v>
      </c>
      <c r="AD135" s="1747">
        <f t="shared" si="144"/>
        <v>0</v>
      </c>
      <c r="AE135" s="1747">
        <f t="shared" si="145"/>
        <v>0</v>
      </c>
      <c r="AG135" s="1264">
        <v>3.4</v>
      </c>
      <c r="AH135" s="1211" t="s">
        <v>1181</v>
      </c>
      <c r="AI135" s="1208" t="s">
        <v>1061</v>
      </c>
      <c r="AJ135" s="1213"/>
      <c r="AK135" s="1213"/>
      <c r="AL135" s="1213"/>
      <c r="AM135" s="1213"/>
      <c r="AN135" s="1213"/>
      <c r="AO135" s="1213"/>
      <c r="AP135" s="1213"/>
      <c r="AQ135" s="1220"/>
      <c r="AR135" s="1213"/>
      <c r="AS135" s="1349">
        <v>0.05</v>
      </c>
      <c r="AT135" s="1214"/>
      <c r="AU135" s="1213"/>
      <c r="AV135" s="1213"/>
      <c r="AX135" s="1264">
        <v>3.4</v>
      </c>
      <c r="AY135" s="1211" t="s">
        <v>1181</v>
      </c>
      <c r="AZ135" s="1208" t="s">
        <v>1061</v>
      </c>
      <c r="BA135" s="1213"/>
      <c r="BB135" s="1213"/>
      <c r="BC135" s="1213"/>
      <c r="BD135" s="1213"/>
      <c r="BE135" s="1213"/>
      <c r="BF135" s="1213"/>
      <c r="BG135" s="1213"/>
      <c r="BH135" s="1220"/>
      <c r="BI135" s="1213"/>
      <c r="BJ135" s="1349">
        <v>0.05</v>
      </c>
      <c r="BK135" s="1214"/>
      <c r="BL135" s="1213"/>
      <c r="BM135" s="1213"/>
      <c r="BO135" s="1264">
        <v>3.4</v>
      </c>
      <c r="BP135" s="1211" t="s">
        <v>1181</v>
      </c>
      <c r="BQ135" s="1208" t="s">
        <v>1061</v>
      </c>
      <c r="BR135" s="1213"/>
      <c r="BS135" s="1213"/>
      <c r="BT135" s="1213"/>
      <c r="BU135" s="1213"/>
      <c r="BV135" s="1213"/>
      <c r="BW135" s="1213"/>
      <c r="BX135" s="1213"/>
      <c r="BY135" s="1220"/>
      <c r="BZ135" s="1891"/>
      <c r="CA135" s="1213"/>
      <c r="CB135" s="1214"/>
      <c r="CC135" s="1213"/>
      <c r="CD135" s="1213"/>
      <c r="CE135" s="1469"/>
      <c r="CF135">
        <f>ROWS($CF$5:CF134)</f>
        <v>130</v>
      </c>
      <c r="CG135" s="1264">
        <v>3.4</v>
      </c>
      <c r="CH135" s="1211" t="s">
        <v>1181</v>
      </c>
      <c r="CI135" s="1208"/>
      <c r="CJ135" s="1689">
        <f t="shared" si="114"/>
        <v>0</v>
      </c>
      <c r="CK135" s="1689">
        <f t="shared" si="102"/>
        <v>0</v>
      </c>
      <c r="CL135" s="1689">
        <f t="shared" si="103"/>
        <v>0</v>
      </c>
      <c r="CM135" s="1689">
        <f t="shared" si="104"/>
        <v>0</v>
      </c>
      <c r="CN135" s="1689">
        <f t="shared" si="105"/>
        <v>0</v>
      </c>
      <c r="CO135" s="1689">
        <f t="shared" si="106"/>
        <v>0</v>
      </c>
      <c r="CP135" s="1689">
        <f t="shared" si="107"/>
        <v>0</v>
      </c>
      <c r="CQ135" s="1701">
        <f t="shared" si="108"/>
        <v>0</v>
      </c>
      <c r="CR135" s="1689">
        <f t="shared" si="109"/>
        <v>0</v>
      </c>
      <c r="CS135" s="1689">
        <f t="shared" si="110"/>
        <v>0</v>
      </c>
      <c r="CT135" s="1691">
        <f t="shared" si="111"/>
        <v>0</v>
      </c>
      <c r="CU135" s="1689">
        <f t="shared" si="112"/>
        <v>0</v>
      </c>
      <c r="CV135" s="1689">
        <f t="shared" si="113"/>
        <v>0</v>
      </c>
      <c r="CX135" s="1264">
        <v>3.4</v>
      </c>
      <c r="CY135" s="1211" t="s">
        <v>1181</v>
      </c>
      <c r="CZ135" s="1208"/>
      <c r="DA135" s="1678">
        <f t="shared" si="115"/>
        <v>0</v>
      </c>
      <c r="DB135" s="1678"/>
      <c r="DC135" s="1678"/>
      <c r="DD135" s="1678"/>
      <c r="DE135" s="1678"/>
      <c r="DF135" s="1678"/>
      <c r="DG135" s="1678"/>
      <c r="DH135" s="1738"/>
      <c r="DI135" s="1678"/>
      <c r="DJ135" s="1678"/>
      <c r="DK135" s="1795"/>
      <c r="DL135" s="1678"/>
      <c r="DM135" s="1678"/>
    </row>
    <row r="136" spans="2:117" hidden="1">
      <c r="B136" s="1186">
        <f t="shared" si="125"/>
        <v>3.5</v>
      </c>
      <c r="C136" s="1208" t="str">
        <f t="shared" si="93"/>
        <v>昇降機設備</v>
      </c>
      <c r="D136" s="1205">
        <f t="shared" si="146"/>
        <v>0</v>
      </c>
      <c r="E136" s="1206">
        <f t="shared" si="146"/>
        <v>0</v>
      </c>
      <c r="G136" s="1206">
        <f t="shared" si="122"/>
        <v>0</v>
      </c>
      <c r="H136" s="1206">
        <f t="shared" si="123"/>
        <v>0</v>
      </c>
      <c r="I136" s="1206"/>
      <c r="J136" s="1206"/>
      <c r="K136" s="1206">
        <f>IF(スコア!Q136=0,0,1)</f>
        <v>0</v>
      </c>
      <c r="L136" s="1206">
        <f>IF(スコア!S136=0,0,1)</f>
        <v>0</v>
      </c>
      <c r="M136" s="1206">
        <f t="shared" si="124"/>
        <v>0</v>
      </c>
      <c r="N136" s="1206">
        <f t="shared" si="132"/>
        <v>0</v>
      </c>
      <c r="P136" s="1264">
        <f t="shared" si="94"/>
        <v>3.5</v>
      </c>
      <c r="Q136" s="1207" t="str">
        <f t="shared" si="95"/>
        <v>LR1 3b</v>
      </c>
      <c r="R136" s="1208" t="str">
        <f t="shared" si="96"/>
        <v>昇降機設備</v>
      </c>
      <c r="S136" s="1747">
        <f t="shared" si="133"/>
        <v>0</v>
      </c>
      <c r="T136" s="1747">
        <f t="shared" si="134"/>
        <v>0</v>
      </c>
      <c r="U136" s="1747">
        <f t="shared" si="135"/>
        <v>0</v>
      </c>
      <c r="V136" s="1747">
        <f t="shared" si="136"/>
        <v>0</v>
      </c>
      <c r="W136" s="1747">
        <f t="shared" si="137"/>
        <v>0</v>
      </c>
      <c r="X136" s="1747">
        <f t="shared" si="138"/>
        <v>0</v>
      </c>
      <c r="Y136" s="1747">
        <f t="shared" si="139"/>
        <v>0</v>
      </c>
      <c r="Z136" s="1749">
        <f t="shared" si="140"/>
        <v>0</v>
      </c>
      <c r="AA136" s="1747">
        <f t="shared" si="141"/>
        <v>0</v>
      </c>
      <c r="AB136" s="1747">
        <f t="shared" si="142"/>
        <v>0</v>
      </c>
      <c r="AC136" s="1748">
        <f t="shared" si="143"/>
        <v>0</v>
      </c>
      <c r="AD136" s="1747">
        <f t="shared" si="144"/>
        <v>0</v>
      </c>
      <c r="AE136" s="1747">
        <f t="shared" si="145"/>
        <v>0</v>
      </c>
      <c r="AG136" s="1264">
        <v>3.5</v>
      </c>
      <c r="AH136" s="1211" t="s">
        <v>1181</v>
      </c>
      <c r="AI136" s="1208" t="s">
        <v>1062</v>
      </c>
      <c r="AJ136" s="1213"/>
      <c r="AK136" s="1213"/>
      <c r="AL136" s="1213"/>
      <c r="AM136" s="1213"/>
      <c r="AN136" s="1213"/>
      <c r="AO136" s="1213"/>
      <c r="AP136" s="1213"/>
      <c r="AQ136" s="1220"/>
      <c r="AR136" s="1213"/>
      <c r="AS136" s="1213"/>
      <c r="AT136" s="1214"/>
      <c r="AU136" s="1213"/>
      <c r="AV136" s="1213"/>
      <c r="AX136" s="1264">
        <v>3.5</v>
      </c>
      <c r="AY136" s="1211" t="s">
        <v>1181</v>
      </c>
      <c r="AZ136" s="1208" t="s">
        <v>1062</v>
      </c>
      <c r="BA136" s="1213"/>
      <c r="BB136" s="1213"/>
      <c r="BC136" s="1213"/>
      <c r="BD136" s="1213"/>
      <c r="BE136" s="1213"/>
      <c r="BF136" s="1213"/>
      <c r="BG136" s="1213"/>
      <c r="BH136" s="1220"/>
      <c r="BI136" s="1213"/>
      <c r="BJ136" s="1213"/>
      <c r="BK136" s="1214"/>
      <c r="BL136" s="1213"/>
      <c r="BM136" s="1213"/>
      <c r="BO136" s="1264">
        <v>3.5</v>
      </c>
      <c r="BP136" s="1211" t="s">
        <v>1181</v>
      </c>
      <c r="BQ136" s="1208" t="s">
        <v>1062</v>
      </c>
      <c r="BR136" s="1213"/>
      <c r="BS136" s="1213"/>
      <c r="BT136" s="1213"/>
      <c r="BU136" s="1213"/>
      <c r="BV136" s="1213"/>
      <c r="BW136" s="1213"/>
      <c r="BX136" s="1213"/>
      <c r="BY136" s="1220"/>
      <c r="BZ136" s="1891"/>
      <c r="CA136" s="1213"/>
      <c r="CB136" s="1214"/>
      <c r="CC136" s="1213"/>
      <c r="CD136" s="1213"/>
      <c r="CE136" s="1469"/>
      <c r="CF136">
        <f>ROWS($CF$5:CF135)</f>
        <v>131</v>
      </c>
      <c r="CG136" s="1264">
        <v>3.5</v>
      </c>
      <c r="CH136" s="1211" t="s">
        <v>1181</v>
      </c>
      <c r="CI136" s="1208"/>
      <c r="CJ136" s="1689">
        <f t="shared" si="114"/>
        <v>0</v>
      </c>
      <c r="CK136" s="1689">
        <f t="shared" si="102"/>
        <v>0</v>
      </c>
      <c r="CL136" s="1689">
        <f t="shared" si="103"/>
        <v>0</v>
      </c>
      <c r="CM136" s="1689">
        <f t="shared" si="104"/>
        <v>0</v>
      </c>
      <c r="CN136" s="1689">
        <f t="shared" si="105"/>
        <v>0</v>
      </c>
      <c r="CO136" s="1689">
        <f t="shared" si="106"/>
        <v>0</v>
      </c>
      <c r="CP136" s="1689">
        <f t="shared" si="107"/>
        <v>0</v>
      </c>
      <c r="CQ136" s="1701">
        <f t="shared" si="108"/>
        <v>0</v>
      </c>
      <c r="CR136" s="1689">
        <f t="shared" si="109"/>
        <v>0</v>
      </c>
      <c r="CS136" s="1689">
        <f t="shared" si="110"/>
        <v>0</v>
      </c>
      <c r="CT136" s="1691">
        <f t="shared" si="111"/>
        <v>0</v>
      </c>
      <c r="CU136" s="1689">
        <f t="shared" si="112"/>
        <v>0</v>
      </c>
      <c r="CV136" s="1689">
        <f t="shared" si="113"/>
        <v>0</v>
      </c>
      <c r="CX136" s="1264">
        <v>3.5</v>
      </c>
      <c r="CY136" s="1211" t="s">
        <v>1181</v>
      </c>
      <c r="CZ136" s="1208"/>
      <c r="DA136" s="1678">
        <f t="shared" si="115"/>
        <v>0</v>
      </c>
      <c r="DB136" s="1678"/>
      <c r="DC136" s="1678"/>
      <c r="DD136" s="1678"/>
      <c r="DE136" s="1678"/>
      <c r="DF136" s="1678"/>
      <c r="DG136" s="1678"/>
      <c r="DH136" s="1738"/>
      <c r="DI136" s="1678"/>
      <c r="DJ136" s="1678"/>
      <c r="DK136" s="1795"/>
      <c r="DL136" s="1678"/>
      <c r="DM136" s="1678"/>
    </row>
    <row r="137" spans="2:117" hidden="1">
      <c r="B137" s="1186">
        <f t="shared" si="125"/>
        <v>0</v>
      </c>
      <c r="C137" s="1208">
        <f t="shared" ref="C137:C194" si="147">R137</f>
        <v>0</v>
      </c>
      <c r="D137" s="1205"/>
      <c r="E137" s="1206"/>
      <c r="G137" s="1206">
        <f t="shared" si="122"/>
        <v>0</v>
      </c>
      <c r="H137" s="1206">
        <f t="shared" si="123"/>
        <v>0</v>
      </c>
      <c r="I137" s="1206"/>
      <c r="J137" s="1206"/>
      <c r="K137" s="1206">
        <f>IF(スコア!Q137=0,0,1)</f>
        <v>0</v>
      </c>
      <c r="L137" s="1206">
        <f>IF(スコア!S137=0,0,1)</f>
        <v>0</v>
      </c>
      <c r="M137" s="1206">
        <f t="shared" si="124"/>
        <v>0</v>
      </c>
      <c r="N137" s="1206">
        <f t="shared" si="132"/>
        <v>0</v>
      </c>
      <c r="P137" s="1264">
        <f t="shared" si="94"/>
        <v>0</v>
      </c>
      <c r="Q137" s="1264" t="str">
        <f t="shared" si="95"/>
        <v>LR</v>
      </c>
      <c r="R137" s="1208">
        <f t="shared" si="96"/>
        <v>0</v>
      </c>
      <c r="S137" s="1747">
        <f t="shared" si="133"/>
        <v>0</v>
      </c>
      <c r="T137" s="1747">
        <f t="shared" si="134"/>
        <v>0</v>
      </c>
      <c r="U137" s="1747">
        <f t="shared" si="135"/>
        <v>0</v>
      </c>
      <c r="V137" s="1747">
        <f t="shared" si="136"/>
        <v>0</v>
      </c>
      <c r="W137" s="1747">
        <f t="shared" si="137"/>
        <v>0</v>
      </c>
      <c r="X137" s="1747">
        <f t="shared" si="138"/>
        <v>0</v>
      </c>
      <c r="Y137" s="1747">
        <f t="shared" si="139"/>
        <v>0</v>
      </c>
      <c r="Z137" s="1749">
        <f t="shared" si="140"/>
        <v>0</v>
      </c>
      <c r="AA137" s="1747">
        <f t="shared" si="141"/>
        <v>0</v>
      </c>
      <c r="AB137" s="1747">
        <f t="shared" si="142"/>
        <v>0</v>
      </c>
      <c r="AC137" s="1748">
        <f t="shared" si="143"/>
        <v>0</v>
      </c>
      <c r="AD137" s="1747">
        <f t="shared" si="144"/>
        <v>0</v>
      </c>
      <c r="AE137" s="1747">
        <f t="shared" si="145"/>
        <v>0</v>
      </c>
      <c r="AG137" s="1264"/>
      <c r="AH137" s="1265" t="s">
        <v>119</v>
      </c>
      <c r="AI137" s="1208"/>
      <c r="AJ137" s="1213"/>
      <c r="AK137" s="1213"/>
      <c r="AL137" s="1213"/>
      <c r="AM137" s="1213"/>
      <c r="AN137" s="1213"/>
      <c r="AO137" s="1213"/>
      <c r="AP137" s="1213"/>
      <c r="AQ137" s="1220"/>
      <c r="AR137" s="1213"/>
      <c r="AS137" s="1213"/>
      <c r="AT137" s="1214"/>
      <c r="AU137" s="1213"/>
      <c r="AV137" s="1213"/>
      <c r="AX137" s="1264"/>
      <c r="AY137" s="1265" t="s">
        <v>119</v>
      </c>
      <c r="AZ137" s="1208"/>
      <c r="BA137" s="1213"/>
      <c r="BB137" s="1213"/>
      <c r="BC137" s="1213"/>
      <c r="BD137" s="1213"/>
      <c r="BE137" s="1213"/>
      <c r="BF137" s="1213"/>
      <c r="BG137" s="1213"/>
      <c r="BH137" s="1220"/>
      <c r="BI137" s="1213"/>
      <c r="BJ137" s="1213"/>
      <c r="BK137" s="1214"/>
      <c r="BL137" s="1213"/>
      <c r="BM137" s="1213"/>
      <c r="BO137" s="1264"/>
      <c r="BP137" s="1265" t="s">
        <v>119</v>
      </c>
      <c r="BQ137" s="1208"/>
      <c r="BR137" s="1213"/>
      <c r="BS137" s="1213"/>
      <c r="BT137" s="1213"/>
      <c r="BU137" s="1213"/>
      <c r="BV137" s="1213"/>
      <c r="BW137" s="1213"/>
      <c r="BX137" s="1213"/>
      <c r="BY137" s="1220"/>
      <c r="BZ137" s="1891"/>
      <c r="CA137" s="1213"/>
      <c r="CB137" s="1214"/>
      <c r="CC137" s="1213"/>
      <c r="CD137" s="1213"/>
      <c r="CE137" s="1469"/>
      <c r="CF137">
        <f>ROWS($CF$5:CF136)</f>
        <v>132</v>
      </c>
      <c r="CG137" s="1264"/>
      <c r="CH137" s="1265" t="s">
        <v>119</v>
      </c>
      <c r="CI137" s="1208"/>
      <c r="CJ137" s="1689">
        <f t="shared" si="114"/>
        <v>0</v>
      </c>
      <c r="CK137" s="1689">
        <f t="shared" si="102"/>
        <v>0</v>
      </c>
      <c r="CL137" s="1689">
        <f t="shared" si="103"/>
        <v>0</v>
      </c>
      <c r="CM137" s="1689">
        <f t="shared" si="104"/>
        <v>0</v>
      </c>
      <c r="CN137" s="1689">
        <f t="shared" si="105"/>
        <v>0</v>
      </c>
      <c r="CO137" s="1689">
        <f t="shared" si="106"/>
        <v>0</v>
      </c>
      <c r="CP137" s="1689">
        <f t="shared" si="107"/>
        <v>0</v>
      </c>
      <c r="CQ137" s="1701">
        <f t="shared" si="108"/>
        <v>0</v>
      </c>
      <c r="CR137" s="1689">
        <f t="shared" si="109"/>
        <v>0</v>
      </c>
      <c r="CS137" s="1689">
        <f t="shared" si="110"/>
        <v>0</v>
      </c>
      <c r="CT137" s="1691">
        <f t="shared" si="111"/>
        <v>0</v>
      </c>
      <c r="CU137" s="1689">
        <f t="shared" si="112"/>
        <v>0</v>
      </c>
      <c r="CV137" s="1689">
        <f t="shared" si="113"/>
        <v>0</v>
      </c>
      <c r="CX137" s="1264"/>
      <c r="CY137" s="1265" t="s">
        <v>119</v>
      </c>
      <c r="CZ137" s="1208"/>
      <c r="DA137" s="1678">
        <f t="shared" si="115"/>
        <v>0</v>
      </c>
      <c r="DB137" s="1678"/>
      <c r="DC137" s="1678"/>
      <c r="DD137" s="1678"/>
      <c r="DE137" s="1678"/>
      <c r="DF137" s="1678"/>
      <c r="DG137" s="1678"/>
      <c r="DH137" s="1738"/>
      <c r="DI137" s="1678"/>
      <c r="DJ137" s="1678"/>
      <c r="DK137" s="1795"/>
      <c r="DL137" s="1678"/>
      <c r="DM137" s="1678"/>
    </row>
    <row r="138" spans="2:117">
      <c r="B138" s="1186">
        <f t="shared" si="125"/>
        <v>4</v>
      </c>
      <c r="C138" s="1198" t="str">
        <f t="shared" si="147"/>
        <v>効率的運用</v>
      </c>
      <c r="D138" s="1194">
        <f>IF(I$122=0,0,G138/I$122)</f>
        <v>0.2</v>
      </c>
      <c r="E138" s="1195">
        <f>IF(J$122=0,0,H138/J$122)</f>
        <v>0</v>
      </c>
      <c r="G138" s="1195">
        <f t="shared" si="122"/>
        <v>0.2</v>
      </c>
      <c r="H138" s="1195">
        <f t="shared" si="123"/>
        <v>0</v>
      </c>
      <c r="I138" s="1195">
        <f>G139+G142</f>
        <v>1</v>
      </c>
      <c r="J138" s="1195">
        <f>H139+H142</f>
        <v>0</v>
      </c>
      <c r="K138" s="1195">
        <f>IF(スコア!Q138=0,0,1)</f>
        <v>1</v>
      </c>
      <c r="L138" s="1195">
        <f>IF(スコア!S138=0,0,1)</f>
        <v>0</v>
      </c>
      <c r="M138" s="1195">
        <f t="shared" ref="M138:M144" si="148">SUMPRODUCT($S$7:$AB$7,S138:AB138)</f>
        <v>0.2</v>
      </c>
      <c r="N138" s="1195">
        <f t="shared" si="132"/>
        <v>0</v>
      </c>
      <c r="P138" s="1262">
        <f t="shared" ref="P138:P194" si="149">IF($P$3=1,AX138,IF($P$3=2,BO138,IF($P$3=3,CG138,IF($P$3=4,CX138,AG138))))</f>
        <v>4</v>
      </c>
      <c r="Q138" s="1197" t="str">
        <f t="shared" ref="Q138:Q194" si="150">IF($P$3=1,AY138,IF($P$3=2,BP138,IF($P$3=3,CH138,IF($P$3=4,CY138,AH138))))</f>
        <v>LR1</v>
      </c>
      <c r="R138" s="1198" t="str">
        <f t="shared" ref="R138:R194" si="151">IF($P$3=1,AZ138,IF($P$3=2,BQ138,IF($P$3=3,CI138,IF($P$3=4,CZ138,AI138))))</f>
        <v>効率的運用</v>
      </c>
      <c r="S138" s="1756">
        <f t="shared" si="133"/>
        <v>0.2</v>
      </c>
      <c r="T138" s="1756">
        <f t="shared" si="134"/>
        <v>0.2</v>
      </c>
      <c r="U138" s="1756">
        <f t="shared" si="135"/>
        <v>0.2</v>
      </c>
      <c r="V138" s="1756">
        <f t="shared" si="136"/>
        <v>0.2</v>
      </c>
      <c r="W138" s="1756">
        <f t="shared" si="137"/>
        <v>0.2</v>
      </c>
      <c r="X138" s="1756">
        <f t="shared" si="138"/>
        <v>0.2</v>
      </c>
      <c r="Y138" s="1756">
        <f t="shared" si="139"/>
        <v>0.2</v>
      </c>
      <c r="Z138" s="1745">
        <f t="shared" si="140"/>
        <v>0.2</v>
      </c>
      <c r="AA138" s="1756">
        <f t="shared" si="141"/>
        <v>0.2</v>
      </c>
      <c r="AB138" s="1756">
        <f t="shared" si="142"/>
        <v>0.2</v>
      </c>
      <c r="AC138" s="1746">
        <f t="shared" si="143"/>
        <v>0</v>
      </c>
      <c r="AD138" s="1744">
        <f t="shared" si="144"/>
        <v>0</v>
      </c>
      <c r="AE138" s="1744">
        <f t="shared" si="145"/>
        <v>0</v>
      </c>
      <c r="AG138" s="1262">
        <v>4</v>
      </c>
      <c r="AH138" s="1201" t="s">
        <v>1474</v>
      </c>
      <c r="AI138" s="1198" t="s">
        <v>1063</v>
      </c>
      <c r="AJ138" s="1247">
        <v>0.2</v>
      </c>
      <c r="AK138" s="1247">
        <v>0.2</v>
      </c>
      <c r="AL138" s="1247">
        <v>0.2</v>
      </c>
      <c r="AM138" s="1247">
        <v>0.2</v>
      </c>
      <c r="AN138" s="1247">
        <v>0.2</v>
      </c>
      <c r="AO138" s="1247">
        <v>0.2</v>
      </c>
      <c r="AP138" s="1247">
        <v>0.2</v>
      </c>
      <c r="AQ138" s="1247">
        <v>0.2</v>
      </c>
      <c r="AR138" s="1247">
        <v>0.25</v>
      </c>
      <c r="AS138" s="1247">
        <v>0.2</v>
      </c>
      <c r="AT138" s="1203"/>
      <c r="AU138" s="1202"/>
      <c r="AV138" s="1202"/>
      <c r="AX138" s="1262">
        <v>4</v>
      </c>
      <c r="AY138" s="1201" t="s">
        <v>1474</v>
      </c>
      <c r="AZ138" s="1198" t="s">
        <v>1063</v>
      </c>
      <c r="BA138" s="1247">
        <v>0.2</v>
      </c>
      <c r="BB138" s="1247">
        <v>0.2</v>
      </c>
      <c r="BC138" s="1247">
        <v>0.2</v>
      </c>
      <c r="BD138" s="1247">
        <v>0.2</v>
      </c>
      <c r="BE138" s="1247">
        <v>0.2</v>
      </c>
      <c r="BF138" s="1247">
        <v>0.2</v>
      </c>
      <c r="BG138" s="1247">
        <v>0.2</v>
      </c>
      <c r="BH138" s="1247">
        <v>0.2</v>
      </c>
      <c r="BI138" s="1247">
        <v>0.2</v>
      </c>
      <c r="BJ138" s="1247">
        <v>0.2</v>
      </c>
      <c r="BK138" s="1203"/>
      <c r="BL138" s="1202"/>
      <c r="BM138" s="1202"/>
      <c r="BO138" s="1262">
        <v>4</v>
      </c>
      <c r="BP138" s="1201" t="s">
        <v>1474</v>
      </c>
      <c r="BQ138" s="1198" t="s">
        <v>1063</v>
      </c>
      <c r="BR138" s="1247">
        <v>0.2</v>
      </c>
      <c r="BS138" s="1247">
        <v>0.2</v>
      </c>
      <c r="BT138" s="1247">
        <v>0.2</v>
      </c>
      <c r="BU138" s="1247">
        <v>0.2</v>
      </c>
      <c r="BV138" s="1247">
        <v>0.2</v>
      </c>
      <c r="BW138" s="1247">
        <v>0.2</v>
      </c>
      <c r="BX138" s="1247">
        <v>0.2</v>
      </c>
      <c r="BY138" s="1247">
        <v>0.2</v>
      </c>
      <c r="BZ138" s="1890">
        <v>0.2</v>
      </c>
      <c r="CA138" s="1247">
        <v>0.2</v>
      </c>
      <c r="CB138" s="1203"/>
      <c r="CC138" s="1202"/>
      <c r="CD138" s="1202"/>
      <c r="CE138" s="1468"/>
      <c r="CF138">
        <f>ROWS($CF$5:CF137)</f>
        <v>133</v>
      </c>
      <c r="CG138" s="1262">
        <v>4</v>
      </c>
      <c r="CH138" s="1201" t="s">
        <v>1474</v>
      </c>
      <c r="CI138" s="1198" t="s">
        <v>1063</v>
      </c>
      <c r="CJ138" s="1699">
        <f t="shared" si="114"/>
        <v>0.2</v>
      </c>
      <c r="CK138" s="1699">
        <f t="shared" si="102"/>
        <v>0.2</v>
      </c>
      <c r="CL138" s="1699">
        <f t="shared" si="103"/>
        <v>0.2</v>
      </c>
      <c r="CM138" s="1699">
        <f t="shared" si="104"/>
        <v>0.2</v>
      </c>
      <c r="CN138" s="1699">
        <f t="shared" si="105"/>
        <v>0.2</v>
      </c>
      <c r="CO138" s="1699">
        <f t="shared" si="106"/>
        <v>0.2</v>
      </c>
      <c r="CP138" s="1699">
        <f t="shared" si="107"/>
        <v>0.2</v>
      </c>
      <c r="CQ138" s="1699">
        <f t="shared" si="108"/>
        <v>0.2</v>
      </c>
      <c r="CR138" s="1699">
        <f t="shared" si="109"/>
        <v>0.2</v>
      </c>
      <c r="CS138" s="1699">
        <f t="shared" si="110"/>
        <v>0.2</v>
      </c>
      <c r="CT138" s="1688">
        <f t="shared" si="111"/>
        <v>0</v>
      </c>
      <c r="CU138" s="1686">
        <f t="shared" si="112"/>
        <v>0</v>
      </c>
      <c r="CV138" s="1686">
        <f t="shared" si="113"/>
        <v>0</v>
      </c>
      <c r="CX138" s="1262">
        <v>4</v>
      </c>
      <c r="CY138" s="1201" t="s">
        <v>1474</v>
      </c>
      <c r="CZ138" s="1198" t="s">
        <v>1063</v>
      </c>
      <c r="DA138" s="1679">
        <f t="shared" si="115"/>
        <v>0.2</v>
      </c>
      <c r="DB138" s="1679"/>
      <c r="DC138" s="1679"/>
      <c r="DD138" s="1679"/>
      <c r="DE138" s="1679"/>
      <c r="DF138" s="1679"/>
      <c r="DG138" s="1679"/>
      <c r="DH138" s="1679"/>
      <c r="DI138" s="1679"/>
      <c r="DJ138" s="1679"/>
      <c r="DK138" s="1677"/>
      <c r="DL138" s="1676"/>
      <c r="DM138" s="1676"/>
    </row>
    <row r="139" spans="2:117">
      <c r="B139" s="1186">
        <f t="shared" si="125"/>
        <v>4.0999999999999996</v>
      </c>
      <c r="C139" s="1208" t="str">
        <f t="shared" si="147"/>
        <v>住宅以外の評価</v>
      </c>
      <c r="D139" s="1205">
        <f>IF(I$138=0,0,G139/I$138)</f>
        <v>1</v>
      </c>
      <c r="E139" s="1205">
        <f>IF(J$138=0,0,H139/J$138)</f>
        <v>0</v>
      </c>
      <c r="G139" s="1206">
        <f t="shared" si="122"/>
        <v>1</v>
      </c>
      <c r="H139" s="1206">
        <f t="shared" si="123"/>
        <v>0</v>
      </c>
      <c r="I139" s="1206">
        <f>SUM(G140:G141)</f>
        <v>1</v>
      </c>
      <c r="J139" s="1206">
        <f>SUM(H140:H141)</f>
        <v>0</v>
      </c>
      <c r="K139" s="1206">
        <f>IF(スコア!Q139=0,0,1)</f>
        <v>1</v>
      </c>
      <c r="L139" s="1206">
        <f>IF(スコア!S139=0,0,1)</f>
        <v>0</v>
      </c>
      <c r="M139" s="1206">
        <f t="shared" si="148"/>
        <v>1</v>
      </c>
      <c r="N139" s="1206">
        <f t="shared" ref="N139:N144" si="152">(AC$7*AC139)+(AD$7*AD139)+(AE$7*AE139)</f>
        <v>0</v>
      </c>
      <c r="P139" s="1207">
        <f t="shared" si="149"/>
        <v>4.0999999999999996</v>
      </c>
      <c r="Q139" s="1207" t="str">
        <f t="shared" si="150"/>
        <v>LR1 4</v>
      </c>
      <c r="R139" s="1208" t="str">
        <f t="shared" si="151"/>
        <v>住宅以外の評価</v>
      </c>
      <c r="S139" s="1747">
        <f t="shared" si="133"/>
        <v>1</v>
      </c>
      <c r="T139" s="1747">
        <f t="shared" si="134"/>
        <v>1</v>
      </c>
      <c r="U139" s="1747">
        <f t="shared" si="135"/>
        <v>1</v>
      </c>
      <c r="V139" s="1747">
        <f t="shared" si="136"/>
        <v>1</v>
      </c>
      <c r="W139" s="1747">
        <f t="shared" si="137"/>
        <v>1</v>
      </c>
      <c r="X139" s="1747">
        <f t="shared" si="138"/>
        <v>1</v>
      </c>
      <c r="Y139" s="1747">
        <f t="shared" si="139"/>
        <v>0</v>
      </c>
      <c r="Z139" s="1749">
        <f t="shared" si="140"/>
        <v>1</v>
      </c>
      <c r="AA139" s="1747">
        <f t="shared" si="141"/>
        <v>1</v>
      </c>
      <c r="AB139" s="1747">
        <f t="shared" si="142"/>
        <v>1</v>
      </c>
      <c r="AC139" s="1748">
        <f t="shared" si="143"/>
        <v>0</v>
      </c>
      <c r="AD139" s="1759">
        <f t="shared" si="144"/>
        <v>0</v>
      </c>
      <c r="AE139" s="1759">
        <f t="shared" si="145"/>
        <v>0</v>
      </c>
      <c r="AG139" s="1207">
        <v>4.0999999999999996</v>
      </c>
      <c r="AH139" s="1211" t="s">
        <v>123</v>
      </c>
      <c r="AI139" s="1208" t="s">
        <v>1342</v>
      </c>
      <c r="AJ139" s="1213">
        <v>1</v>
      </c>
      <c r="AK139" s="1213">
        <v>1</v>
      </c>
      <c r="AL139" s="1213">
        <v>1</v>
      </c>
      <c r="AM139" s="1213">
        <v>1</v>
      </c>
      <c r="AN139" s="1213">
        <v>1</v>
      </c>
      <c r="AO139" s="1213">
        <v>1</v>
      </c>
      <c r="AP139" s="1213"/>
      <c r="AQ139" s="1213">
        <v>1</v>
      </c>
      <c r="AR139" s="1213">
        <v>1</v>
      </c>
      <c r="AS139" s="1213">
        <v>1</v>
      </c>
      <c r="AT139" s="1214"/>
      <c r="AU139" s="1257"/>
      <c r="AV139" s="1257"/>
      <c r="AX139" s="1207">
        <v>4.0999999999999996</v>
      </c>
      <c r="AY139" s="1211" t="s">
        <v>123</v>
      </c>
      <c r="AZ139" s="1208" t="s">
        <v>1342</v>
      </c>
      <c r="BA139" s="1213">
        <v>1</v>
      </c>
      <c r="BB139" s="1213">
        <v>1</v>
      </c>
      <c r="BC139" s="1213">
        <v>1</v>
      </c>
      <c r="BD139" s="1213">
        <v>1</v>
      </c>
      <c r="BE139" s="1213">
        <v>1</v>
      </c>
      <c r="BF139" s="1213">
        <v>1</v>
      </c>
      <c r="BG139" s="1213"/>
      <c r="BH139" s="1213">
        <v>1</v>
      </c>
      <c r="BI139" s="1213">
        <v>1</v>
      </c>
      <c r="BJ139" s="1213">
        <v>1</v>
      </c>
      <c r="BK139" s="1214"/>
      <c r="BL139" s="1257"/>
      <c r="BM139" s="1257"/>
      <c r="BO139" s="1207">
        <v>4.0999999999999996</v>
      </c>
      <c r="BP139" s="1211" t="s">
        <v>123</v>
      </c>
      <c r="BQ139" s="1208" t="s">
        <v>1342</v>
      </c>
      <c r="BR139" s="1213">
        <v>1</v>
      </c>
      <c r="BS139" s="1213">
        <v>1</v>
      </c>
      <c r="BT139" s="1213">
        <v>1</v>
      </c>
      <c r="BU139" s="1213">
        <v>1</v>
      </c>
      <c r="BV139" s="1213">
        <v>1</v>
      </c>
      <c r="BW139" s="1213">
        <v>1</v>
      </c>
      <c r="BX139" s="1213"/>
      <c r="BY139" s="1213">
        <v>1</v>
      </c>
      <c r="BZ139" s="1213">
        <v>1</v>
      </c>
      <c r="CA139" s="1213">
        <v>1</v>
      </c>
      <c r="CB139" s="1214"/>
      <c r="CC139" s="1257"/>
      <c r="CD139" s="1257"/>
      <c r="CE139" s="1472"/>
      <c r="CF139">
        <f>ROWS($CF$5:CF138)</f>
        <v>134</v>
      </c>
      <c r="CG139" s="1207">
        <v>4.0999999999999996</v>
      </c>
      <c r="CH139" s="1211" t="s">
        <v>123</v>
      </c>
      <c r="CI139" s="1208" t="s">
        <v>1342</v>
      </c>
      <c r="CJ139" s="1689">
        <f t="shared" si="114"/>
        <v>1</v>
      </c>
      <c r="CK139" s="1689">
        <f t="shared" si="102"/>
        <v>1</v>
      </c>
      <c r="CL139" s="1689">
        <f t="shared" si="103"/>
        <v>1</v>
      </c>
      <c r="CM139" s="1689">
        <f t="shared" si="104"/>
        <v>1</v>
      </c>
      <c r="CN139" s="1689">
        <f t="shared" si="105"/>
        <v>1</v>
      </c>
      <c r="CO139" s="1689">
        <f t="shared" si="106"/>
        <v>1</v>
      </c>
      <c r="CP139" s="1689">
        <f t="shared" si="107"/>
        <v>0</v>
      </c>
      <c r="CQ139" s="1689">
        <f t="shared" si="108"/>
        <v>1</v>
      </c>
      <c r="CR139" s="1689">
        <f t="shared" si="109"/>
        <v>1</v>
      </c>
      <c r="CS139" s="1689">
        <f t="shared" si="110"/>
        <v>1</v>
      </c>
      <c r="CT139" s="1691">
        <f t="shared" si="111"/>
        <v>0</v>
      </c>
      <c r="CU139" s="1704">
        <f t="shared" si="112"/>
        <v>0</v>
      </c>
      <c r="CV139" s="1704">
        <f t="shared" si="113"/>
        <v>0</v>
      </c>
      <c r="CX139" s="1207">
        <v>4.0999999999999996</v>
      </c>
      <c r="CY139" s="1211" t="s">
        <v>123</v>
      </c>
      <c r="CZ139" s="1208" t="s">
        <v>1342</v>
      </c>
      <c r="DA139" s="1678">
        <f t="shared" si="115"/>
        <v>1</v>
      </c>
      <c r="DB139" s="1678"/>
      <c r="DC139" s="1678"/>
      <c r="DD139" s="1678"/>
      <c r="DE139" s="1678"/>
      <c r="DF139" s="1678"/>
      <c r="DG139" s="1678"/>
      <c r="DH139" s="1678"/>
      <c r="DI139" s="1678"/>
      <c r="DJ139" s="1678"/>
      <c r="DK139" s="1795"/>
      <c r="DL139" s="1681"/>
      <c r="DM139" s="1681"/>
    </row>
    <row r="140" spans="2:117">
      <c r="B140" s="1186" t="str">
        <f>P140</f>
        <v>4.1.1</v>
      </c>
      <c r="C140" s="1208" t="str">
        <f t="shared" si="147"/>
        <v>モニタリング</v>
      </c>
      <c r="D140" s="1205">
        <f>IF(I$139=0,0,G140/I$139)</f>
        <v>0.5</v>
      </c>
      <c r="E140" s="1205">
        <f>IF(J$139=0,0,H140/J$139)</f>
        <v>0</v>
      </c>
      <c r="G140" s="1206">
        <f t="shared" si="122"/>
        <v>0.5</v>
      </c>
      <c r="H140" s="1206">
        <f t="shared" si="123"/>
        <v>0</v>
      </c>
      <c r="I140" s="1206"/>
      <c r="J140" s="1206"/>
      <c r="K140" s="1206">
        <f>IF(スコア!Q140=0,0,1)</f>
        <v>1</v>
      </c>
      <c r="L140" s="1206">
        <f>IF(スコア!S140=0,0,1)</f>
        <v>0</v>
      </c>
      <c r="M140" s="1206">
        <f t="shared" si="148"/>
        <v>0.5</v>
      </c>
      <c r="N140" s="1206">
        <f t="shared" si="152"/>
        <v>0</v>
      </c>
      <c r="P140" s="1207" t="str">
        <f t="shared" si="149"/>
        <v>4.1.1</v>
      </c>
      <c r="Q140" s="1207" t="str">
        <f t="shared" si="150"/>
        <v>LR1 4.1</v>
      </c>
      <c r="R140" s="1208" t="str">
        <f t="shared" si="151"/>
        <v>モニタリング</v>
      </c>
      <c r="S140" s="1747">
        <f t="shared" si="133"/>
        <v>0.5</v>
      </c>
      <c r="T140" s="1747">
        <f t="shared" si="134"/>
        <v>0.5</v>
      </c>
      <c r="U140" s="1747">
        <f t="shared" si="135"/>
        <v>0.5</v>
      </c>
      <c r="V140" s="1747">
        <f t="shared" si="136"/>
        <v>0.5</v>
      </c>
      <c r="W140" s="1747">
        <f t="shared" si="137"/>
        <v>0.5</v>
      </c>
      <c r="X140" s="1747">
        <f t="shared" si="138"/>
        <v>0.5</v>
      </c>
      <c r="Y140" s="1747">
        <f t="shared" si="139"/>
        <v>0</v>
      </c>
      <c r="Z140" s="1749">
        <f t="shared" si="140"/>
        <v>0.5</v>
      </c>
      <c r="AA140" s="1747">
        <f t="shared" si="141"/>
        <v>0.5</v>
      </c>
      <c r="AB140" s="1747">
        <f t="shared" si="142"/>
        <v>0.5</v>
      </c>
      <c r="AC140" s="1748">
        <f t="shared" si="143"/>
        <v>0</v>
      </c>
      <c r="AD140" s="1759">
        <f t="shared" si="144"/>
        <v>0</v>
      </c>
      <c r="AE140" s="1759">
        <f t="shared" si="145"/>
        <v>0</v>
      </c>
      <c r="AG140" s="1207" t="s">
        <v>1335</v>
      </c>
      <c r="AH140" s="1211" t="s">
        <v>1339</v>
      </c>
      <c r="AI140" s="1208" t="s">
        <v>1609</v>
      </c>
      <c r="AJ140" s="1213">
        <v>0.5</v>
      </c>
      <c r="AK140" s="1213">
        <v>0.5</v>
      </c>
      <c r="AL140" s="1213">
        <v>0.5</v>
      </c>
      <c r="AM140" s="1213">
        <v>0.5</v>
      </c>
      <c r="AN140" s="1213">
        <v>0.5</v>
      </c>
      <c r="AO140" s="1213">
        <v>0.5</v>
      </c>
      <c r="AP140" s="1213"/>
      <c r="AQ140" s="1213">
        <v>0.5</v>
      </c>
      <c r="AR140" s="1213">
        <v>0.5</v>
      </c>
      <c r="AS140" s="1213">
        <v>0.5</v>
      </c>
      <c r="AT140" s="1214"/>
      <c r="AU140" s="1257"/>
      <c r="AV140" s="1257"/>
      <c r="AX140" s="1207" t="s">
        <v>1335</v>
      </c>
      <c r="AY140" s="1211" t="s">
        <v>1339</v>
      </c>
      <c r="AZ140" s="1208" t="s">
        <v>1609</v>
      </c>
      <c r="BA140" s="1213">
        <v>0.5</v>
      </c>
      <c r="BB140" s="1213">
        <v>0.5</v>
      </c>
      <c r="BC140" s="1213">
        <v>0.5</v>
      </c>
      <c r="BD140" s="1213">
        <v>0.5</v>
      </c>
      <c r="BE140" s="1213">
        <v>0.5</v>
      </c>
      <c r="BF140" s="1213">
        <v>0.5</v>
      </c>
      <c r="BG140" s="1213"/>
      <c r="BH140" s="1213">
        <v>0.5</v>
      </c>
      <c r="BI140" s="1213">
        <v>0.5</v>
      </c>
      <c r="BJ140" s="1213">
        <v>0.5</v>
      </c>
      <c r="BK140" s="1214"/>
      <c r="BL140" s="1257"/>
      <c r="BM140" s="1257"/>
      <c r="BO140" s="1207" t="s">
        <v>1335</v>
      </c>
      <c r="BP140" s="1211" t="s">
        <v>1339</v>
      </c>
      <c r="BQ140" s="1208" t="s">
        <v>1609</v>
      </c>
      <c r="BR140" s="1213">
        <v>0.5</v>
      </c>
      <c r="BS140" s="1213">
        <v>0.5</v>
      </c>
      <c r="BT140" s="1213">
        <v>0.5</v>
      </c>
      <c r="BU140" s="1213">
        <v>0.5</v>
      </c>
      <c r="BV140" s="1213">
        <v>0.5</v>
      </c>
      <c r="BW140" s="1213">
        <v>0.5</v>
      </c>
      <c r="BX140" s="1213"/>
      <c r="BY140" s="1213">
        <v>0.5</v>
      </c>
      <c r="BZ140" s="1213">
        <v>0.5</v>
      </c>
      <c r="CA140" s="1213">
        <v>0.5</v>
      </c>
      <c r="CB140" s="1214"/>
      <c r="CC140" s="1257"/>
      <c r="CD140" s="1257"/>
      <c r="CE140" s="1472"/>
      <c r="CG140" s="1207" t="s">
        <v>1335</v>
      </c>
      <c r="CH140" s="1211" t="s">
        <v>1339</v>
      </c>
      <c r="CI140" s="1208" t="s">
        <v>1609</v>
      </c>
      <c r="CJ140" s="1689">
        <f t="shared" si="114"/>
        <v>0.5</v>
      </c>
      <c r="CK140" s="1689">
        <f t="shared" si="102"/>
        <v>0.5</v>
      </c>
      <c r="CL140" s="1689">
        <f t="shared" si="103"/>
        <v>0.5</v>
      </c>
      <c r="CM140" s="1689">
        <f t="shared" si="104"/>
        <v>0.5</v>
      </c>
      <c r="CN140" s="1689">
        <f t="shared" si="105"/>
        <v>0.5</v>
      </c>
      <c r="CO140" s="1689">
        <f t="shared" si="106"/>
        <v>0.5</v>
      </c>
      <c r="CP140" s="1689">
        <f t="shared" si="107"/>
        <v>0</v>
      </c>
      <c r="CQ140" s="1689">
        <f t="shared" si="108"/>
        <v>0.5</v>
      </c>
      <c r="CR140" s="1689">
        <f t="shared" si="109"/>
        <v>0.5</v>
      </c>
      <c r="CS140" s="1689">
        <f t="shared" si="110"/>
        <v>0.5</v>
      </c>
      <c r="CT140" s="1691">
        <f t="shared" si="111"/>
        <v>0</v>
      </c>
      <c r="CU140" s="1704">
        <f t="shared" si="112"/>
        <v>0</v>
      </c>
      <c r="CV140" s="1704">
        <f t="shared" si="113"/>
        <v>0</v>
      </c>
      <c r="CX140" s="1207" t="s">
        <v>1335</v>
      </c>
      <c r="CY140" s="1211" t="s">
        <v>1339</v>
      </c>
      <c r="CZ140" s="1208" t="s">
        <v>1609</v>
      </c>
      <c r="DA140" s="1678">
        <f t="shared" ref="DA140:DA190" si="153">BR140</f>
        <v>0.5</v>
      </c>
      <c r="DB140" s="1678"/>
      <c r="DC140" s="1678"/>
      <c r="DD140" s="1678"/>
      <c r="DE140" s="1678"/>
      <c r="DF140" s="1678"/>
      <c r="DG140" s="1678"/>
      <c r="DH140" s="1678"/>
      <c r="DI140" s="1678"/>
      <c r="DJ140" s="1678"/>
      <c r="DK140" s="1795"/>
      <c r="DL140" s="1681"/>
      <c r="DM140" s="1681"/>
    </row>
    <row r="141" spans="2:117">
      <c r="B141" s="1186" t="str">
        <f>P141</f>
        <v>4.1.2</v>
      </c>
      <c r="C141" s="1208" t="str">
        <f t="shared" si="147"/>
        <v>運用管理体制</v>
      </c>
      <c r="D141" s="1196">
        <f>IF(I$139&gt;0,G141/I$139,0)</f>
        <v>0.5</v>
      </c>
      <c r="E141" s="1196">
        <f>IF(J$139&gt;0,H141/J$139,0)</f>
        <v>0</v>
      </c>
      <c r="G141" s="1206">
        <f t="shared" si="122"/>
        <v>0.5</v>
      </c>
      <c r="H141" s="1206">
        <f t="shared" si="123"/>
        <v>0</v>
      </c>
      <c r="I141" s="1206"/>
      <c r="J141" s="1206"/>
      <c r="K141" s="1206">
        <f>IF(スコア!Q141=0,0,1)</f>
        <v>1</v>
      </c>
      <c r="L141" s="1206">
        <f>IF(スコア!S141=0,0,1)</f>
        <v>0</v>
      </c>
      <c r="M141" s="1206">
        <f t="shared" si="148"/>
        <v>0.5</v>
      </c>
      <c r="N141" s="1206">
        <f t="shared" si="152"/>
        <v>0</v>
      </c>
      <c r="P141" s="1207" t="str">
        <f t="shared" si="149"/>
        <v>4.1.2</v>
      </c>
      <c r="Q141" s="1207" t="str">
        <f t="shared" si="150"/>
        <v>LR1 4.1</v>
      </c>
      <c r="R141" s="1208" t="str">
        <f t="shared" si="151"/>
        <v>運用管理体制</v>
      </c>
      <c r="S141" s="1747">
        <f t="shared" si="133"/>
        <v>0.5</v>
      </c>
      <c r="T141" s="1747">
        <f t="shared" si="134"/>
        <v>0.5</v>
      </c>
      <c r="U141" s="1747">
        <f t="shared" si="135"/>
        <v>0.5</v>
      </c>
      <c r="V141" s="1747">
        <f t="shared" si="136"/>
        <v>0.5</v>
      </c>
      <c r="W141" s="1747">
        <f t="shared" si="137"/>
        <v>0.5</v>
      </c>
      <c r="X141" s="1747">
        <f t="shared" si="138"/>
        <v>0.5</v>
      </c>
      <c r="Y141" s="1747">
        <f t="shared" si="139"/>
        <v>0</v>
      </c>
      <c r="Z141" s="1749">
        <f t="shared" si="140"/>
        <v>0.5</v>
      </c>
      <c r="AA141" s="1747">
        <f t="shared" si="141"/>
        <v>0.5</v>
      </c>
      <c r="AB141" s="1747">
        <f t="shared" si="142"/>
        <v>0.5</v>
      </c>
      <c r="AC141" s="1748">
        <f t="shared" si="143"/>
        <v>0</v>
      </c>
      <c r="AD141" s="1759">
        <f t="shared" si="144"/>
        <v>0</v>
      </c>
      <c r="AE141" s="1759">
        <f t="shared" si="145"/>
        <v>0</v>
      </c>
      <c r="AG141" s="1207" t="s">
        <v>1336</v>
      </c>
      <c r="AH141" s="1211" t="s">
        <v>1340</v>
      </c>
      <c r="AI141" s="1208" t="s">
        <v>1064</v>
      </c>
      <c r="AJ141" s="1213">
        <v>0.5</v>
      </c>
      <c r="AK141" s="1213">
        <v>0.5</v>
      </c>
      <c r="AL141" s="1213">
        <v>0.5</v>
      </c>
      <c r="AM141" s="1213">
        <v>0.5</v>
      </c>
      <c r="AN141" s="1213">
        <v>0.5</v>
      </c>
      <c r="AO141" s="1213">
        <v>0.5</v>
      </c>
      <c r="AP141" s="1213"/>
      <c r="AQ141" s="1213">
        <v>0.5</v>
      </c>
      <c r="AR141" s="1213">
        <v>0.5</v>
      </c>
      <c r="AS141" s="1213">
        <v>0.5</v>
      </c>
      <c r="AT141" s="1214"/>
      <c r="AU141" s="1257"/>
      <c r="AV141" s="1257"/>
      <c r="AX141" s="1207" t="s">
        <v>1336</v>
      </c>
      <c r="AY141" s="1211" t="s">
        <v>1340</v>
      </c>
      <c r="AZ141" s="1208" t="s">
        <v>1064</v>
      </c>
      <c r="BA141" s="1213">
        <v>0.5</v>
      </c>
      <c r="BB141" s="1213">
        <v>0.5</v>
      </c>
      <c r="BC141" s="1213">
        <v>0.5</v>
      </c>
      <c r="BD141" s="1213">
        <v>0.5</v>
      </c>
      <c r="BE141" s="1213">
        <v>0.5</v>
      </c>
      <c r="BF141" s="1213">
        <v>0.5</v>
      </c>
      <c r="BG141" s="1213"/>
      <c r="BH141" s="1213">
        <v>0.5</v>
      </c>
      <c r="BI141" s="1213">
        <v>0.5</v>
      </c>
      <c r="BJ141" s="1213">
        <v>0.5</v>
      </c>
      <c r="BK141" s="1214"/>
      <c r="BL141" s="1257"/>
      <c r="BM141" s="1257"/>
      <c r="BO141" s="1207" t="s">
        <v>1336</v>
      </c>
      <c r="BP141" s="1211" t="s">
        <v>1340</v>
      </c>
      <c r="BQ141" s="1208" t="s">
        <v>1064</v>
      </c>
      <c r="BR141" s="1213">
        <v>0.5</v>
      </c>
      <c r="BS141" s="1213">
        <v>0.5</v>
      </c>
      <c r="BT141" s="1213">
        <v>0.5</v>
      </c>
      <c r="BU141" s="1213">
        <v>0.5</v>
      </c>
      <c r="BV141" s="1213">
        <v>0.5</v>
      </c>
      <c r="BW141" s="1213">
        <v>0.5</v>
      </c>
      <c r="BX141" s="1213"/>
      <c r="BY141" s="1213">
        <v>0.5</v>
      </c>
      <c r="BZ141" s="1213">
        <v>0.5</v>
      </c>
      <c r="CA141" s="1213">
        <v>0.5</v>
      </c>
      <c r="CB141" s="1214"/>
      <c r="CC141" s="1257"/>
      <c r="CD141" s="1257"/>
      <c r="CE141" s="1472"/>
      <c r="CG141" s="1207" t="s">
        <v>1336</v>
      </c>
      <c r="CH141" s="1211" t="s">
        <v>1339</v>
      </c>
      <c r="CI141" s="1208" t="s">
        <v>1064</v>
      </c>
      <c r="CJ141" s="1689">
        <f t="shared" si="114"/>
        <v>0.5</v>
      </c>
      <c r="CK141" s="1689">
        <f t="shared" si="102"/>
        <v>0.5</v>
      </c>
      <c r="CL141" s="1689">
        <f t="shared" si="103"/>
        <v>0.5</v>
      </c>
      <c r="CM141" s="1689">
        <f t="shared" si="104"/>
        <v>0.5</v>
      </c>
      <c r="CN141" s="1689">
        <f t="shared" si="105"/>
        <v>0.5</v>
      </c>
      <c r="CO141" s="1689">
        <f t="shared" si="106"/>
        <v>0.5</v>
      </c>
      <c r="CP141" s="1689">
        <f t="shared" si="107"/>
        <v>0</v>
      </c>
      <c r="CQ141" s="1689">
        <f t="shared" si="108"/>
        <v>0.5</v>
      </c>
      <c r="CR141" s="1689">
        <f t="shared" si="109"/>
        <v>0.5</v>
      </c>
      <c r="CS141" s="1689">
        <f t="shared" si="110"/>
        <v>0.5</v>
      </c>
      <c r="CT141" s="1691">
        <f t="shared" si="111"/>
        <v>0</v>
      </c>
      <c r="CU141" s="1704">
        <f t="shared" si="112"/>
        <v>0</v>
      </c>
      <c r="CV141" s="1704">
        <f t="shared" si="113"/>
        <v>0</v>
      </c>
      <c r="CX141" s="1207" t="s">
        <v>1336</v>
      </c>
      <c r="CY141" s="1211" t="s">
        <v>1339</v>
      </c>
      <c r="CZ141" s="1208" t="s">
        <v>1064</v>
      </c>
      <c r="DA141" s="1678">
        <f t="shared" si="153"/>
        <v>0.5</v>
      </c>
      <c r="DB141" s="1678"/>
      <c r="DC141" s="1678"/>
      <c r="DD141" s="1678"/>
      <c r="DE141" s="1678"/>
      <c r="DF141" s="1678"/>
      <c r="DG141" s="1678"/>
      <c r="DH141" s="1678"/>
      <c r="DI141" s="1678"/>
      <c r="DJ141" s="1678"/>
      <c r="DK141" s="1795"/>
      <c r="DL141" s="1681"/>
      <c r="DM141" s="1681"/>
    </row>
    <row r="142" spans="2:117">
      <c r="B142" s="1186">
        <f>P142</f>
        <v>4.2</v>
      </c>
      <c r="C142" s="1208" t="str">
        <f t="shared" si="147"/>
        <v>住宅の評価</v>
      </c>
      <c r="D142" s="1205">
        <f>IF(I$138=0,0,G142/I$138)</f>
        <v>0</v>
      </c>
      <c r="E142" s="1205">
        <f>IF(J$138=0,0,H142/J$138)</f>
        <v>0</v>
      </c>
      <c r="G142" s="1206">
        <f t="shared" ref="G142:H144" si="154">K142*M142</f>
        <v>0</v>
      </c>
      <c r="H142" s="1206">
        <f t="shared" si="154"/>
        <v>0</v>
      </c>
      <c r="I142" s="1206">
        <f>SUM(G143:G144)</f>
        <v>0</v>
      </c>
      <c r="J142" s="1206">
        <f>SUM(H143:H144)</f>
        <v>0</v>
      </c>
      <c r="K142" s="1206">
        <f>IF(スコア!Q142=0,0,1)</f>
        <v>0</v>
      </c>
      <c r="L142" s="1206">
        <f>IF(スコア!S142=0,0,1)</f>
        <v>0</v>
      </c>
      <c r="M142" s="1206">
        <f t="shared" si="148"/>
        <v>0</v>
      </c>
      <c r="N142" s="1206">
        <f t="shared" si="152"/>
        <v>0</v>
      </c>
      <c r="P142" s="1207">
        <f t="shared" si="149"/>
        <v>4.2</v>
      </c>
      <c r="Q142" s="1207" t="str">
        <f t="shared" si="150"/>
        <v>LR1 4</v>
      </c>
      <c r="R142" s="1208" t="str">
        <f t="shared" si="151"/>
        <v>住宅の評価</v>
      </c>
      <c r="S142" s="1747">
        <f t="shared" si="133"/>
        <v>0</v>
      </c>
      <c r="T142" s="1747">
        <f t="shared" si="134"/>
        <v>0</v>
      </c>
      <c r="U142" s="1747">
        <f t="shared" si="135"/>
        <v>0</v>
      </c>
      <c r="V142" s="1747">
        <f t="shared" si="136"/>
        <v>0</v>
      </c>
      <c r="W142" s="1747">
        <f t="shared" si="137"/>
        <v>0</v>
      </c>
      <c r="X142" s="1747">
        <f t="shared" si="138"/>
        <v>0</v>
      </c>
      <c r="Y142" s="1747">
        <f t="shared" si="139"/>
        <v>1</v>
      </c>
      <c r="Z142" s="1749">
        <f t="shared" si="140"/>
        <v>0</v>
      </c>
      <c r="AA142" s="1747">
        <f t="shared" si="141"/>
        <v>0</v>
      </c>
      <c r="AB142" s="1747">
        <f t="shared" si="142"/>
        <v>0</v>
      </c>
      <c r="AC142" s="1748">
        <f t="shared" si="143"/>
        <v>0</v>
      </c>
      <c r="AD142" s="1759">
        <f t="shared" si="144"/>
        <v>0</v>
      </c>
      <c r="AE142" s="1759">
        <f t="shared" si="145"/>
        <v>0</v>
      </c>
      <c r="AG142" s="1207">
        <v>4.2</v>
      </c>
      <c r="AH142" s="1211" t="s">
        <v>123</v>
      </c>
      <c r="AI142" s="1208" t="s">
        <v>1343</v>
      </c>
      <c r="AJ142" s="1213"/>
      <c r="AK142" s="1213"/>
      <c r="AL142" s="1213"/>
      <c r="AM142" s="1213"/>
      <c r="AN142" s="1213"/>
      <c r="AO142" s="1213"/>
      <c r="AP142" s="1213">
        <v>1</v>
      </c>
      <c r="AQ142" s="1220"/>
      <c r="AR142" s="1213"/>
      <c r="AS142" s="1213"/>
      <c r="AT142" s="1214"/>
      <c r="AU142" s="1257"/>
      <c r="AV142" s="1257"/>
      <c r="AX142" s="1207">
        <v>4.2</v>
      </c>
      <c r="AY142" s="1211" t="s">
        <v>123</v>
      </c>
      <c r="AZ142" s="1208" t="s">
        <v>1343</v>
      </c>
      <c r="BA142" s="1213"/>
      <c r="BB142" s="1213"/>
      <c r="BC142" s="1213"/>
      <c r="BD142" s="1213"/>
      <c r="BE142" s="1213"/>
      <c r="BF142" s="1213"/>
      <c r="BG142" s="1213">
        <v>1</v>
      </c>
      <c r="BH142" s="1220"/>
      <c r="BI142" s="1213"/>
      <c r="BJ142" s="1213"/>
      <c r="BK142" s="1214"/>
      <c r="BL142" s="1257"/>
      <c r="BM142" s="1257"/>
      <c r="BO142" s="1207">
        <v>4.2</v>
      </c>
      <c r="BP142" s="1211" t="s">
        <v>123</v>
      </c>
      <c r="BQ142" s="1208" t="s">
        <v>1343</v>
      </c>
      <c r="BR142" s="1213"/>
      <c r="BS142" s="1213"/>
      <c r="BT142" s="1213"/>
      <c r="BU142" s="1213"/>
      <c r="BV142" s="1213"/>
      <c r="BW142" s="1213"/>
      <c r="BX142" s="1213">
        <v>1</v>
      </c>
      <c r="BY142" s="1220"/>
      <c r="BZ142" s="1213"/>
      <c r="CA142" s="1213"/>
      <c r="CB142" s="1214"/>
      <c r="CC142" s="1257"/>
      <c r="CD142" s="1257"/>
      <c r="CE142" s="1472"/>
      <c r="CG142" s="1207">
        <v>4.2</v>
      </c>
      <c r="CH142" s="1211" t="s">
        <v>123</v>
      </c>
      <c r="CI142" s="1208" t="s">
        <v>1343</v>
      </c>
      <c r="CJ142" s="1689">
        <f t="shared" si="114"/>
        <v>0</v>
      </c>
      <c r="CK142" s="1689">
        <f t="shared" ref="CK142:CK194" si="155">BS142</f>
        <v>0</v>
      </c>
      <c r="CL142" s="1689">
        <f t="shared" ref="CL142:CL194" si="156">BT142</f>
        <v>0</v>
      </c>
      <c r="CM142" s="1689">
        <f t="shared" ref="CM142:CM194" si="157">BU142</f>
        <v>0</v>
      </c>
      <c r="CN142" s="1689">
        <f t="shared" ref="CN142:CN194" si="158">BV142</f>
        <v>0</v>
      </c>
      <c r="CO142" s="1689">
        <f t="shared" ref="CO142:CO194" si="159">BW142</f>
        <v>0</v>
      </c>
      <c r="CP142" s="1689">
        <f t="shared" ref="CP142:CP194" si="160">BX142</f>
        <v>1</v>
      </c>
      <c r="CQ142" s="1701">
        <f t="shared" ref="CQ142:CQ194" si="161">BY142</f>
        <v>0</v>
      </c>
      <c r="CR142" s="1689">
        <f t="shared" ref="CR142:CR194" si="162">BZ142</f>
        <v>0</v>
      </c>
      <c r="CS142" s="1689">
        <f t="shared" ref="CS142:CS194" si="163">CA142</f>
        <v>0</v>
      </c>
      <c r="CT142" s="1691">
        <f t="shared" ref="CT142:CT194" si="164">CB142</f>
        <v>0</v>
      </c>
      <c r="CU142" s="1704">
        <f t="shared" ref="CU142:CU194" si="165">CC142</f>
        <v>0</v>
      </c>
      <c r="CV142" s="1704">
        <f t="shared" ref="CV142:CV194" si="166">CD142</f>
        <v>0</v>
      </c>
      <c r="CX142" s="1207">
        <v>4.2</v>
      </c>
      <c r="CY142" s="1211" t="s">
        <v>123</v>
      </c>
      <c r="CZ142" s="1208" t="s">
        <v>1343</v>
      </c>
      <c r="DA142" s="1678">
        <f t="shared" si="153"/>
        <v>0</v>
      </c>
      <c r="DB142" s="1678"/>
      <c r="DC142" s="1678"/>
      <c r="DD142" s="1678"/>
      <c r="DE142" s="1678"/>
      <c r="DF142" s="1678"/>
      <c r="DG142" s="1678"/>
      <c r="DH142" s="1738"/>
      <c r="DI142" s="1678"/>
      <c r="DJ142" s="1678"/>
      <c r="DK142" s="1795"/>
      <c r="DL142" s="1681"/>
      <c r="DM142" s="1681"/>
    </row>
    <row r="143" spans="2:117">
      <c r="B143" s="1186" t="str">
        <f>P143</f>
        <v>4.2.1</v>
      </c>
      <c r="C143" s="1208" t="str">
        <f t="shared" si="147"/>
        <v>モニタリング</v>
      </c>
      <c r="D143" s="1196">
        <f>IF(I$142&gt;0,G143/I$142,0)</f>
        <v>0</v>
      </c>
      <c r="E143" s="1196">
        <f>IF(J$142&gt;0,H143/J$142,0)</f>
        <v>0</v>
      </c>
      <c r="G143" s="1206">
        <f t="shared" si="154"/>
        <v>0</v>
      </c>
      <c r="H143" s="1206">
        <f t="shared" si="154"/>
        <v>0</v>
      </c>
      <c r="I143" s="1206"/>
      <c r="J143" s="1206"/>
      <c r="K143" s="1206">
        <f>IF(スコア!Q143=0,0,1)</f>
        <v>1</v>
      </c>
      <c r="L143" s="1206">
        <f>IF(スコア!S143=0,0,1)</f>
        <v>0</v>
      </c>
      <c r="M143" s="1206">
        <f t="shared" si="148"/>
        <v>0</v>
      </c>
      <c r="N143" s="1206">
        <f t="shared" si="152"/>
        <v>0</v>
      </c>
      <c r="P143" s="1207" t="str">
        <f t="shared" si="149"/>
        <v>4.2.1</v>
      </c>
      <c r="Q143" s="1207" t="str">
        <f t="shared" si="150"/>
        <v>LR1 4.2</v>
      </c>
      <c r="R143" s="1208" t="str">
        <f t="shared" si="151"/>
        <v>モニタリング</v>
      </c>
      <c r="S143" s="1747">
        <f t="shared" si="133"/>
        <v>0</v>
      </c>
      <c r="T143" s="1747">
        <f t="shared" si="134"/>
        <v>0</v>
      </c>
      <c r="U143" s="1747">
        <f t="shared" si="135"/>
        <v>0</v>
      </c>
      <c r="V143" s="1747">
        <f t="shared" si="136"/>
        <v>0</v>
      </c>
      <c r="W143" s="1747">
        <f t="shared" si="137"/>
        <v>0</v>
      </c>
      <c r="X143" s="1747">
        <f t="shared" si="138"/>
        <v>0</v>
      </c>
      <c r="Y143" s="1747">
        <f t="shared" si="139"/>
        <v>0.5</v>
      </c>
      <c r="Z143" s="1749">
        <f t="shared" si="140"/>
        <v>0</v>
      </c>
      <c r="AA143" s="1747">
        <f t="shared" si="141"/>
        <v>0</v>
      </c>
      <c r="AB143" s="1747">
        <f t="shared" si="142"/>
        <v>0</v>
      </c>
      <c r="AC143" s="1748">
        <f t="shared" si="143"/>
        <v>0</v>
      </c>
      <c r="AD143" s="1759">
        <f t="shared" si="144"/>
        <v>0</v>
      </c>
      <c r="AE143" s="1759">
        <f t="shared" si="145"/>
        <v>0</v>
      </c>
      <c r="AG143" s="1207" t="s">
        <v>1337</v>
      </c>
      <c r="AH143" s="1211" t="s">
        <v>1341</v>
      </c>
      <c r="AI143" s="1208" t="s">
        <v>1329</v>
      </c>
      <c r="AJ143" s="1213"/>
      <c r="AK143" s="1213"/>
      <c r="AL143" s="1213"/>
      <c r="AM143" s="1213"/>
      <c r="AN143" s="1213"/>
      <c r="AO143" s="1213"/>
      <c r="AP143" s="1213">
        <v>0.5</v>
      </c>
      <c r="AQ143" s="1220"/>
      <c r="AR143" s="1213"/>
      <c r="AS143" s="1213"/>
      <c r="AT143" s="1214"/>
      <c r="AU143" s="1257"/>
      <c r="AV143" s="1257"/>
      <c r="AX143" s="1207" t="s">
        <v>1337</v>
      </c>
      <c r="AY143" s="1211" t="s">
        <v>1341</v>
      </c>
      <c r="AZ143" s="1208" t="s">
        <v>855</v>
      </c>
      <c r="BA143" s="1213"/>
      <c r="BB143" s="1213"/>
      <c r="BC143" s="1213"/>
      <c r="BD143" s="1213"/>
      <c r="BE143" s="1213"/>
      <c r="BF143" s="1213"/>
      <c r="BG143" s="1213">
        <v>0.5</v>
      </c>
      <c r="BH143" s="1220"/>
      <c r="BI143" s="1213"/>
      <c r="BJ143" s="1213"/>
      <c r="BK143" s="1214"/>
      <c r="BL143" s="1257"/>
      <c r="BM143" s="1257"/>
      <c r="BO143" s="1207" t="s">
        <v>1337</v>
      </c>
      <c r="BP143" s="1211" t="s">
        <v>1341</v>
      </c>
      <c r="BQ143" s="1208" t="s">
        <v>855</v>
      </c>
      <c r="BR143" s="1213"/>
      <c r="BS143" s="1213"/>
      <c r="BT143" s="1213"/>
      <c r="BU143" s="1213"/>
      <c r="BV143" s="1213"/>
      <c r="BW143" s="1213"/>
      <c r="BX143" s="1213">
        <v>0.5</v>
      </c>
      <c r="BY143" s="1220"/>
      <c r="BZ143" s="1213"/>
      <c r="CA143" s="1213"/>
      <c r="CB143" s="1214"/>
      <c r="CC143" s="1257"/>
      <c r="CD143" s="1257"/>
      <c r="CE143" s="1472"/>
      <c r="CG143" s="1207" t="s">
        <v>1337</v>
      </c>
      <c r="CH143" s="1211" t="s">
        <v>1341</v>
      </c>
      <c r="CI143" s="1208" t="s">
        <v>855</v>
      </c>
      <c r="CJ143" s="1689">
        <f t="shared" ref="CJ143:CJ194" si="167">BR143</f>
        <v>0</v>
      </c>
      <c r="CK143" s="1689">
        <f t="shared" si="155"/>
        <v>0</v>
      </c>
      <c r="CL143" s="1689">
        <f t="shared" si="156"/>
        <v>0</v>
      </c>
      <c r="CM143" s="1689">
        <f t="shared" si="157"/>
        <v>0</v>
      </c>
      <c r="CN143" s="1689">
        <f t="shared" si="158"/>
        <v>0</v>
      </c>
      <c r="CO143" s="1689">
        <f t="shared" si="159"/>
        <v>0</v>
      </c>
      <c r="CP143" s="1689">
        <f t="shared" si="160"/>
        <v>0.5</v>
      </c>
      <c r="CQ143" s="1701">
        <f t="shared" si="161"/>
        <v>0</v>
      </c>
      <c r="CR143" s="1689">
        <f t="shared" si="162"/>
        <v>0</v>
      </c>
      <c r="CS143" s="1689">
        <f t="shared" si="163"/>
        <v>0</v>
      </c>
      <c r="CT143" s="1691">
        <f t="shared" si="164"/>
        <v>0</v>
      </c>
      <c r="CU143" s="1704">
        <f t="shared" si="165"/>
        <v>0</v>
      </c>
      <c r="CV143" s="1704">
        <f t="shared" si="166"/>
        <v>0</v>
      </c>
      <c r="CX143" s="1207" t="s">
        <v>1337</v>
      </c>
      <c r="CY143" s="1211" t="s">
        <v>1341</v>
      </c>
      <c r="CZ143" s="1208" t="s">
        <v>855</v>
      </c>
      <c r="DA143" s="1678">
        <f t="shared" si="153"/>
        <v>0</v>
      </c>
      <c r="DB143" s="1678"/>
      <c r="DC143" s="1678"/>
      <c r="DD143" s="1678"/>
      <c r="DE143" s="1678"/>
      <c r="DF143" s="1678"/>
      <c r="DG143" s="1678"/>
      <c r="DH143" s="1738"/>
      <c r="DI143" s="1678"/>
      <c r="DJ143" s="1678"/>
      <c r="DK143" s="1795"/>
      <c r="DL143" s="1681"/>
      <c r="DM143" s="1681"/>
    </row>
    <row r="144" spans="2:117">
      <c r="B144" s="1186" t="str">
        <f>P144</f>
        <v>4.2.2</v>
      </c>
      <c r="C144" s="1208" t="str">
        <f t="shared" si="147"/>
        <v>運用管理体制</v>
      </c>
      <c r="D144" s="1196">
        <f>IF(I$142&gt;0,G144/I$142,0)</f>
        <v>0</v>
      </c>
      <c r="E144" s="1196">
        <f>IF(J$142&gt;0,H144/J$142,0)</f>
        <v>0</v>
      </c>
      <c r="G144" s="1206">
        <f t="shared" si="154"/>
        <v>0</v>
      </c>
      <c r="H144" s="1206">
        <f t="shared" si="154"/>
        <v>0</v>
      </c>
      <c r="I144" s="1206"/>
      <c r="J144" s="1206"/>
      <c r="K144" s="1206">
        <f>IF(スコア!Q144=0,0,1)</f>
        <v>1</v>
      </c>
      <c r="L144" s="1206">
        <f>IF(スコア!S144=0,0,1)</f>
        <v>0</v>
      </c>
      <c r="M144" s="1206">
        <f t="shared" si="148"/>
        <v>0</v>
      </c>
      <c r="N144" s="1206">
        <f t="shared" si="152"/>
        <v>0</v>
      </c>
      <c r="P144" s="1207" t="str">
        <f t="shared" si="149"/>
        <v>4.2.2</v>
      </c>
      <c r="Q144" s="1207" t="str">
        <f t="shared" si="150"/>
        <v>LR1 4.2</v>
      </c>
      <c r="R144" s="1208" t="str">
        <f t="shared" si="151"/>
        <v>運用管理体制</v>
      </c>
      <c r="S144" s="1747">
        <f t="shared" si="133"/>
        <v>0</v>
      </c>
      <c r="T144" s="1747">
        <f t="shared" si="134"/>
        <v>0</v>
      </c>
      <c r="U144" s="1747">
        <f t="shared" si="135"/>
        <v>0</v>
      </c>
      <c r="V144" s="1747">
        <f t="shared" si="136"/>
        <v>0</v>
      </c>
      <c r="W144" s="1747">
        <f t="shared" si="137"/>
        <v>0</v>
      </c>
      <c r="X144" s="1747">
        <f t="shared" si="138"/>
        <v>0</v>
      </c>
      <c r="Y144" s="1747">
        <f t="shared" si="139"/>
        <v>0.5</v>
      </c>
      <c r="Z144" s="1749">
        <f t="shared" si="140"/>
        <v>0</v>
      </c>
      <c r="AA144" s="1747">
        <f t="shared" si="141"/>
        <v>0</v>
      </c>
      <c r="AB144" s="1747">
        <f t="shared" si="142"/>
        <v>0</v>
      </c>
      <c r="AC144" s="1748">
        <f t="shared" si="143"/>
        <v>0</v>
      </c>
      <c r="AD144" s="1759">
        <f t="shared" si="144"/>
        <v>0</v>
      </c>
      <c r="AE144" s="1759">
        <f t="shared" si="145"/>
        <v>0</v>
      </c>
      <c r="AG144" s="1207" t="s">
        <v>1338</v>
      </c>
      <c r="AH144" s="1211" t="s">
        <v>1341</v>
      </c>
      <c r="AI144" s="1208" t="s">
        <v>1330</v>
      </c>
      <c r="AJ144" s="1213"/>
      <c r="AK144" s="1213"/>
      <c r="AL144" s="1213"/>
      <c r="AM144" s="1213"/>
      <c r="AN144" s="1213"/>
      <c r="AO144" s="1213"/>
      <c r="AP144" s="1213">
        <v>0.5</v>
      </c>
      <c r="AQ144" s="1220"/>
      <c r="AR144" s="1213"/>
      <c r="AS144" s="1213"/>
      <c r="AT144" s="1214"/>
      <c r="AU144" s="1257"/>
      <c r="AV144" s="1257"/>
      <c r="AX144" s="1207" t="s">
        <v>1338</v>
      </c>
      <c r="AY144" s="1211" t="s">
        <v>1341</v>
      </c>
      <c r="AZ144" s="1208" t="s">
        <v>856</v>
      </c>
      <c r="BA144" s="1213"/>
      <c r="BB144" s="1213"/>
      <c r="BC144" s="1213"/>
      <c r="BD144" s="1213"/>
      <c r="BE144" s="1213"/>
      <c r="BF144" s="1213"/>
      <c r="BG144" s="1213">
        <v>0.5</v>
      </c>
      <c r="BH144" s="1220"/>
      <c r="BI144" s="1213"/>
      <c r="BJ144" s="1213"/>
      <c r="BK144" s="1214"/>
      <c r="BL144" s="1257"/>
      <c r="BM144" s="1257"/>
      <c r="BO144" s="1207" t="s">
        <v>1338</v>
      </c>
      <c r="BP144" s="1211" t="s">
        <v>1341</v>
      </c>
      <c r="BQ144" s="1208" t="s">
        <v>856</v>
      </c>
      <c r="BR144" s="1213"/>
      <c r="BS144" s="1213"/>
      <c r="BT144" s="1213"/>
      <c r="BU144" s="1213"/>
      <c r="BV144" s="1213"/>
      <c r="BW144" s="1213"/>
      <c r="BX144" s="1213">
        <v>0.5</v>
      </c>
      <c r="BY144" s="1220"/>
      <c r="BZ144" s="1213"/>
      <c r="CA144" s="1213"/>
      <c r="CB144" s="1214"/>
      <c r="CC144" s="1257"/>
      <c r="CD144" s="1257"/>
      <c r="CE144" s="1472"/>
      <c r="CG144" s="1207" t="s">
        <v>1338</v>
      </c>
      <c r="CH144" s="1211" t="s">
        <v>1341</v>
      </c>
      <c r="CI144" s="1208" t="s">
        <v>856</v>
      </c>
      <c r="CJ144" s="1689">
        <f t="shared" si="167"/>
        <v>0</v>
      </c>
      <c r="CK144" s="1689">
        <f t="shared" si="155"/>
        <v>0</v>
      </c>
      <c r="CL144" s="1689">
        <f t="shared" si="156"/>
        <v>0</v>
      </c>
      <c r="CM144" s="1689">
        <f t="shared" si="157"/>
        <v>0</v>
      </c>
      <c r="CN144" s="1689">
        <f t="shared" si="158"/>
        <v>0</v>
      </c>
      <c r="CO144" s="1689">
        <f t="shared" si="159"/>
        <v>0</v>
      </c>
      <c r="CP144" s="1689">
        <f t="shared" si="160"/>
        <v>0.5</v>
      </c>
      <c r="CQ144" s="1701">
        <f t="shared" si="161"/>
        <v>0</v>
      </c>
      <c r="CR144" s="1689">
        <f t="shared" si="162"/>
        <v>0</v>
      </c>
      <c r="CS144" s="1689">
        <f t="shared" si="163"/>
        <v>0</v>
      </c>
      <c r="CT144" s="1691">
        <f t="shared" si="164"/>
        <v>0</v>
      </c>
      <c r="CU144" s="1704">
        <f t="shared" si="165"/>
        <v>0</v>
      </c>
      <c r="CV144" s="1704">
        <f t="shared" si="166"/>
        <v>0</v>
      </c>
      <c r="CX144" s="1207" t="s">
        <v>1338</v>
      </c>
      <c r="CY144" s="1211" t="s">
        <v>1341</v>
      </c>
      <c r="CZ144" s="1208" t="s">
        <v>856</v>
      </c>
      <c r="DA144" s="1678">
        <f t="shared" si="153"/>
        <v>0</v>
      </c>
      <c r="DB144" s="1678"/>
      <c r="DC144" s="1678"/>
      <c r="DD144" s="1678"/>
      <c r="DE144" s="1678"/>
      <c r="DF144" s="1678"/>
      <c r="DG144" s="1678"/>
      <c r="DH144" s="1738"/>
      <c r="DI144" s="1678"/>
      <c r="DJ144" s="1678"/>
      <c r="DK144" s="1795"/>
      <c r="DL144" s="1681"/>
      <c r="DM144" s="1681"/>
    </row>
    <row r="145" spans="2:117">
      <c r="B145" s="1186" t="str">
        <f t="shared" si="125"/>
        <v>LR2</v>
      </c>
      <c r="C145" s="1189" t="str">
        <f t="shared" si="147"/>
        <v>資源・マテリアル</v>
      </c>
      <c r="D145" s="1261" t="e">
        <f>IF(I$121=0,0,G145/I$121)</f>
        <v>#VALUE!</v>
      </c>
      <c r="E145" s="1188">
        <f>IF(J$121=0,0,H145/J$121)</f>
        <v>0</v>
      </c>
      <c r="G145" s="1188">
        <f t="shared" si="122"/>
        <v>0.3</v>
      </c>
      <c r="H145" s="1188">
        <f t="shared" si="123"/>
        <v>0</v>
      </c>
      <c r="I145" s="1188">
        <f>G146+G151+G166</f>
        <v>1</v>
      </c>
      <c r="J145" s="1188">
        <f>H146+H151+H166</f>
        <v>0</v>
      </c>
      <c r="K145" s="1188">
        <f>IF(スコア!U145=0,0,1)</f>
        <v>1</v>
      </c>
      <c r="L145" s="1188">
        <f>IF(スコア!S145=0,0,1)</f>
        <v>0</v>
      </c>
      <c r="M145" s="1188">
        <f t="shared" si="124"/>
        <v>0.3</v>
      </c>
      <c r="N145" s="1188">
        <f t="shared" si="132"/>
        <v>0</v>
      </c>
      <c r="P145" s="1266" t="str">
        <f t="shared" si="149"/>
        <v>LR2</v>
      </c>
      <c r="Q145" s="1266" t="str">
        <f t="shared" si="150"/>
        <v>LR</v>
      </c>
      <c r="R145" s="1189" t="str">
        <f t="shared" si="151"/>
        <v>資源・マテリアル</v>
      </c>
      <c r="S145" s="1741">
        <f t="shared" si="133"/>
        <v>0.3</v>
      </c>
      <c r="T145" s="1741">
        <f t="shared" si="134"/>
        <v>0.3</v>
      </c>
      <c r="U145" s="1741">
        <f t="shared" si="135"/>
        <v>0.3</v>
      </c>
      <c r="V145" s="1741">
        <f t="shared" si="136"/>
        <v>0.3</v>
      </c>
      <c r="W145" s="1741">
        <f t="shared" si="137"/>
        <v>0.3</v>
      </c>
      <c r="X145" s="1741">
        <f t="shared" si="138"/>
        <v>0.3</v>
      </c>
      <c r="Y145" s="1741">
        <f t="shared" si="139"/>
        <v>0.3</v>
      </c>
      <c r="Z145" s="1763">
        <f t="shared" si="140"/>
        <v>0.3</v>
      </c>
      <c r="AA145" s="1741">
        <f t="shared" si="141"/>
        <v>0.3</v>
      </c>
      <c r="AB145" s="1741">
        <f t="shared" si="142"/>
        <v>0.3</v>
      </c>
      <c r="AC145" s="1764">
        <f t="shared" si="143"/>
        <v>0</v>
      </c>
      <c r="AD145" s="1765">
        <f t="shared" si="144"/>
        <v>0</v>
      </c>
      <c r="AE145" s="1765">
        <f t="shared" si="145"/>
        <v>0</v>
      </c>
      <c r="AG145" s="1266" t="s">
        <v>1610</v>
      </c>
      <c r="AH145" s="1267" t="s">
        <v>1182</v>
      </c>
      <c r="AI145" s="1189" t="s">
        <v>1611</v>
      </c>
      <c r="AJ145" s="1192">
        <v>0.3</v>
      </c>
      <c r="AK145" s="1192">
        <v>0.3</v>
      </c>
      <c r="AL145" s="1192">
        <v>0.3</v>
      </c>
      <c r="AM145" s="1192">
        <v>0.3</v>
      </c>
      <c r="AN145" s="1192">
        <v>0.3</v>
      </c>
      <c r="AO145" s="1192">
        <v>0.3</v>
      </c>
      <c r="AP145" s="1192">
        <v>0.3</v>
      </c>
      <c r="AQ145" s="1268">
        <v>0.3</v>
      </c>
      <c r="AR145" s="1192">
        <v>0.3</v>
      </c>
      <c r="AS145" s="1192">
        <v>0.3</v>
      </c>
      <c r="AT145" s="1269"/>
      <c r="AU145" s="1270"/>
      <c r="AV145" s="1270"/>
      <c r="AX145" s="1266" t="s">
        <v>1610</v>
      </c>
      <c r="AY145" s="1267" t="s">
        <v>1182</v>
      </c>
      <c r="AZ145" s="1189" t="s">
        <v>1611</v>
      </c>
      <c r="BA145" s="1192">
        <v>0.3</v>
      </c>
      <c r="BB145" s="1192">
        <v>0.3</v>
      </c>
      <c r="BC145" s="1192">
        <v>0.3</v>
      </c>
      <c r="BD145" s="1192">
        <v>0.3</v>
      </c>
      <c r="BE145" s="1192">
        <v>0.3</v>
      </c>
      <c r="BF145" s="1192">
        <v>0.3</v>
      </c>
      <c r="BG145" s="1192">
        <v>0.3</v>
      </c>
      <c r="BH145" s="1268">
        <v>0.3</v>
      </c>
      <c r="BI145" s="1192">
        <v>0.3</v>
      </c>
      <c r="BJ145" s="1192">
        <v>0.3</v>
      </c>
      <c r="BK145" s="1269"/>
      <c r="BL145" s="1270"/>
      <c r="BM145" s="1270"/>
      <c r="BO145" s="1266" t="s">
        <v>1610</v>
      </c>
      <c r="BP145" s="1267" t="s">
        <v>1182</v>
      </c>
      <c r="BQ145" s="1189" t="s">
        <v>1611</v>
      </c>
      <c r="BR145" s="1192">
        <v>0.3</v>
      </c>
      <c r="BS145" s="1192">
        <v>0.3</v>
      </c>
      <c r="BT145" s="1192">
        <v>0.3</v>
      </c>
      <c r="BU145" s="1192">
        <v>0.3</v>
      </c>
      <c r="BV145" s="1192">
        <v>0.3</v>
      </c>
      <c r="BW145" s="1192">
        <v>0.3</v>
      </c>
      <c r="BX145" s="1192">
        <v>0.3</v>
      </c>
      <c r="BY145" s="1268">
        <v>0.3</v>
      </c>
      <c r="BZ145" s="1192">
        <v>0.3</v>
      </c>
      <c r="CA145" s="1192">
        <v>0.3</v>
      </c>
      <c r="CB145" s="1269"/>
      <c r="CC145" s="1270"/>
      <c r="CD145" s="1270"/>
      <c r="CE145" s="1473"/>
      <c r="CG145" s="1266" t="s">
        <v>1610</v>
      </c>
      <c r="CH145" s="1267" t="s">
        <v>1175</v>
      </c>
      <c r="CI145" s="1189" t="s">
        <v>1611</v>
      </c>
      <c r="CJ145" s="1674">
        <v>0.5</v>
      </c>
      <c r="CK145" s="1674">
        <v>0.5</v>
      </c>
      <c r="CL145" s="1674">
        <v>0.5</v>
      </c>
      <c r="CM145" s="1674">
        <v>0.5</v>
      </c>
      <c r="CN145" s="1674">
        <v>0.5</v>
      </c>
      <c r="CO145" s="1674">
        <v>0.5</v>
      </c>
      <c r="CP145" s="1674">
        <v>0.5</v>
      </c>
      <c r="CQ145" s="1674">
        <v>0.5</v>
      </c>
      <c r="CR145" s="1674">
        <v>0.5</v>
      </c>
      <c r="CS145" s="1674">
        <v>0.5</v>
      </c>
      <c r="CT145" s="1682">
        <f t="shared" si="164"/>
        <v>0</v>
      </c>
      <c r="CU145" s="1683">
        <f t="shared" si="165"/>
        <v>0</v>
      </c>
      <c r="CV145" s="1683">
        <f t="shared" si="166"/>
        <v>0</v>
      </c>
      <c r="CX145" s="1266" t="s">
        <v>1610</v>
      </c>
      <c r="CY145" s="1267" t="s">
        <v>1175</v>
      </c>
      <c r="CZ145" s="1189" t="s">
        <v>1611</v>
      </c>
      <c r="DA145" s="1813">
        <v>0.35</v>
      </c>
      <c r="DB145" s="1674"/>
      <c r="DC145" s="1674"/>
      <c r="DD145" s="1674"/>
      <c r="DE145" s="1674"/>
      <c r="DF145" s="1674"/>
      <c r="DG145" s="1674"/>
      <c r="DH145" s="1674"/>
      <c r="DI145" s="1674"/>
      <c r="DJ145" s="1674"/>
      <c r="DK145" s="1682"/>
      <c r="DL145" s="1683"/>
      <c r="DM145" s="1683"/>
    </row>
    <row r="146" spans="2:117">
      <c r="B146" s="1186">
        <f t="shared" si="125"/>
        <v>1</v>
      </c>
      <c r="C146" s="1198" t="str">
        <f t="shared" si="147"/>
        <v>水資源保護</v>
      </c>
      <c r="D146" s="1194">
        <f>IF(I$145=0,0,G146/I$145)</f>
        <v>0.2</v>
      </c>
      <c r="E146" s="1195">
        <f>IF(J$145=0,0,H146/J$145)</f>
        <v>0</v>
      </c>
      <c r="G146" s="1195">
        <f t="shared" ref="G146:G186" si="168">K146*M146</f>
        <v>0.2</v>
      </c>
      <c r="H146" s="1195">
        <f t="shared" ref="H146:H186" si="169">L146*N146</f>
        <v>0</v>
      </c>
      <c r="I146" s="1195">
        <f>G147+G148</f>
        <v>1</v>
      </c>
      <c r="J146" s="1195">
        <f>H147+H148</f>
        <v>0</v>
      </c>
      <c r="K146" s="1195">
        <f>IF(スコア!Q146=0,0,1)</f>
        <v>1</v>
      </c>
      <c r="L146" s="1195">
        <f>IF(スコア!S146=0,0,1)</f>
        <v>0</v>
      </c>
      <c r="M146" s="1195">
        <f t="shared" ref="M146:M186" si="170">SUMPRODUCT($S$7:$AB$7,S146:AB146)</f>
        <v>0.2</v>
      </c>
      <c r="N146" s="1195">
        <f t="shared" si="132"/>
        <v>0</v>
      </c>
      <c r="P146" s="1262">
        <f t="shared" si="149"/>
        <v>1</v>
      </c>
      <c r="Q146" s="1197" t="str">
        <f t="shared" si="150"/>
        <v>LR2</v>
      </c>
      <c r="R146" s="1198" t="str">
        <f t="shared" si="151"/>
        <v>水資源保護</v>
      </c>
      <c r="S146" s="1744">
        <f t="shared" si="133"/>
        <v>0.2</v>
      </c>
      <c r="T146" s="1744">
        <f t="shared" si="134"/>
        <v>0.2</v>
      </c>
      <c r="U146" s="1744">
        <f t="shared" si="135"/>
        <v>0.2</v>
      </c>
      <c r="V146" s="1744">
        <f t="shared" si="136"/>
        <v>0.2</v>
      </c>
      <c r="W146" s="1744">
        <f t="shared" si="137"/>
        <v>0.2</v>
      </c>
      <c r="X146" s="1744">
        <f t="shared" si="138"/>
        <v>0.2</v>
      </c>
      <c r="Y146" s="1744">
        <f t="shared" si="139"/>
        <v>0.2</v>
      </c>
      <c r="Z146" s="1758">
        <f t="shared" si="140"/>
        <v>0.2</v>
      </c>
      <c r="AA146" s="1744">
        <f t="shared" si="141"/>
        <v>0.2</v>
      </c>
      <c r="AB146" s="1744">
        <f t="shared" si="142"/>
        <v>0.2</v>
      </c>
      <c r="AC146" s="1766">
        <f t="shared" si="143"/>
        <v>0</v>
      </c>
      <c r="AD146" s="1767">
        <f t="shared" si="144"/>
        <v>0</v>
      </c>
      <c r="AE146" s="1767">
        <f t="shared" si="145"/>
        <v>0</v>
      </c>
      <c r="AG146" s="1262">
        <v>1</v>
      </c>
      <c r="AH146" s="1201" t="s">
        <v>1321</v>
      </c>
      <c r="AI146" s="1198" t="s">
        <v>1065</v>
      </c>
      <c r="AJ146" s="1202">
        <v>0.2</v>
      </c>
      <c r="AK146" s="1202">
        <v>0.2</v>
      </c>
      <c r="AL146" s="1202">
        <v>0.2</v>
      </c>
      <c r="AM146" s="1202">
        <v>0.2</v>
      </c>
      <c r="AN146" s="1202">
        <v>0.2</v>
      </c>
      <c r="AO146" s="1202">
        <v>0.2</v>
      </c>
      <c r="AP146" s="1202">
        <v>0.2</v>
      </c>
      <c r="AQ146" s="1252">
        <v>0.2</v>
      </c>
      <c r="AR146" s="1202">
        <v>0.2</v>
      </c>
      <c r="AS146" s="1202">
        <v>0.2</v>
      </c>
      <c r="AT146" s="1271"/>
      <c r="AU146" s="1272"/>
      <c r="AV146" s="1272"/>
      <c r="AX146" s="1262">
        <v>1</v>
      </c>
      <c r="AY146" s="1201" t="s">
        <v>1321</v>
      </c>
      <c r="AZ146" s="1198" t="s">
        <v>1065</v>
      </c>
      <c r="BA146" s="1202">
        <v>0.2</v>
      </c>
      <c r="BB146" s="1202">
        <v>0.2</v>
      </c>
      <c r="BC146" s="1202">
        <v>0.2</v>
      </c>
      <c r="BD146" s="1202">
        <v>0.2</v>
      </c>
      <c r="BE146" s="1202">
        <v>0.2</v>
      </c>
      <c r="BF146" s="1202">
        <v>0.2</v>
      </c>
      <c r="BG146" s="1202">
        <v>0.2</v>
      </c>
      <c r="BH146" s="1252">
        <v>0.2</v>
      </c>
      <c r="BI146" s="1202">
        <v>0.2</v>
      </c>
      <c r="BJ146" s="1202">
        <v>0.2</v>
      </c>
      <c r="BK146" s="1271"/>
      <c r="BL146" s="1272"/>
      <c r="BM146" s="1272"/>
      <c r="BO146" s="1262">
        <v>1</v>
      </c>
      <c r="BP146" s="1201" t="s">
        <v>1321</v>
      </c>
      <c r="BQ146" s="1198" t="s">
        <v>1065</v>
      </c>
      <c r="BR146" s="1202">
        <v>0.2</v>
      </c>
      <c r="BS146" s="1202">
        <v>0.2</v>
      </c>
      <c r="BT146" s="1202">
        <v>0.2</v>
      </c>
      <c r="BU146" s="1202">
        <v>0.2</v>
      </c>
      <c r="BV146" s="1202">
        <v>0.2</v>
      </c>
      <c r="BW146" s="1202">
        <v>0.2</v>
      </c>
      <c r="BX146" s="1202">
        <v>0.2</v>
      </c>
      <c r="BY146" s="1252">
        <v>0.2</v>
      </c>
      <c r="BZ146" s="1202">
        <v>0.2</v>
      </c>
      <c r="CA146" s="1202">
        <v>0.2</v>
      </c>
      <c r="CB146" s="1271"/>
      <c r="CC146" s="1272"/>
      <c r="CD146" s="1272"/>
      <c r="CE146" s="1473"/>
      <c r="CG146" s="1262">
        <v>1</v>
      </c>
      <c r="CH146" s="1201" t="s">
        <v>1321</v>
      </c>
      <c r="CI146" s="1198" t="s">
        <v>1065</v>
      </c>
      <c r="CJ146" s="1676">
        <v>0.1</v>
      </c>
      <c r="CK146" s="1676">
        <v>0.1</v>
      </c>
      <c r="CL146" s="1676">
        <v>0.1</v>
      </c>
      <c r="CM146" s="1676">
        <v>0.1</v>
      </c>
      <c r="CN146" s="1676">
        <v>0.1</v>
      </c>
      <c r="CO146" s="1676">
        <v>0.1</v>
      </c>
      <c r="CP146" s="1676">
        <v>0.1</v>
      </c>
      <c r="CQ146" s="1676">
        <v>0.1</v>
      </c>
      <c r="CR146" s="1676">
        <v>0.1</v>
      </c>
      <c r="CS146" s="1676">
        <v>0.1</v>
      </c>
      <c r="CT146" s="1712">
        <f t="shared" si="164"/>
        <v>0</v>
      </c>
      <c r="CU146" s="1713">
        <f t="shared" si="165"/>
        <v>0</v>
      </c>
      <c r="CV146" s="1713">
        <f t="shared" si="166"/>
        <v>0</v>
      </c>
      <c r="CX146" s="1262">
        <v>1</v>
      </c>
      <c r="CY146" s="1201" t="s">
        <v>1321</v>
      </c>
      <c r="CZ146" s="1198" t="s">
        <v>1065</v>
      </c>
      <c r="DA146" s="1821">
        <v>0.3</v>
      </c>
      <c r="DB146" s="1676"/>
      <c r="DC146" s="1676"/>
      <c r="DD146" s="1676"/>
      <c r="DE146" s="1676"/>
      <c r="DF146" s="1676"/>
      <c r="DG146" s="1676"/>
      <c r="DH146" s="1676"/>
      <c r="DI146" s="1676"/>
      <c r="DJ146" s="1676"/>
      <c r="DK146" s="1810"/>
      <c r="DL146" s="1811"/>
      <c r="DM146" s="1811"/>
    </row>
    <row r="147" spans="2:117">
      <c r="B147" s="1186">
        <f t="shared" si="125"/>
        <v>1.1000000000000001</v>
      </c>
      <c r="C147" s="1208" t="str">
        <f t="shared" si="147"/>
        <v>節水</v>
      </c>
      <c r="D147" s="1205">
        <f>IF(I$146=0,0,G147/I$146)</f>
        <v>0.4</v>
      </c>
      <c r="E147" s="1206">
        <f>IF(J$146=0,0,H147/J$146)</f>
        <v>0</v>
      </c>
      <c r="G147" s="1206">
        <f t="shared" si="168"/>
        <v>0.4</v>
      </c>
      <c r="H147" s="1206">
        <f t="shared" si="169"/>
        <v>0</v>
      </c>
      <c r="I147" s="1206"/>
      <c r="J147" s="1206"/>
      <c r="K147" s="1206">
        <f>IF(スコア!Q147=0,0,1)</f>
        <v>1</v>
      </c>
      <c r="L147" s="1206">
        <f>IF(スコア!S147=0,0,1)</f>
        <v>0</v>
      </c>
      <c r="M147" s="1206">
        <f t="shared" si="170"/>
        <v>0.4</v>
      </c>
      <c r="N147" s="1206">
        <f t="shared" si="132"/>
        <v>0</v>
      </c>
      <c r="P147" s="1207">
        <f t="shared" si="149"/>
        <v>1.1000000000000001</v>
      </c>
      <c r="Q147" s="1207" t="str">
        <f t="shared" si="150"/>
        <v>LR2 1</v>
      </c>
      <c r="R147" s="1208" t="str">
        <f t="shared" si="151"/>
        <v>節水</v>
      </c>
      <c r="S147" s="1747">
        <f t="shared" si="133"/>
        <v>0.4</v>
      </c>
      <c r="T147" s="1747">
        <f t="shared" si="134"/>
        <v>0.4</v>
      </c>
      <c r="U147" s="1747">
        <f t="shared" si="135"/>
        <v>0.4</v>
      </c>
      <c r="V147" s="1747">
        <f t="shared" si="136"/>
        <v>0.4</v>
      </c>
      <c r="W147" s="1747">
        <f t="shared" si="137"/>
        <v>0.4</v>
      </c>
      <c r="X147" s="1747">
        <f t="shared" si="138"/>
        <v>0.4</v>
      </c>
      <c r="Y147" s="1747">
        <f t="shared" si="139"/>
        <v>0.4</v>
      </c>
      <c r="Z147" s="1749">
        <f t="shared" si="140"/>
        <v>0.4</v>
      </c>
      <c r="AA147" s="1747">
        <f t="shared" si="141"/>
        <v>0.4</v>
      </c>
      <c r="AB147" s="1747">
        <f t="shared" si="142"/>
        <v>0.4</v>
      </c>
      <c r="AC147" s="1768">
        <f t="shared" si="143"/>
        <v>0</v>
      </c>
      <c r="AD147" s="1752">
        <f t="shared" si="144"/>
        <v>0</v>
      </c>
      <c r="AE147" s="1752">
        <f t="shared" si="145"/>
        <v>0</v>
      </c>
      <c r="AG147" s="1207">
        <v>1.1000000000000001</v>
      </c>
      <c r="AH147" s="1211" t="s">
        <v>124</v>
      </c>
      <c r="AI147" s="1208" t="s">
        <v>1066</v>
      </c>
      <c r="AJ147" s="1213">
        <v>0.4</v>
      </c>
      <c r="AK147" s="1213">
        <v>0.4</v>
      </c>
      <c r="AL147" s="1213">
        <v>0.4</v>
      </c>
      <c r="AM147" s="1213">
        <v>0.4</v>
      </c>
      <c r="AN147" s="1213">
        <v>0.4</v>
      </c>
      <c r="AO147" s="1213">
        <v>0.4</v>
      </c>
      <c r="AP147" s="1213">
        <v>0.4</v>
      </c>
      <c r="AQ147" s="1220">
        <v>0.4</v>
      </c>
      <c r="AR147" s="1213">
        <v>0.4</v>
      </c>
      <c r="AS147" s="1213">
        <v>0.4</v>
      </c>
      <c r="AT147" s="1273"/>
      <c r="AU147" s="1225"/>
      <c r="AV147" s="1225"/>
      <c r="AX147" s="1207">
        <v>1.1000000000000001</v>
      </c>
      <c r="AY147" s="1211" t="s">
        <v>124</v>
      </c>
      <c r="AZ147" s="1208" t="s">
        <v>1066</v>
      </c>
      <c r="BA147" s="1213">
        <v>0.4</v>
      </c>
      <c r="BB147" s="1213">
        <v>0.4</v>
      </c>
      <c r="BC147" s="1213">
        <v>0.4</v>
      </c>
      <c r="BD147" s="1213">
        <v>0.4</v>
      </c>
      <c r="BE147" s="1213">
        <v>0.4</v>
      </c>
      <c r="BF147" s="1213">
        <v>0.4</v>
      </c>
      <c r="BG147" s="1213">
        <v>0.4</v>
      </c>
      <c r="BH147" s="1220">
        <v>0.4</v>
      </c>
      <c r="BI147" s="1213">
        <v>0.4</v>
      </c>
      <c r="BJ147" s="1213">
        <v>0.4</v>
      </c>
      <c r="BK147" s="1273"/>
      <c r="BL147" s="1225"/>
      <c r="BM147" s="1225"/>
      <c r="BO147" s="1207">
        <v>1.1000000000000001</v>
      </c>
      <c r="BP147" s="1211" t="s">
        <v>124</v>
      </c>
      <c r="BQ147" s="1208" t="s">
        <v>1066</v>
      </c>
      <c r="BR147" s="1213">
        <v>0.4</v>
      </c>
      <c r="BS147" s="1213">
        <v>0.4</v>
      </c>
      <c r="BT147" s="1213">
        <v>0.4</v>
      </c>
      <c r="BU147" s="1213">
        <v>0.4</v>
      </c>
      <c r="BV147" s="1213">
        <v>0.4</v>
      </c>
      <c r="BW147" s="1213">
        <v>0.4</v>
      </c>
      <c r="BX147" s="1213">
        <v>0.4</v>
      </c>
      <c r="BY147" s="1220">
        <v>0.4</v>
      </c>
      <c r="BZ147" s="1213">
        <v>0.4</v>
      </c>
      <c r="CA147" s="1213">
        <v>0.4</v>
      </c>
      <c r="CB147" s="1273"/>
      <c r="CC147" s="1225"/>
      <c r="CD147" s="1225"/>
      <c r="CE147" s="1463"/>
      <c r="CG147" s="1207">
        <v>1.1000000000000001</v>
      </c>
      <c r="CH147" s="1211" t="s">
        <v>124</v>
      </c>
      <c r="CI147" s="1208" t="s">
        <v>1066</v>
      </c>
      <c r="CJ147" s="1689">
        <f t="shared" si="167"/>
        <v>0.4</v>
      </c>
      <c r="CK147" s="1689">
        <f t="shared" ref="CK147:CK150" si="171">BS147</f>
        <v>0.4</v>
      </c>
      <c r="CL147" s="1689">
        <f t="shared" ref="CL147:CL150" si="172">BT147</f>
        <v>0.4</v>
      </c>
      <c r="CM147" s="1689">
        <f t="shared" ref="CM147:CM150" si="173">BU147</f>
        <v>0.4</v>
      </c>
      <c r="CN147" s="1689">
        <f t="shared" ref="CN147:CN150" si="174">BV147</f>
        <v>0.4</v>
      </c>
      <c r="CO147" s="1689">
        <f t="shared" ref="CO147:CO150" si="175">BW147</f>
        <v>0.4</v>
      </c>
      <c r="CP147" s="1689">
        <f t="shared" ref="CP147:CP150" si="176">BX147</f>
        <v>0.4</v>
      </c>
      <c r="CQ147" s="1689">
        <f t="shared" ref="CQ147:CQ150" si="177">BY147</f>
        <v>0.4</v>
      </c>
      <c r="CR147" s="1689">
        <f t="shared" ref="CR147:CR150" si="178">BZ147</f>
        <v>0.4</v>
      </c>
      <c r="CS147" s="1689">
        <f t="shared" ref="CS147:CS150" si="179">CA147</f>
        <v>0.4</v>
      </c>
      <c r="CT147" s="1714">
        <f t="shared" si="164"/>
        <v>0</v>
      </c>
      <c r="CU147" s="1695">
        <f t="shared" si="165"/>
        <v>0</v>
      </c>
      <c r="CV147" s="1695">
        <f t="shared" si="166"/>
        <v>0</v>
      </c>
      <c r="CX147" s="1207">
        <v>1.1000000000000001</v>
      </c>
      <c r="CY147" s="1211" t="s">
        <v>124</v>
      </c>
      <c r="CZ147" s="1208" t="s">
        <v>1066</v>
      </c>
      <c r="DA147" s="1678">
        <f t="shared" si="153"/>
        <v>0.4</v>
      </c>
      <c r="DB147" s="1678"/>
      <c r="DC147" s="1678"/>
      <c r="DD147" s="1678"/>
      <c r="DE147" s="1678"/>
      <c r="DF147" s="1678"/>
      <c r="DG147" s="1678"/>
      <c r="DH147" s="1678"/>
      <c r="DI147" s="1678"/>
      <c r="DJ147" s="1678"/>
      <c r="DK147" s="1812"/>
      <c r="DL147" s="1798"/>
      <c r="DM147" s="1798"/>
    </row>
    <row r="148" spans="2:117">
      <c r="B148" s="1186">
        <f t="shared" ref="B148:B188" si="180">P148</f>
        <v>1.2</v>
      </c>
      <c r="C148" s="1208" t="str">
        <f t="shared" si="147"/>
        <v>雨水利用・雑排水再利用</v>
      </c>
      <c r="D148" s="1205">
        <f>IF(I$146=0,0,G148/I$146)</f>
        <v>0.6</v>
      </c>
      <c r="E148" s="1206">
        <f>IF(J$146=0,0,H148/J$146)</f>
        <v>0</v>
      </c>
      <c r="G148" s="1206">
        <f>K148*M148</f>
        <v>0.6</v>
      </c>
      <c r="H148" s="1206">
        <f t="shared" si="169"/>
        <v>0</v>
      </c>
      <c r="I148" s="1206">
        <f>SUM(G149:G150)</f>
        <v>1</v>
      </c>
      <c r="J148" s="1206">
        <f>SUM(H149:H150)</f>
        <v>0</v>
      </c>
      <c r="K148" s="1206">
        <f>IF(スコア!Q148=0,0,1)</f>
        <v>1</v>
      </c>
      <c r="L148" s="1206">
        <f>IF(スコア!S148=0,0,1)</f>
        <v>0</v>
      </c>
      <c r="M148" s="1206">
        <f>SUMPRODUCT($S$7:$AB$7,S148:AB148)</f>
        <v>0.6</v>
      </c>
      <c r="N148" s="1206">
        <f t="shared" si="132"/>
        <v>0</v>
      </c>
      <c r="P148" s="1264">
        <f t="shared" si="149"/>
        <v>1.2</v>
      </c>
      <c r="Q148" s="1207" t="str">
        <f t="shared" si="150"/>
        <v>LR2 1</v>
      </c>
      <c r="R148" s="1208" t="str">
        <f t="shared" si="151"/>
        <v>雨水利用・雑排水再利用</v>
      </c>
      <c r="S148" s="1747">
        <f t="shared" si="133"/>
        <v>0.6</v>
      </c>
      <c r="T148" s="1747">
        <f t="shared" si="134"/>
        <v>0.6</v>
      </c>
      <c r="U148" s="1747">
        <f t="shared" si="135"/>
        <v>0.6</v>
      </c>
      <c r="V148" s="1747">
        <f t="shared" si="136"/>
        <v>0.6</v>
      </c>
      <c r="W148" s="1747">
        <f t="shared" si="137"/>
        <v>0.6</v>
      </c>
      <c r="X148" s="1747">
        <f t="shared" si="138"/>
        <v>0.6</v>
      </c>
      <c r="Y148" s="1747">
        <f t="shared" si="139"/>
        <v>0.6</v>
      </c>
      <c r="Z148" s="1749">
        <f t="shared" si="140"/>
        <v>0.6</v>
      </c>
      <c r="AA148" s="1747">
        <f t="shared" si="141"/>
        <v>0.6</v>
      </c>
      <c r="AB148" s="1747">
        <f t="shared" si="142"/>
        <v>0.6</v>
      </c>
      <c r="AC148" s="1768">
        <f t="shared" si="143"/>
        <v>0</v>
      </c>
      <c r="AD148" s="1752">
        <f t="shared" si="144"/>
        <v>0</v>
      </c>
      <c r="AE148" s="1752">
        <f t="shared" si="145"/>
        <v>0</v>
      </c>
      <c r="AG148" s="1264">
        <v>1.2</v>
      </c>
      <c r="AH148" s="1211" t="s">
        <v>124</v>
      </c>
      <c r="AI148" s="1208" t="s">
        <v>125</v>
      </c>
      <c r="AJ148" s="1213">
        <v>0.6</v>
      </c>
      <c r="AK148" s="1213">
        <v>0.6</v>
      </c>
      <c r="AL148" s="1213">
        <v>0.6</v>
      </c>
      <c r="AM148" s="1213">
        <v>0.6</v>
      </c>
      <c r="AN148" s="1213">
        <v>0.6</v>
      </c>
      <c r="AO148" s="1213">
        <v>0.6</v>
      </c>
      <c r="AP148" s="1213">
        <v>0.6</v>
      </c>
      <c r="AQ148" s="1220">
        <v>0.6</v>
      </c>
      <c r="AR148" s="1213">
        <v>0.6</v>
      </c>
      <c r="AS148" s="1213">
        <v>0.6</v>
      </c>
      <c r="AT148" s="1273"/>
      <c r="AU148" s="1225"/>
      <c r="AV148" s="1225"/>
      <c r="AX148" s="1264">
        <v>1.2</v>
      </c>
      <c r="AY148" s="1211" t="s">
        <v>124</v>
      </c>
      <c r="AZ148" s="1208" t="s">
        <v>125</v>
      </c>
      <c r="BA148" s="1213">
        <v>0.6</v>
      </c>
      <c r="BB148" s="1213">
        <v>0.6</v>
      </c>
      <c r="BC148" s="1213">
        <v>0.6</v>
      </c>
      <c r="BD148" s="1213">
        <v>0.6</v>
      </c>
      <c r="BE148" s="1213">
        <v>0.6</v>
      </c>
      <c r="BF148" s="1213">
        <v>0.6</v>
      </c>
      <c r="BG148" s="1213">
        <v>0.6</v>
      </c>
      <c r="BH148" s="1220">
        <v>0.6</v>
      </c>
      <c r="BI148" s="1213">
        <v>0.6</v>
      </c>
      <c r="BJ148" s="1213">
        <v>0.6</v>
      </c>
      <c r="BK148" s="1273"/>
      <c r="BL148" s="1225"/>
      <c r="BM148" s="1225"/>
      <c r="BO148" s="1264">
        <v>1.2</v>
      </c>
      <c r="BP148" s="1211" t="s">
        <v>124</v>
      </c>
      <c r="BQ148" s="1208" t="s">
        <v>125</v>
      </c>
      <c r="BR148" s="1213">
        <v>0.6</v>
      </c>
      <c r="BS148" s="1213">
        <v>0.6</v>
      </c>
      <c r="BT148" s="1213">
        <v>0.6</v>
      </c>
      <c r="BU148" s="1213">
        <v>0.6</v>
      </c>
      <c r="BV148" s="1213">
        <v>0.6</v>
      </c>
      <c r="BW148" s="1213">
        <v>0.6</v>
      </c>
      <c r="BX148" s="1213">
        <v>0.6</v>
      </c>
      <c r="BY148" s="1220">
        <v>0.6</v>
      </c>
      <c r="BZ148" s="1213">
        <v>0.6</v>
      </c>
      <c r="CA148" s="1213">
        <v>0.6</v>
      </c>
      <c r="CB148" s="1273"/>
      <c r="CC148" s="1225"/>
      <c r="CD148" s="1225"/>
      <c r="CE148" s="1463"/>
      <c r="CG148" s="1264">
        <v>1.2</v>
      </c>
      <c r="CH148" s="1211" t="s">
        <v>124</v>
      </c>
      <c r="CI148" s="1208" t="s">
        <v>125</v>
      </c>
      <c r="CJ148" s="1689">
        <f t="shared" si="167"/>
        <v>0.6</v>
      </c>
      <c r="CK148" s="1689">
        <f t="shared" si="171"/>
        <v>0.6</v>
      </c>
      <c r="CL148" s="1689">
        <f t="shared" si="172"/>
        <v>0.6</v>
      </c>
      <c r="CM148" s="1689">
        <f t="shared" si="173"/>
        <v>0.6</v>
      </c>
      <c r="CN148" s="1689">
        <f t="shared" si="174"/>
        <v>0.6</v>
      </c>
      <c r="CO148" s="1689">
        <f t="shared" si="175"/>
        <v>0.6</v>
      </c>
      <c r="CP148" s="1689">
        <f t="shared" si="176"/>
        <v>0.6</v>
      </c>
      <c r="CQ148" s="1689">
        <f t="shared" si="177"/>
        <v>0.6</v>
      </c>
      <c r="CR148" s="1689">
        <f t="shared" si="178"/>
        <v>0.6</v>
      </c>
      <c r="CS148" s="1689">
        <f t="shared" si="179"/>
        <v>0.6</v>
      </c>
      <c r="CT148" s="1714">
        <f t="shared" si="164"/>
        <v>0</v>
      </c>
      <c r="CU148" s="1695">
        <f t="shared" si="165"/>
        <v>0</v>
      </c>
      <c r="CV148" s="1695">
        <f t="shared" si="166"/>
        <v>0</v>
      </c>
      <c r="CX148" s="1264">
        <v>1.2</v>
      </c>
      <c r="CY148" s="1211" t="s">
        <v>124</v>
      </c>
      <c r="CZ148" s="1208" t="s">
        <v>125</v>
      </c>
      <c r="DA148" s="1678">
        <f t="shared" si="153"/>
        <v>0.6</v>
      </c>
      <c r="DB148" s="1678"/>
      <c r="DC148" s="1678"/>
      <c r="DD148" s="1678"/>
      <c r="DE148" s="1678"/>
      <c r="DF148" s="1678"/>
      <c r="DG148" s="1678"/>
      <c r="DH148" s="1678"/>
      <c r="DI148" s="1678"/>
      <c r="DJ148" s="1678"/>
      <c r="DK148" s="1812"/>
      <c r="DL148" s="1798"/>
      <c r="DM148" s="1798"/>
    </row>
    <row r="149" spans="2:117">
      <c r="B149" s="1186" t="str">
        <f t="shared" si="180"/>
        <v>1.2.1</v>
      </c>
      <c r="C149" s="1208" t="str">
        <f t="shared" si="147"/>
        <v>雨水利用システム導入の有無</v>
      </c>
      <c r="D149" s="1196">
        <f>IF(I$148&gt;0,G149/I$148,0)</f>
        <v>0.7</v>
      </c>
      <c r="E149" s="1206">
        <f>IF(J$148&gt;0,H149/J$148,0)</f>
        <v>0</v>
      </c>
      <c r="G149" s="1206">
        <f t="shared" si="168"/>
        <v>0.7</v>
      </c>
      <c r="H149" s="1206">
        <f t="shared" si="169"/>
        <v>0</v>
      </c>
      <c r="I149" s="1206"/>
      <c r="J149" s="1206"/>
      <c r="K149" s="1206">
        <f>IF(スコア!Q149=0,0,1)</f>
        <v>1</v>
      </c>
      <c r="L149" s="1206">
        <f>IF(スコア!S149=0,0,1)</f>
        <v>0</v>
      </c>
      <c r="M149" s="1206">
        <f>SUMPRODUCT($S$7:$AB$7,S149:AB149)</f>
        <v>0.7</v>
      </c>
      <c r="N149" s="1206">
        <f t="shared" si="132"/>
        <v>0</v>
      </c>
      <c r="P149" s="1207" t="str">
        <f t="shared" si="149"/>
        <v>1.2.1</v>
      </c>
      <c r="Q149" s="1207" t="str">
        <f t="shared" si="150"/>
        <v>LR2 1.2</v>
      </c>
      <c r="R149" s="1208" t="str">
        <f t="shared" si="151"/>
        <v>雨水利用システム導入の有無</v>
      </c>
      <c r="S149" s="1747">
        <f t="shared" si="133"/>
        <v>0.7</v>
      </c>
      <c r="T149" s="1747">
        <f t="shared" si="134"/>
        <v>0.7</v>
      </c>
      <c r="U149" s="1747">
        <f t="shared" si="135"/>
        <v>0.7</v>
      </c>
      <c r="V149" s="1747">
        <f t="shared" si="136"/>
        <v>0.7</v>
      </c>
      <c r="W149" s="1747">
        <f t="shared" si="137"/>
        <v>0.7</v>
      </c>
      <c r="X149" s="1747">
        <f t="shared" si="138"/>
        <v>0.7</v>
      </c>
      <c r="Y149" s="1747">
        <f t="shared" si="139"/>
        <v>0.7</v>
      </c>
      <c r="Z149" s="1749">
        <f t="shared" si="140"/>
        <v>0.7</v>
      </c>
      <c r="AA149" s="1747">
        <f t="shared" si="141"/>
        <v>0.7</v>
      </c>
      <c r="AB149" s="1747">
        <f t="shared" si="142"/>
        <v>0.7</v>
      </c>
      <c r="AC149" s="1768">
        <f t="shared" si="143"/>
        <v>0</v>
      </c>
      <c r="AD149" s="1752">
        <f t="shared" si="144"/>
        <v>0</v>
      </c>
      <c r="AE149" s="1752">
        <f t="shared" si="145"/>
        <v>0</v>
      </c>
      <c r="AG149" s="1207" t="s">
        <v>2360</v>
      </c>
      <c r="AH149" s="1211" t="s">
        <v>126</v>
      </c>
      <c r="AI149" s="1208" t="s">
        <v>2361</v>
      </c>
      <c r="AJ149" s="1213">
        <v>0.7</v>
      </c>
      <c r="AK149" s="1213">
        <v>0.7</v>
      </c>
      <c r="AL149" s="1213">
        <v>0.7</v>
      </c>
      <c r="AM149" s="1213">
        <v>0.7</v>
      </c>
      <c r="AN149" s="1213">
        <v>0.7</v>
      </c>
      <c r="AO149" s="1213">
        <v>0.7</v>
      </c>
      <c r="AP149" s="1213">
        <v>0.7</v>
      </c>
      <c r="AQ149" s="1220">
        <v>0.7</v>
      </c>
      <c r="AR149" s="1213">
        <v>0.7</v>
      </c>
      <c r="AS149" s="1213">
        <v>0.7</v>
      </c>
      <c r="AT149" s="1273"/>
      <c r="AU149" s="1225"/>
      <c r="AV149" s="1225"/>
      <c r="AX149" s="1207" t="s">
        <v>2360</v>
      </c>
      <c r="AY149" s="1211" t="s">
        <v>126</v>
      </c>
      <c r="AZ149" s="1208" t="s">
        <v>2361</v>
      </c>
      <c r="BA149" s="1213">
        <v>0.7</v>
      </c>
      <c r="BB149" s="1213">
        <v>0.7</v>
      </c>
      <c r="BC149" s="1213">
        <v>0.7</v>
      </c>
      <c r="BD149" s="1213">
        <v>0.7</v>
      </c>
      <c r="BE149" s="1213">
        <v>0.7</v>
      </c>
      <c r="BF149" s="1213">
        <v>0.7</v>
      </c>
      <c r="BG149" s="1213">
        <v>0.7</v>
      </c>
      <c r="BH149" s="1220">
        <v>0.7</v>
      </c>
      <c r="BI149" s="1213">
        <v>0.7</v>
      </c>
      <c r="BJ149" s="1213">
        <v>0.7</v>
      </c>
      <c r="BK149" s="1273"/>
      <c r="BL149" s="1225"/>
      <c r="BM149" s="1225"/>
      <c r="BO149" s="1207" t="s">
        <v>2360</v>
      </c>
      <c r="BP149" s="1211" t="s">
        <v>126</v>
      </c>
      <c r="BQ149" s="1208" t="s">
        <v>2361</v>
      </c>
      <c r="BR149" s="1213">
        <v>0.7</v>
      </c>
      <c r="BS149" s="1213">
        <v>0.7</v>
      </c>
      <c r="BT149" s="1213">
        <v>0.7</v>
      </c>
      <c r="BU149" s="1213">
        <v>0.7</v>
      </c>
      <c r="BV149" s="1213">
        <v>0.7</v>
      </c>
      <c r="BW149" s="1213">
        <v>0.7</v>
      </c>
      <c r="BX149" s="1213">
        <v>0.7</v>
      </c>
      <c r="BY149" s="1220">
        <v>0.7</v>
      </c>
      <c r="BZ149" s="1213">
        <v>0.7</v>
      </c>
      <c r="CA149" s="1213">
        <v>0.7</v>
      </c>
      <c r="CB149" s="1273"/>
      <c r="CC149" s="1225"/>
      <c r="CD149" s="1225"/>
      <c r="CE149" s="1463"/>
      <c r="CG149" s="1207" t="s">
        <v>207</v>
      </c>
      <c r="CH149" s="1211" t="s">
        <v>126</v>
      </c>
      <c r="CI149" s="1208" t="s">
        <v>2361</v>
      </c>
      <c r="CJ149" s="1689">
        <f t="shared" si="167"/>
        <v>0.7</v>
      </c>
      <c r="CK149" s="1689">
        <f t="shared" si="171"/>
        <v>0.7</v>
      </c>
      <c r="CL149" s="1689">
        <f t="shared" si="172"/>
        <v>0.7</v>
      </c>
      <c r="CM149" s="1689">
        <f t="shared" si="173"/>
        <v>0.7</v>
      </c>
      <c r="CN149" s="1689">
        <f t="shared" si="174"/>
        <v>0.7</v>
      </c>
      <c r="CO149" s="1689">
        <f t="shared" si="175"/>
        <v>0.7</v>
      </c>
      <c r="CP149" s="1689">
        <f t="shared" si="176"/>
        <v>0.7</v>
      </c>
      <c r="CQ149" s="1689">
        <f t="shared" si="177"/>
        <v>0.7</v>
      </c>
      <c r="CR149" s="1689">
        <f t="shared" si="178"/>
        <v>0.7</v>
      </c>
      <c r="CS149" s="1689">
        <f t="shared" si="179"/>
        <v>0.7</v>
      </c>
      <c r="CT149" s="1714">
        <f t="shared" si="164"/>
        <v>0</v>
      </c>
      <c r="CU149" s="1695">
        <f t="shared" si="165"/>
        <v>0</v>
      </c>
      <c r="CV149" s="1695">
        <f t="shared" si="166"/>
        <v>0</v>
      </c>
      <c r="CX149" s="1207" t="s">
        <v>207</v>
      </c>
      <c r="CY149" s="1211" t="s">
        <v>126</v>
      </c>
      <c r="CZ149" s="1208" t="s">
        <v>2361</v>
      </c>
      <c r="DA149" s="1678">
        <f t="shared" si="153"/>
        <v>0.7</v>
      </c>
      <c r="DB149" s="1678"/>
      <c r="DC149" s="1678"/>
      <c r="DD149" s="1678"/>
      <c r="DE149" s="1678"/>
      <c r="DF149" s="1678"/>
      <c r="DG149" s="1678"/>
      <c r="DH149" s="1678"/>
      <c r="DI149" s="1678"/>
      <c r="DJ149" s="1678"/>
      <c r="DK149" s="1812"/>
      <c r="DL149" s="1798"/>
      <c r="DM149" s="1798"/>
    </row>
    <row r="150" spans="2:117">
      <c r="B150" s="1186" t="str">
        <f t="shared" si="180"/>
        <v>1.2.2</v>
      </c>
      <c r="C150" s="1208" t="str">
        <f t="shared" si="147"/>
        <v>雑排水等再利用システム導入の有無</v>
      </c>
      <c r="D150" s="1196">
        <f>IF(I$148&gt;0,G150/I$148,0)</f>
        <v>0.3</v>
      </c>
      <c r="E150" s="1206">
        <f>IF(J$148&gt;0,H150/J$148,0)</f>
        <v>0</v>
      </c>
      <c r="G150" s="1206">
        <f t="shared" si="168"/>
        <v>0.3</v>
      </c>
      <c r="H150" s="1206">
        <f t="shared" si="169"/>
        <v>0</v>
      </c>
      <c r="I150" s="1206"/>
      <c r="J150" s="1206"/>
      <c r="K150" s="1206">
        <f>IF(スコア!Q150=0,0,1)</f>
        <v>1</v>
      </c>
      <c r="L150" s="1206">
        <f>IF(スコア!S150=0,0,1)</f>
        <v>0</v>
      </c>
      <c r="M150" s="1206">
        <f>SUMPRODUCT($S$7:$AB$7,S150:AB150)</f>
        <v>0.3</v>
      </c>
      <c r="N150" s="1206">
        <f t="shared" si="132"/>
        <v>0</v>
      </c>
      <c r="P150" s="1207" t="str">
        <f t="shared" si="149"/>
        <v>1.2.2</v>
      </c>
      <c r="Q150" s="1207" t="str">
        <f t="shared" si="150"/>
        <v>LR2 1.2</v>
      </c>
      <c r="R150" s="1208" t="str">
        <f t="shared" si="151"/>
        <v>雑排水等再利用システム導入の有無</v>
      </c>
      <c r="S150" s="1747">
        <f t="shared" si="133"/>
        <v>0.3</v>
      </c>
      <c r="T150" s="1747">
        <f t="shared" si="134"/>
        <v>0.3</v>
      </c>
      <c r="U150" s="1747">
        <f t="shared" si="135"/>
        <v>0.3</v>
      </c>
      <c r="V150" s="1747">
        <f t="shared" si="136"/>
        <v>0.3</v>
      </c>
      <c r="W150" s="1747">
        <f t="shared" si="137"/>
        <v>0.3</v>
      </c>
      <c r="X150" s="1747">
        <f t="shared" si="138"/>
        <v>0.3</v>
      </c>
      <c r="Y150" s="1747">
        <f t="shared" si="139"/>
        <v>0.3</v>
      </c>
      <c r="Z150" s="1749">
        <f t="shared" si="140"/>
        <v>0.3</v>
      </c>
      <c r="AA150" s="1747">
        <f t="shared" si="141"/>
        <v>0.3</v>
      </c>
      <c r="AB150" s="1747">
        <f t="shared" si="142"/>
        <v>0.3</v>
      </c>
      <c r="AC150" s="1768">
        <f t="shared" si="143"/>
        <v>0</v>
      </c>
      <c r="AD150" s="1752">
        <f t="shared" si="144"/>
        <v>0</v>
      </c>
      <c r="AE150" s="1752">
        <f t="shared" si="145"/>
        <v>0</v>
      </c>
      <c r="AG150" s="1207" t="s">
        <v>2362</v>
      </c>
      <c r="AH150" s="1211" t="s">
        <v>126</v>
      </c>
      <c r="AI150" s="1208" t="s">
        <v>127</v>
      </c>
      <c r="AJ150" s="1213">
        <v>0.3</v>
      </c>
      <c r="AK150" s="1213">
        <v>0.3</v>
      </c>
      <c r="AL150" s="1213">
        <v>0.3</v>
      </c>
      <c r="AM150" s="1213">
        <v>0.3</v>
      </c>
      <c r="AN150" s="1213">
        <v>0.3</v>
      </c>
      <c r="AO150" s="1213">
        <v>0.3</v>
      </c>
      <c r="AP150" s="1213">
        <v>0.3</v>
      </c>
      <c r="AQ150" s="1220">
        <v>0.3</v>
      </c>
      <c r="AR150" s="1213">
        <v>0.3</v>
      </c>
      <c r="AS150" s="1213">
        <v>0.3</v>
      </c>
      <c r="AT150" s="1273"/>
      <c r="AU150" s="1225"/>
      <c r="AV150" s="1225"/>
      <c r="AX150" s="1207" t="s">
        <v>2362</v>
      </c>
      <c r="AY150" s="1211" t="s">
        <v>126</v>
      </c>
      <c r="AZ150" s="1208" t="s">
        <v>127</v>
      </c>
      <c r="BA150" s="1213">
        <v>0.3</v>
      </c>
      <c r="BB150" s="1213">
        <v>0.3</v>
      </c>
      <c r="BC150" s="1213">
        <v>0.3</v>
      </c>
      <c r="BD150" s="1213">
        <v>0.3</v>
      </c>
      <c r="BE150" s="1213">
        <v>0.3</v>
      </c>
      <c r="BF150" s="1213">
        <v>0.3</v>
      </c>
      <c r="BG150" s="1213">
        <v>0.3</v>
      </c>
      <c r="BH150" s="1220">
        <v>0.3</v>
      </c>
      <c r="BI150" s="1213">
        <v>0.3</v>
      </c>
      <c r="BJ150" s="1213">
        <v>0.3</v>
      </c>
      <c r="BK150" s="1273"/>
      <c r="BL150" s="1225"/>
      <c r="BM150" s="1225"/>
      <c r="BO150" s="1207" t="s">
        <v>2362</v>
      </c>
      <c r="BP150" s="1211" t="s">
        <v>126</v>
      </c>
      <c r="BQ150" s="1208" t="s">
        <v>127</v>
      </c>
      <c r="BR150" s="1213">
        <v>0.3</v>
      </c>
      <c r="BS150" s="1213">
        <v>0.3</v>
      </c>
      <c r="BT150" s="1213">
        <v>0.3</v>
      </c>
      <c r="BU150" s="1213">
        <v>0.3</v>
      </c>
      <c r="BV150" s="1213">
        <v>0.3</v>
      </c>
      <c r="BW150" s="1213">
        <v>0.3</v>
      </c>
      <c r="BX150" s="1213">
        <v>0.3</v>
      </c>
      <c r="BY150" s="1220">
        <v>0.3</v>
      </c>
      <c r="BZ150" s="1213">
        <v>0.3</v>
      </c>
      <c r="CA150" s="1213">
        <v>0.3</v>
      </c>
      <c r="CB150" s="1273"/>
      <c r="CC150" s="1225"/>
      <c r="CD150" s="1225"/>
      <c r="CE150" s="1463"/>
      <c r="CG150" s="1207" t="s">
        <v>209</v>
      </c>
      <c r="CH150" s="1211" t="s">
        <v>126</v>
      </c>
      <c r="CI150" s="1208" t="s">
        <v>127</v>
      </c>
      <c r="CJ150" s="1689">
        <f t="shared" si="167"/>
        <v>0.3</v>
      </c>
      <c r="CK150" s="1689">
        <f t="shared" si="171"/>
        <v>0.3</v>
      </c>
      <c r="CL150" s="1689">
        <f t="shared" si="172"/>
        <v>0.3</v>
      </c>
      <c r="CM150" s="1689">
        <f t="shared" si="173"/>
        <v>0.3</v>
      </c>
      <c r="CN150" s="1689">
        <f t="shared" si="174"/>
        <v>0.3</v>
      </c>
      <c r="CO150" s="1689">
        <f t="shared" si="175"/>
        <v>0.3</v>
      </c>
      <c r="CP150" s="1689">
        <f t="shared" si="176"/>
        <v>0.3</v>
      </c>
      <c r="CQ150" s="1689">
        <f t="shared" si="177"/>
        <v>0.3</v>
      </c>
      <c r="CR150" s="1689">
        <f t="shared" si="178"/>
        <v>0.3</v>
      </c>
      <c r="CS150" s="1689">
        <f t="shared" si="179"/>
        <v>0.3</v>
      </c>
      <c r="CT150" s="1714">
        <f t="shared" si="164"/>
        <v>0</v>
      </c>
      <c r="CU150" s="1695">
        <f t="shared" si="165"/>
        <v>0</v>
      </c>
      <c r="CV150" s="1695">
        <f t="shared" si="166"/>
        <v>0</v>
      </c>
      <c r="CX150" s="1207" t="s">
        <v>209</v>
      </c>
      <c r="CY150" s="1211" t="s">
        <v>126</v>
      </c>
      <c r="CZ150" s="1208" t="s">
        <v>127</v>
      </c>
      <c r="DA150" s="1678">
        <f t="shared" si="153"/>
        <v>0.3</v>
      </c>
      <c r="DB150" s="1678"/>
      <c r="DC150" s="1678"/>
      <c r="DD150" s="1678"/>
      <c r="DE150" s="1678"/>
      <c r="DF150" s="1678"/>
      <c r="DG150" s="1678"/>
      <c r="DH150" s="1678"/>
      <c r="DI150" s="1678"/>
      <c r="DJ150" s="1678"/>
      <c r="DK150" s="1812"/>
      <c r="DL150" s="1798"/>
      <c r="DM150" s="1798"/>
    </row>
    <row r="151" spans="2:117">
      <c r="B151" s="1186">
        <f t="shared" si="180"/>
        <v>2</v>
      </c>
      <c r="C151" s="1198" t="str">
        <f t="shared" si="147"/>
        <v>非再生性資源の使用量削減</v>
      </c>
      <c r="D151" s="1194">
        <f>IF(I$145=0,0,G151/I$145)</f>
        <v>0.6</v>
      </c>
      <c r="E151" s="1195">
        <f>IF(J$145=0,0,H151/J$145)</f>
        <v>0</v>
      </c>
      <c r="G151" s="1195">
        <f t="shared" si="168"/>
        <v>0.6</v>
      </c>
      <c r="H151" s="1195">
        <f t="shared" si="169"/>
        <v>0</v>
      </c>
      <c r="I151" s="1195">
        <f>G152+G153+G154+G155+G156+G157+G158+G165</f>
        <v>1</v>
      </c>
      <c r="J151" s="1195">
        <f>H152+H153+H154+H155+H156+H157+H158+H165</f>
        <v>0</v>
      </c>
      <c r="K151" s="1195">
        <f>IF(スコア!Q151=0,0,1)</f>
        <v>1</v>
      </c>
      <c r="L151" s="1195">
        <f>IF(スコア!S151=0,0,1)</f>
        <v>0</v>
      </c>
      <c r="M151" s="1195">
        <f t="shared" si="170"/>
        <v>0.6</v>
      </c>
      <c r="N151" s="1195">
        <f t="shared" si="132"/>
        <v>0</v>
      </c>
      <c r="P151" s="1197">
        <f t="shared" si="149"/>
        <v>2</v>
      </c>
      <c r="Q151" s="1197" t="str">
        <f t="shared" si="150"/>
        <v>LR2</v>
      </c>
      <c r="R151" s="1198" t="str">
        <f t="shared" si="151"/>
        <v>非再生性資源の使用量削減</v>
      </c>
      <c r="S151" s="1744">
        <f t="shared" si="133"/>
        <v>0.6</v>
      </c>
      <c r="T151" s="1744">
        <f t="shared" si="134"/>
        <v>0.6</v>
      </c>
      <c r="U151" s="1744">
        <f t="shared" si="135"/>
        <v>0.6</v>
      </c>
      <c r="V151" s="1744">
        <f t="shared" si="136"/>
        <v>0.6</v>
      </c>
      <c r="W151" s="1744">
        <f t="shared" si="137"/>
        <v>0.6</v>
      </c>
      <c r="X151" s="1744">
        <f t="shared" si="138"/>
        <v>0.6</v>
      </c>
      <c r="Y151" s="1744">
        <f t="shared" si="139"/>
        <v>0.6</v>
      </c>
      <c r="Z151" s="1758">
        <f t="shared" si="140"/>
        <v>0.6</v>
      </c>
      <c r="AA151" s="1744">
        <f t="shared" si="141"/>
        <v>0.6</v>
      </c>
      <c r="AB151" s="1744">
        <f t="shared" si="142"/>
        <v>0.6</v>
      </c>
      <c r="AC151" s="1766">
        <f t="shared" si="143"/>
        <v>0</v>
      </c>
      <c r="AD151" s="1767">
        <f t="shared" si="144"/>
        <v>0</v>
      </c>
      <c r="AE151" s="1767">
        <f t="shared" si="145"/>
        <v>0</v>
      </c>
      <c r="AG151" s="1197">
        <v>2</v>
      </c>
      <c r="AH151" s="1201" t="s">
        <v>1321</v>
      </c>
      <c r="AI151" s="1198" t="s">
        <v>1070</v>
      </c>
      <c r="AJ151" s="1202">
        <v>0.6</v>
      </c>
      <c r="AK151" s="1202">
        <v>0.6</v>
      </c>
      <c r="AL151" s="1202">
        <v>0.6</v>
      </c>
      <c r="AM151" s="1202">
        <v>0.6</v>
      </c>
      <c r="AN151" s="1202">
        <v>0.6</v>
      </c>
      <c r="AO151" s="1202">
        <v>0.6</v>
      </c>
      <c r="AP151" s="1202">
        <v>0.6</v>
      </c>
      <c r="AQ151" s="1202">
        <v>0.6</v>
      </c>
      <c r="AR151" s="1202">
        <v>0.6</v>
      </c>
      <c r="AS151" s="1202">
        <v>0.6</v>
      </c>
      <c r="AT151" s="1271"/>
      <c r="AU151" s="1272"/>
      <c r="AV151" s="1272"/>
      <c r="AX151" s="1197">
        <v>2</v>
      </c>
      <c r="AY151" s="1201" t="s">
        <v>1321</v>
      </c>
      <c r="AZ151" s="1198" t="s">
        <v>1070</v>
      </c>
      <c r="BA151" s="1202">
        <v>0.6</v>
      </c>
      <c r="BB151" s="1202">
        <v>0.6</v>
      </c>
      <c r="BC151" s="1202">
        <v>0.6</v>
      </c>
      <c r="BD151" s="1202">
        <v>0.6</v>
      </c>
      <c r="BE151" s="1202">
        <v>0.6</v>
      </c>
      <c r="BF151" s="1202">
        <v>0.6</v>
      </c>
      <c r="BG151" s="1202">
        <v>0.6</v>
      </c>
      <c r="BH151" s="1202">
        <v>0.6</v>
      </c>
      <c r="BI151" s="1202">
        <v>0.6</v>
      </c>
      <c r="BJ151" s="1202">
        <v>0.6</v>
      </c>
      <c r="BK151" s="1271"/>
      <c r="BL151" s="1272"/>
      <c r="BM151" s="1272"/>
      <c r="BO151" s="1197">
        <v>2</v>
      </c>
      <c r="BP151" s="1201" t="s">
        <v>1321</v>
      </c>
      <c r="BQ151" s="1198" t="s">
        <v>1070</v>
      </c>
      <c r="BR151" s="1202">
        <v>0.6</v>
      </c>
      <c r="BS151" s="1202">
        <v>0.6</v>
      </c>
      <c r="BT151" s="1202">
        <v>0.6</v>
      </c>
      <c r="BU151" s="1202">
        <v>0.6</v>
      </c>
      <c r="BV151" s="1202">
        <v>0.6</v>
      </c>
      <c r="BW151" s="1202">
        <v>0.6</v>
      </c>
      <c r="BX151" s="1202">
        <v>0.6</v>
      </c>
      <c r="BY151" s="1202">
        <v>0.6</v>
      </c>
      <c r="BZ151" s="1202">
        <v>0.6</v>
      </c>
      <c r="CA151" s="1202">
        <v>0.6</v>
      </c>
      <c r="CB151" s="1271"/>
      <c r="CC151" s="1272"/>
      <c r="CD151" s="1272"/>
      <c r="CE151" s="1473"/>
      <c r="CG151" s="1197">
        <v>2</v>
      </c>
      <c r="CH151" s="1201" t="s">
        <v>1321</v>
      </c>
      <c r="CI151" s="1198" t="s">
        <v>1070</v>
      </c>
      <c r="CJ151" s="1676">
        <v>0.85</v>
      </c>
      <c r="CK151" s="1676">
        <v>0.85</v>
      </c>
      <c r="CL151" s="1676">
        <v>0.85</v>
      </c>
      <c r="CM151" s="1676">
        <v>0.85</v>
      </c>
      <c r="CN151" s="1676">
        <v>0.85</v>
      </c>
      <c r="CO151" s="1676">
        <v>0.85</v>
      </c>
      <c r="CP151" s="1676">
        <v>0.85</v>
      </c>
      <c r="CQ151" s="1676">
        <v>0.85</v>
      </c>
      <c r="CR151" s="1676">
        <v>0.85</v>
      </c>
      <c r="CS151" s="1676">
        <v>0.85</v>
      </c>
      <c r="CT151" s="1712">
        <f t="shared" si="164"/>
        <v>0</v>
      </c>
      <c r="CU151" s="1713">
        <f t="shared" si="165"/>
        <v>0</v>
      </c>
      <c r="CV151" s="1713">
        <f t="shared" si="166"/>
        <v>0</v>
      </c>
      <c r="CX151" s="1197">
        <v>2</v>
      </c>
      <c r="CY151" s="1201" t="s">
        <v>1321</v>
      </c>
      <c r="CZ151" s="1198" t="s">
        <v>1070</v>
      </c>
      <c r="DA151" s="1821">
        <v>0.5</v>
      </c>
      <c r="DB151" s="1676"/>
      <c r="DC151" s="1676"/>
      <c r="DD151" s="1676"/>
      <c r="DE151" s="1676"/>
      <c r="DF151" s="1676"/>
      <c r="DG151" s="1676"/>
      <c r="DH151" s="1676"/>
      <c r="DI151" s="1676"/>
      <c r="DJ151" s="1676"/>
      <c r="DK151" s="1810"/>
      <c r="DL151" s="1811"/>
      <c r="DM151" s="1811"/>
    </row>
    <row r="152" spans="2:117">
      <c r="B152" s="1186" t="str">
        <f t="shared" si="180"/>
        <v>2.1</v>
      </c>
      <c r="C152" s="1208" t="str">
        <f t="shared" si="147"/>
        <v>材料使用量の削減</v>
      </c>
      <c r="D152" s="1205">
        <f>IF(I$151=0,0,G152/I$151)</f>
        <v>0.1</v>
      </c>
      <c r="E152" s="1206">
        <f t="shared" ref="D152:E156" si="181">IF(J$151=0,0,H152/J$151)</f>
        <v>0</v>
      </c>
      <c r="G152" s="1206">
        <f t="shared" si="168"/>
        <v>0.1</v>
      </c>
      <c r="H152" s="1206">
        <f>L152*N152</f>
        <v>0</v>
      </c>
      <c r="I152" s="1206"/>
      <c r="J152" s="1206"/>
      <c r="K152" s="1206">
        <f>IF(スコア!Q152=0,0,1)</f>
        <v>1</v>
      </c>
      <c r="L152" s="1206">
        <f>IF(スコア!S152=0,0,1)</f>
        <v>0</v>
      </c>
      <c r="M152" s="1206">
        <f t="shared" si="170"/>
        <v>0.1</v>
      </c>
      <c r="N152" s="1206">
        <f t="shared" si="132"/>
        <v>0</v>
      </c>
      <c r="P152" s="1207" t="str">
        <f t="shared" si="149"/>
        <v>2.1</v>
      </c>
      <c r="Q152" s="1207" t="str">
        <f t="shared" si="150"/>
        <v>LR2 2</v>
      </c>
      <c r="R152" s="1208" t="str">
        <f t="shared" si="151"/>
        <v>材料使用量の削減</v>
      </c>
      <c r="S152" s="1747">
        <f t="shared" si="133"/>
        <v>0.1</v>
      </c>
      <c r="T152" s="1747">
        <f t="shared" si="134"/>
        <v>0.1</v>
      </c>
      <c r="U152" s="1747">
        <f t="shared" si="135"/>
        <v>0.1</v>
      </c>
      <c r="V152" s="1747">
        <f t="shared" si="136"/>
        <v>0.1</v>
      </c>
      <c r="W152" s="1747">
        <f t="shared" si="137"/>
        <v>0.1</v>
      </c>
      <c r="X152" s="1747">
        <f t="shared" si="138"/>
        <v>0.1</v>
      </c>
      <c r="Y152" s="1747">
        <f t="shared" si="139"/>
        <v>0.1</v>
      </c>
      <c r="Z152" s="1749">
        <f t="shared" si="140"/>
        <v>0.1</v>
      </c>
      <c r="AA152" s="1747">
        <f t="shared" si="141"/>
        <v>0.1</v>
      </c>
      <c r="AB152" s="1747">
        <f t="shared" si="142"/>
        <v>0.1</v>
      </c>
      <c r="AC152" s="1768">
        <f t="shared" si="143"/>
        <v>0</v>
      </c>
      <c r="AD152" s="1752">
        <f t="shared" si="144"/>
        <v>0</v>
      </c>
      <c r="AE152" s="1752">
        <f t="shared" si="145"/>
        <v>0</v>
      </c>
      <c r="AG152" s="1207" t="s">
        <v>2363</v>
      </c>
      <c r="AH152" s="1201" t="s">
        <v>128</v>
      </c>
      <c r="AI152" s="1208" t="s">
        <v>1071</v>
      </c>
      <c r="AJ152" s="1257">
        <v>0.1</v>
      </c>
      <c r="AK152" s="1257">
        <v>0.1</v>
      </c>
      <c r="AL152" s="1257">
        <v>0.1</v>
      </c>
      <c r="AM152" s="1257">
        <v>0.1</v>
      </c>
      <c r="AN152" s="1257">
        <v>0.1</v>
      </c>
      <c r="AO152" s="1257">
        <v>0.1</v>
      </c>
      <c r="AP152" s="1257">
        <v>0.1</v>
      </c>
      <c r="AQ152" s="1257">
        <v>0.1</v>
      </c>
      <c r="AR152" s="1257">
        <v>0.1</v>
      </c>
      <c r="AS152" s="1257">
        <v>0.1</v>
      </c>
      <c r="AT152" s="1274"/>
      <c r="AU152" s="1272"/>
      <c r="AV152" s="1272"/>
      <c r="AX152" s="1207" t="s">
        <v>2364</v>
      </c>
      <c r="AY152" s="1201" t="s">
        <v>128</v>
      </c>
      <c r="AZ152" s="1208" t="s">
        <v>1071</v>
      </c>
      <c r="BA152" s="1257">
        <v>0.1</v>
      </c>
      <c r="BB152" s="1257">
        <v>0.1</v>
      </c>
      <c r="BC152" s="1257">
        <v>0.1</v>
      </c>
      <c r="BD152" s="1257">
        <v>0.1</v>
      </c>
      <c r="BE152" s="1257">
        <v>0.1</v>
      </c>
      <c r="BF152" s="1257">
        <v>0.1</v>
      </c>
      <c r="BG152" s="1257">
        <v>0.1</v>
      </c>
      <c r="BH152" s="1257">
        <v>0.1</v>
      </c>
      <c r="BI152" s="1257">
        <v>0.1</v>
      </c>
      <c r="BJ152" s="1257">
        <v>0.1</v>
      </c>
      <c r="BK152" s="1274"/>
      <c r="BL152" s="1272"/>
      <c r="BM152" s="1272"/>
      <c r="BO152" s="1207" t="s">
        <v>2364</v>
      </c>
      <c r="BP152" s="1201" t="s">
        <v>128</v>
      </c>
      <c r="BQ152" s="1208" t="s">
        <v>1071</v>
      </c>
      <c r="BR152" s="1257">
        <v>0.1</v>
      </c>
      <c r="BS152" s="1257">
        <v>0.1</v>
      </c>
      <c r="BT152" s="1257">
        <v>0.1</v>
      </c>
      <c r="BU152" s="1257">
        <v>0.1</v>
      </c>
      <c r="BV152" s="1257">
        <v>0.1</v>
      </c>
      <c r="BW152" s="1257">
        <v>0.1</v>
      </c>
      <c r="BX152" s="1257">
        <v>0.1</v>
      </c>
      <c r="BY152" s="1257">
        <v>0.1</v>
      </c>
      <c r="BZ152" s="1257">
        <v>0.1</v>
      </c>
      <c r="CA152" s="1257">
        <v>0.1</v>
      </c>
      <c r="CB152" s="1271"/>
      <c r="CC152" s="1272"/>
      <c r="CD152" s="1272"/>
      <c r="CE152" s="1473"/>
      <c r="CG152" s="1207" t="s">
        <v>1177</v>
      </c>
      <c r="CH152" s="1201" t="s">
        <v>128</v>
      </c>
      <c r="CI152" s="1208" t="s">
        <v>1071</v>
      </c>
      <c r="CJ152" s="1681">
        <v>0</v>
      </c>
      <c r="CK152" s="1681">
        <v>0</v>
      </c>
      <c r="CL152" s="1681">
        <v>0</v>
      </c>
      <c r="CM152" s="1681">
        <v>0</v>
      </c>
      <c r="CN152" s="1681">
        <v>0</v>
      </c>
      <c r="CO152" s="1681">
        <v>0</v>
      </c>
      <c r="CP152" s="1681">
        <v>0</v>
      </c>
      <c r="CQ152" s="1681">
        <v>0</v>
      </c>
      <c r="CR152" s="1681">
        <v>0</v>
      </c>
      <c r="CS152" s="1681">
        <v>0</v>
      </c>
      <c r="CT152" s="1712">
        <f t="shared" si="164"/>
        <v>0</v>
      </c>
      <c r="CU152" s="1713">
        <f t="shared" si="165"/>
        <v>0</v>
      </c>
      <c r="CV152" s="1713">
        <f t="shared" si="166"/>
        <v>0</v>
      </c>
      <c r="CX152" s="1207" t="s">
        <v>1177</v>
      </c>
      <c r="CY152" s="1201" t="s">
        <v>128</v>
      </c>
      <c r="CZ152" s="1208" t="s">
        <v>1071</v>
      </c>
      <c r="DA152" s="1824">
        <v>0</v>
      </c>
      <c r="DB152" s="1681"/>
      <c r="DC152" s="1681"/>
      <c r="DD152" s="1681"/>
      <c r="DE152" s="1681"/>
      <c r="DF152" s="1681"/>
      <c r="DG152" s="1681"/>
      <c r="DH152" s="1681"/>
      <c r="DI152" s="1681"/>
      <c r="DJ152" s="1681"/>
      <c r="DK152" s="1810"/>
      <c r="DL152" s="1811"/>
      <c r="DM152" s="1811"/>
    </row>
    <row r="153" spans="2:117">
      <c r="B153" s="1186" t="str">
        <f t="shared" si="180"/>
        <v>2.2</v>
      </c>
      <c r="C153" s="1208" t="str">
        <f t="shared" si="147"/>
        <v>既存建築躯体等の継続使用</v>
      </c>
      <c r="D153" s="1205">
        <f t="shared" si="181"/>
        <v>0.2</v>
      </c>
      <c r="E153" s="1206">
        <f t="shared" si="181"/>
        <v>0</v>
      </c>
      <c r="G153" s="1206">
        <f t="shared" si="168"/>
        <v>0.2</v>
      </c>
      <c r="H153" s="1206">
        <f t="shared" si="169"/>
        <v>0</v>
      </c>
      <c r="I153" s="1206"/>
      <c r="J153" s="1206"/>
      <c r="K153" s="1206">
        <f>IF(スコア!Q153=0,0,1)</f>
        <v>1</v>
      </c>
      <c r="L153" s="1206">
        <f>IF(スコア!S153=0,0,1)</f>
        <v>0</v>
      </c>
      <c r="M153" s="1206">
        <f t="shared" si="170"/>
        <v>0.2</v>
      </c>
      <c r="N153" s="1206">
        <f t="shared" si="132"/>
        <v>0</v>
      </c>
      <c r="P153" s="1207" t="str">
        <f t="shared" si="149"/>
        <v>2.2</v>
      </c>
      <c r="Q153" s="1207" t="str">
        <f t="shared" si="150"/>
        <v>LR2 2</v>
      </c>
      <c r="R153" s="1208" t="str">
        <f t="shared" si="151"/>
        <v>既存建築躯体等の継続使用</v>
      </c>
      <c r="S153" s="1747">
        <f t="shared" si="133"/>
        <v>0.2</v>
      </c>
      <c r="T153" s="1747">
        <f t="shared" si="134"/>
        <v>0.2</v>
      </c>
      <c r="U153" s="1747">
        <f t="shared" si="135"/>
        <v>0.2</v>
      </c>
      <c r="V153" s="1747">
        <f t="shared" si="136"/>
        <v>0.2</v>
      </c>
      <c r="W153" s="1747">
        <f t="shared" si="137"/>
        <v>0.2</v>
      </c>
      <c r="X153" s="1747">
        <f t="shared" si="138"/>
        <v>0.2</v>
      </c>
      <c r="Y153" s="1747">
        <f t="shared" si="139"/>
        <v>0.2</v>
      </c>
      <c r="Z153" s="1749">
        <f t="shared" si="140"/>
        <v>0.2</v>
      </c>
      <c r="AA153" s="1747">
        <f t="shared" si="141"/>
        <v>0.2</v>
      </c>
      <c r="AB153" s="1747">
        <f t="shared" si="142"/>
        <v>0.2</v>
      </c>
      <c r="AC153" s="1768">
        <f t="shared" si="143"/>
        <v>0</v>
      </c>
      <c r="AD153" s="1752">
        <f t="shared" si="144"/>
        <v>0</v>
      </c>
      <c r="AE153" s="1752">
        <f t="shared" si="145"/>
        <v>0</v>
      </c>
      <c r="AG153" s="1207" t="s">
        <v>2365</v>
      </c>
      <c r="AH153" s="1211" t="s">
        <v>128</v>
      </c>
      <c r="AI153" s="1208" t="s">
        <v>1072</v>
      </c>
      <c r="AJ153" s="1213">
        <v>0.2</v>
      </c>
      <c r="AK153" s="1213">
        <v>0.2</v>
      </c>
      <c r="AL153" s="1213">
        <v>0.2</v>
      </c>
      <c r="AM153" s="1213">
        <v>0.2</v>
      </c>
      <c r="AN153" s="1213">
        <v>0.2</v>
      </c>
      <c r="AO153" s="1213">
        <v>0.2</v>
      </c>
      <c r="AP153" s="1213">
        <v>0.2</v>
      </c>
      <c r="AQ153" s="1213">
        <v>0.2</v>
      </c>
      <c r="AR153" s="1213">
        <v>0.2</v>
      </c>
      <c r="AS153" s="1213">
        <v>0.2</v>
      </c>
      <c r="AT153" s="1273"/>
      <c r="AU153" s="1225"/>
      <c r="AV153" s="1225"/>
      <c r="AX153" s="1207" t="s">
        <v>2366</v>
      </c>
      <c r="AY153" s="1211" t="s">
        <v>128</v>
      </c>
      <c r="AZ153" s="1208" t="s">
        <v>1072</v>
      </c>
      <c r="BA153" s="1213">
        <v>0.2</v>
      </c>
      <c r="BB153" s="1213">
        <v>0.2</v>
      </c>
      <c r="BC153" s="1213">
        <v>0.2</v>
      </c>
      <c r="BD153" s="1213">
        <v>0.2</v>
      </c>
      <c r="BE153" s="1213">
        <v>0.2</v>
      </c>
      <c r="BF153" s="1213">
        <v>0.2</v>
      </c>
      <c r="BG153" s="1213">
        <v>0.2</v>
      </c>
      <c r="BH153" s="1213">
        <v>0.2</v>
      </c>
      <c r="BI153" s="1213">
        <v>0.2</v>
      </c>
      <c r="BJ153" s="1213">
        <v>0.2</v>
      </c>
      <c r="BK153" s="1273"/>
      <c r="BL153" s="1225"/>
      <c r="BM153" s="1225"/>
      <c r="BO153" s="1207" t="s">
        <v>2366</v>
      </c>
      <c r="BP153" s="1211" t="s">
        <v>128</v>
      </c>
      <c r="BQ153" s="1208" t="s">
        <v>1072</v>
      </c>
      <c r="BR153" s="1213">
        <v>0.2</v>
      </c>
      <c r="BS153" s="1213">
        <v>0.2</v>
      </c>
      <c r="BT153" s="1213">
        <v>0.2</v>
      </c>
      <c r="BU153" s="1213">
        <v>0.2</v>
      </c>
      <c r="BV153" s="1213">
        <v>0.2</v>
      </c>
      <c r="BW153" s="1213">
        <v>0.2</v>
      </c>
      <c r="BX153" s="1213">
        <v>0.2</v>
      </c>
      <c r="BY153" s="1213">
        <v>0.2</v>
      </c>
      <c r="BZ153" s="1213">
        <v>0.2</v>
      </c>
      <c r="CA153" s="1213">
        <v>0.2</v>
      </c>
      <c r="CB153" s="1273"/>
      <c r="CC153" s="1225"/>
      <c r="CD153" s="1225"/>
      <c r="CE153" s="1463"/>
      <c r="CG153" s="1207" t="s">
        <v>1178</v>
      </c>
      <c r="CH153" s="1211" t="s">
        <v>128</v>
      </c>
      <c r="CI153" s="1208" t="s">
        <v>1072</v>
      </c>
      <c r="CJ153" s="1678">
        <v>0</v>
      </c>
      <c r="CK153" s="1678">
        <v>0</v>
      </c>
      <c r="CL153" s="1678">
        <v>0</v>
      </c>
      <c r="CM153" s="1678">
        <v>0</v>
      </c>
      <c r="CN153" s="1678">
        <v>0</v>
      </c>
      <c r="CO153" s="1678">
        <v>0</v>
      </c>
      <c r="CP153" s="1678">
        <v>0</v>
      </c>
      <c r="CQ153" s="1678">
        <v>0</v>
      </c>
      <c r="CR153" s="1678">
        <v>0</v>
      </c>
      <c r="CS153" s="1678">
        <v>0</v>
      </c>
      <c r="CT153" s="1714">
        <f t="shared" si="164"/>
        <v>0</v>
      </c>
      <c r="CU153" s="1695">
        <f t="shared" si="165"/>
        <v>0</v>
      </c>
      <c r="CV153" s="1695">
        <f t="shared" si="166"/>
        <v>0</v>
      </c>
      <c r="CX153" s="1207" t="s">
        <v>1178</v>
      </c>
      <c r="CY153" s="1211" t="s">
        <v>128</v>
      </c>
      <c r="CZ153" s="1208" t="s">
        <v>1072</v>
      </c>
      <c r="DA153" s="1824">
        <v>0</v>
      </c>
      <c r="DB153" s="1678"/>
      <c r="DC153" s="1678"/>
      <c r="DD153" s="1678"/>
      <c r="DE153" s="1678"/>
      <c r="DF153" s="1678"/>
      <c r="DG153" s="1678"/>
      <c r="DH153" s="1678"/>
      <c r="DI153" s="1678"/>
      <c r="DJ153" s="1678"/>
      <c r="DK153" s="1812"/>
      <c r="DL153" s="1798"/>
      <c r="DM153" s="1798"/>
    </row>
    <row r="154" spans="2:117">
      <c r="B154" s="1186" t="str">
        <f t="shared" si="180"/>
        <v>2.3</v>
      </c>
      <c r="C154" s="1208" t="str">
        <f t="shared" si="147"/>
        <v>躯体材料におけるリサイクル材の使用</v>
      </c>
      <c r="D154" s="1205">
        <f t="shared" si="181"/>
        <v>0.2</v>
      </c>
      <c r="E154" s="1206">
        <f t="shared" si="181"/>
        <v>0</v>
      </c>
      <c r="G154" s="1206">
        <f t="shared" si="168"/>
        <v>0.2</v>
      </c>
      <c r="H154" s="1206">
        <f t="shared" si="169"/>
        <v>0</v>
      </c>
      <c r="I154" s="1206"/>
      <c r="J154" s="1206"/>
      <c r="K154" s="1206">
        <f>IF(スコア!Q154=0,0,1)</f>
        <v>1</v>
      </c>
      <c r="L154" s="1206">
        <f>IF(スコア!S154=0,0,1)</f>
        <v>0</v>
      </c>
      <c r="M154" s="1206">
        <f t="shared" si="170"/>
        <v>0.2</v>
      </c>
      <c r="N154" s="1206">
        <f t="shared" si="132"/>
        <v>0</v>
      </c>
      <c r="P154" s="1207" t="str">
        <f t="shared" si="149"/>
        <v>2.3</v>
      </c>
      <c r="Q154" s="1207" t="str">
        <f t="shared" si="150"/>
        <v>LR2 2</v>
      </c>
      <c r="R154" s="1208" t="str">
        <f t="shared" si="151"/>
        <v>躯体材料におけるリサイクル材の使用</v>
      </c>
      <c r="S154" s="1747">
        <f t="shared" si="133"/>
        <v>0.2</v>
      </c>
      <c r="T154" s="1747">
        <f t="shared" si="134"/>
        <v>0.2</v>
      </c>
      <c r="U154" s="1747">
        <f t="shared" si="135"/>
        <v>0.2</v>
      </c>
      <c r="V154" s="1747">
        <f t="shared" si="136"/>
        <v>0.2</v>
      </c>
      <c r="W154" s="1747">
        <f t="shared" si="137"/>
        <v>0.2</v>
      </c>
      <c r="X154" s="1747">
        <f t="shared" si="138"/>
        <v>0.2</v>
      </c>
      <c r="Y154" s="1747">
        <f t="shared" si="139"/>
        <v>0.2</v>
      </c>
      <c r="Z154" s="1749">
        <f t="shared" si="140"/>
        <v>0.2</v>
      </c>
      <c r="AA154" s="1747">
        <f t="shared" si="141"/>
        <v>0.2</v>
      </c>
      <c r="AB154" s="1747">
        <f t="shared" si="142"/>
        <v>0.2</v>
      </c>
      <c r="AC154" s="1768">
        <f t="shared" si="143"/>
        <v>0</v>
      </c>
      <c r="AD154" s="1752">
        <f t="shared" si="144"/>
        <v>0</v>
      </c>
      <c r="AE154" s="1752">
        <f t="shared" si="145"/>
        <v>0</v>
      </c>
      <c r="AG154" s="1207" t="s">
        <v>2367</v>
      </c>
      <c r="AH154" s="1211" t="s">
        <v>128</v>
      </c>
      <c r="AI154" s="1208" t="s">
        <v>1073</v>
      </c>
      <c r="AJ154" s="1213">
        <v>0.2</v>
      </c>
      <c r="AK154" s="1213">
        <v>0.2</v>
      </c>
      <c r="AL154" s="1213">
        <v>0.2</v>
      </c>
      <c r="AM154" s="1213">
        <v>0.2</v>
      </c>
      <c r="AN154" s="1213">
        <v>0.2</v>
      </c>
      <c r="AO154" s="1213">
        <v>0.2</v>
      </c>
      <c r="AP154" s="1213">
        <v>0.2</v>
      </c>
      <c r="AQ154" s="1213">
        <v>0.2</v>
      </c>
      <c r="AR154" s="1213">
        <v>0.2</v>
      </c>
      <c r="AS154" s="1213">
        <v>0.2</v>
      </c>
      <c r="AT154" s="1273"/>
      <c r="AU154" s="1225"/>
      <c r="AV154" s="1225"/>
      <c r="AX154" s="1207" t="s">
        <v>2368</v>
      </c>
      <c r="AY154" s="1211" t="s">
        <v>128</v>
      </c>
      <c r="AZ154" s="1208" t="s">
        <v>1073</v>
      </c>
      <c r="BA154" s="1213">
        <v>0.2</v>
      </c>
      <c r="BB154" s="1213">
        <v>0.2</v>
      </c>
      <c r="BC154" s="1213">
        <v>0.2</v>
      </c>
      <c r="BD154" s="1213">
        <v>0.2</v>
      </c>
      <c r="BE154" s="1213">
        <v>0.2</v>
      </c>
      <c r="BF154" s="1213">
        <v>0.2</v>
      </c>
      <c r="BG154" s="1213">
        <v>0.2</v>
      </c>
      <c r="BH154" s="1213">
        <v>0.2</v>
      </c>
      <c r="BI154" s="1213">
        <v>0.2</v>
      </c>
      <c r="BJ154" s="1213">
        <v>0.2</v>
      </c>
      <c r="BK154" s="1273"/>
      <c r="BL154" s="1225"/>
      <c r="BM154" s="1225"/>
      <c r="BO154" s="1207" t="s">
        <v>2368</v>
      </c>
      <c r="BP154" s="1211" t="s">
        <v>128</v>
      </c>
      <c r="BQ154" s="1208" t="s">
        <v>1073</v>
      </c>
      <c r="BR154" s="1213">
        <v>0.2</v>
      </c>
      <c r="BS154" s="1213">
        <v>0.2</v>
      </c>
      <c r="BT154" s="1213">
        <v>0.2</v>
      </c>
      <c r="BU154" s="1213">
        <v>0.2</v>
      </c>
      <c r="BV154" s="1213">
        <v>0.2</v>
      </c>
      <c r="BW154" s="1213">
        <v>0.2</v>
      </c>
      <c r="BX154" s="1213">
        <v>0.2</v>
      </c>
      <c r="BY154" s="1213">
        <v>0.2</v>
      </c>
      <c r="BZ154" s="1213">
        <v>0.2</v>
      </c>
      <c r="CA154" s="1213">
        <v>0.2</v>
      </c>
      <c r="CB154" s="1273"/>
      <c r="CC154" s="1225"/>
      <c r="CD154" s="1225"/>
      <c r="CE154" s="1463"/>
      <c r="CG154" s="1207" t="s">
        <v>1417</v>
      </c>
      <c r="CH154" s="1211" t="s">
        <v>128</v>
      </c>
      <c r="CI154" s="1208" t="s">
        <v>1073</v>
      </c>
      <c r="CJ154" s="1678">
        <v>7.0000000000000007E-2</v>
      </c>
      <c r="CK154" s="1678">
        <v>7.0000000000000007E-2</v>
      </c>
      <c r="CL154" s="1678">
        <v>7.0000000000000007E-2</v>
      </c>
      <c r="CM154" s="1678">
        <v>7.0000000000000007E-2</v>
      </c>
      <c r="CN154" s="1678">
        <v>7.0000000000000007E-2</v>
      </c>
      <c r="CO154" s="1678">
        <v>7.0000000000000007E-2</v>
      </c>
      <c r="CP154" s="1678">
        <v>7.0000000000000007E-2</v>
      </c>
      <c r="CQ154" s="1678">
        <v>7.0000000000000007E-2</v>
      </c>
      <c r="CR154" s="1678">
        <v>7.0000000000000007E-2</v>
      </c>
      <c r="CS154" s="1678">
        <v>7.0000000000000007E-2</v>
      </c>
      <c r="CT154" s="1714">
        <f t="shared" si="164"/>
        <v>0</v>
      </c>
      <c r="CU154" s="1695">
        <f t="shared" si="165"/>
        <v>0</v>
      </c>
      <c r="CV154" s="1695">
        <f t="shared" si="166"/>
        <v>0</v>
      </c>
      <c r="CX154" s="1207" t="s">
        <v>1417</v>
      </c>
      <c r="CY154" s="1211" t="s">
        <v>128</v>
      </c>
      <c r="CZ154" s="1208" t="s">
        <v>1073</v>
      </c>
      <c r="DA154" s="1824">
        <v>0</v>
      </c>
      <c r="DB154" s="1678"/>
      <c r="DC154" s="1678"/>
      <c r="DD154" s="1678"/>
      <c r="DE154" s="1678"/>
      <c r="DF154" s="1678"/>
      <c r="DG154" s="1678"/>
      <c r="DH154" s="1678"/>
      <c r="DI154" s="1678"/>
      <c r="DJ154" s="1678"/>
      <c r="DK154" s="1812"/>
      <c r="DL154" s="1798"/>
      <c r="DM154" s="1798"/>
    </row>
    <row r="155" spans="2:117">
      <c r="B155" s="1186" t="str">
        <f t="shared" si="180"/>
        <v>2.4</v>
      </c>
      <c r="C155" s="1208" t="str">
        <f t="shared" si="147"/>
        <v>躯体材料以外におけるリサイクル材の使用</v>
      </c>
      <c r="D155" s="1205">
        <f t="shared" si="181"/>
        <v>0.2</v>
      </c>
      <c r="E155" s="1206">
        <f t="shared" si="181"/>
        <v>0</v>
      </c>
      <c r="G155" s="1206">
        <f t="shared" si="168"/>
        <v>0.2</v>
      </c>
      <c r="H155" s="1206">
        <f t="shared" si="169"/>
        <v>0</v>
      </c>
      <c r="I155" s="1206"/>
      <c r="J155" s="1206"/>
      <c r="K155" s="1206">
        <f>IF(スコア!Q155=0,0,1)</f>
        <v>1</v>
      </c>
      <c r="L155" s="1206">
        <f>IF(スコア!S155=0,0,1)</f>
        <v>0</v>
      </c>
      <c r="M155" s="1206">
        <f t="shared" si="170"/>
        <v>0.2</v>
      </c>
      <c r="N155" s="1206">
        <f t="shared" si="132"/>
        <v>0</v>
      </c>
      <c r="P155" s="1207" t="str">
        <f t="shared" si="149"/>
        <v>2.4</v>
      </c>
      <c r="Q155" s="1207" t="str">
        <f t="shared" si="150"/>
        <v>LR2 2</v>
      </c>
      <c r="R155" s="1208" t="str">
        <f t="shared" si="151"/>
        <v>躯体材料以外におけるリサイクル材の使用</v>
      </c>
      <c r="S155" s="1747">
        <f t="shared" si="133"/>
        <v>0.2</v>
      </c>
      <c r="T155" s="1747">
        <f t="shared" si="134"/>
        <v>0.2</v>
      </c>
      <c r="U155" s="1747">
        <f t="shared" si="135"/>
        <v>0.2</v>
      </c>
      <c r="V155" s="1747">
        <f t="shared" si="136"/>
        <v>0.2</v>
      </c>
      <c r="W155" s="1747">
        <f t="shared" si="137"/>
        <v>0.2</v>
      </c>
      <c r="X155" s="1747">
        <f t="shared" si="138"/>
        <v>0.2</v>
      </c>
      <c r="Y155" s="1747">
        <f t="shared" si="139"/>
        <v>0.2</v>
      </c>
      <c r="Z155" s="1749">
        <f t="shared" si="140"/>
        <v>0.2</v>
      </c>
      <c r="AA155" s="1747">
        <f t="shared" si="141"/>
        <v>0.2</v>
      </c>
      <c r="AB155" s="1747">
        <f t="shared" si="142"/>
        <v>0.2</v>
      </c>
      <c r="AC155" s="1768">
        <f t="shared" si="143"/>
        <v>0</v>
      </c>
      <c r="AD155" s="1752">
        <f t="shared" si="144"/>
        <v>0</v>
      </c>
      <c r="AE155" s="1752">
        <f t="shared" si="145"/>
        <v>0</v>
      </c>
      <c r="AG155" s="1207" t="s">
        <v>2369</v>
      </c>
      <c r="AH155" s="1211" t="s">
        <v>128</v>
      </c>
      <c r="AI155" s="1208" t="s">
        <v>1344</v>
      </c>
      <c r="AJ155" s="1213">
        <v>0.2</v>
      </c>
      <c r="AK155" s="1213">
        <v>0.2</v>
      </c>
      <c r="AL155" s="1213">
        <v>0.2</v>
      </c>
      <c r="AM155" s="1213">
        <v>0.2</v>
      </c>
      <c r="AN155" s="1213">
        <v>0.2</v>
      </c>
      <c r="AO155" s="1213">
        <v>0.2</v>
      </c>
      <c r="AP155" s="1213">
        <v>0.2</v>
      </c>
      <c r="AQ155" s="1213">
        <v>0.2</v>
      </c>
      <c r="AR155" s="1213">
        <v>0.2</v>
      </c>
      <c r="AS155" s="1213">
        <v>0.2</v>
      </c>
      <c r="AT155" s="1273"/>
      <c r="AU155" s="1225"/>
      <c r="AV155" s="1225"/>
      <c r="AX155" s="1207" t="s">
        <v>2370</v>
      </c>
      <c r="AY155" s="1211" t="s">
        <v>128</v>
      </c>
      <c r="AZ155" s="1208" t="s">
        <v>1344</v>
      </c>
      <c r="BA155" s="1213">
        <v>0.2</v>
      </c>
      <c r="BB155" s="1213">
        <v>0.2</v>
      </c>
      <c r="BC155" s="1213">
        <v>0.2</v>
      </c>
      <c r="BD155" s="1213">
        <v>0.2</v>
      </c>
      <c r="BE155" s="1213">
        <v>0.2</v>
      </c>
      <c r="BF155" s="1213">
        <v>0.2</v>
      </c>
      <c r="BG155" s="1213">
        <v>0.2</v>
      </c>
      <c r="BH155" s="1213">
        <v>0.2</v>
      </c>
      <c r="BI155" s="1213">
        <v>0.2</v>
      </c>
      <c r="BJ155" s="1213">
        <v>0.2</v>
      </c>
      <c r="BK155" s="1273"/>
      <c r="BL155" s="1225"/>
      <c r="BM155" s="1225"/>
      <c r="BO155" s="1207" t="s">
        <v>2370</v>
      </c>
      <c r="BP155" s="1211" t="s">
        <v>128</v>
      </c>
      <c r="BQ155" s="1208" t="s">
        <v>1344</v>
      </c>
      <c r="BR155" s="1213">
        <v>0.2</v>
      </c>
      <c r="BS155" s="1213">
        <v>0.2</v>
      </c>
      <c r="BT155" s="1213">
        <v>0.2</v>
      </c>
      <c r="BU155" s="1213">
        <v>0.2</v>
      </c>
      <c r="BV155" s="1213">
        <v>0.2</v>
      </c>
      <c r="BW155" s="1213">
        <v>0.2</v>
      </c>
      <c r="BX155" s="1213">
        <v>0.2</v>
      </c>
      <c r="BY155" s="1213">
        <v>0.2</v>
      </c>
      <c r="BZ155" s="1213">
        <v>0.2</v>
      </c>
      <c r="CA155" s="1213">
        <v>0.2</v>
      </c>
      <c r="CB155" s="1273"/>
      <c r="CC155" s="1225"/>
      <c r="CD155" s="1225"/>
      <c r="CE155" s="1463"/>
      <c r="CG155" s="1207" t="s">
        <v>2369</v>
      </c>
      <c r="CH155" s="1211" t="s">
        <v>128</v>
      </c>
      <c r="CI155" s="1208" t="s">
        <v>1344</v>
      </c>
      <c r="CJ155" s="1678">
        <v>0.04</v>
      </c>
      <c r="CK155" s="1678">
        <v>0.04</v>
      </c>
      <c r="CL155" s="1678">
        <v>0.04</v>
      </c>
      <c r="CM155" s="1678">
        <v>0.04</v>
      </c>
      <c r="CN155" s="1678">
        <v>0.04</v>
      </c>
      <c r="CO155" s="1678">
        <v>0.04</v>
      </c>
      <c r="CP155" s="1678">
        <v>0.04</v>
      </c>
      <c r="CQ155" s="1678">
        <v>0.04</v>
      </c>
      <c r="CR155" s="1678">
        <v>0.04</v>
      </c>
      <c r="CS155" s="1678">
        <v>0.04</v>
      </c>
      <c r="CT155" s="1714">
        <f t="shared" si="164"/>
        <v>0</v>
      </c>
      <c r="CU155" s="1695">
        <f t="shared" si="165"/>
        <v>0</v>
      </c>
      <c r="CV155" s="1695">
        <f t="shared" si="166"/>
        <v>0</v>
      </c>
      <c r="CX155" s="1207" t="s">
        <v>2369</v>
      </c>
      <c r="CY155" s="1211" t="s">
        <v>128</v>
      </c>
      <c r="CZ155" s="1208" t="s">
        <v>1344</v>
      </c>
      <c r="DA155" s="1678">
        <f t="shared" si="153"/>
        <v>0.2</v>
      </c>
      <c r="DB155" s="1678"/>
      <c r="DC155" s="1678"/>
      <c r="DD155" s="1678"/>
      <c r="DE155" s="1678"/>
      <c r="DF155" s="1678"/>
      <c r="DG155" s="1678"/>
      <c r="DH155" s="1678"/>
      <c r="DI155" s="1678"/>
      <c r="DJ155" s="1678"/>
      <c r="DK155" s="1812"/>
      <c r="DL155" s="1798"/>
      <c r="DM155" s="1798"/>
    </row>
    <row r="156" spans="2:117">
      <c r="B156" s="1186" t="str">
        <f t="shared" si="180"/>
        <v>2.5</v>
      </c>
      <c r="C156" s="1208" t="str">
        <f t="shared" si="147"/>
        <v>持続可能な森林から産出された木材</v>
      </c>
      <c r="D156" s="1205">
        <f t="shared" si="181"/>
        <v>0.1</v>
      </c>
      <c r="E156" s="1206">
        <f t="shared" si="181"/>
        <v>0</v>
      </c>
      <c r="G156" s="1206">
        <f t="shared" si="168"/>
        <v>0.1</v>
      </c>
      <c r="H156" s="1206">
        <f t="shared" si="169"/>
        <v>0</v>
      </c>
      <c r="I156" s="1206"/>
      <c r="J156" s="1206"/>
      <c r="K156" s="1206">
        <f>IF(スコア!Q156=0,0,1)</f>
        <v>1</v>
      </c>
      <c r="L156" s="1206">
        <f>IF(スコア!S156=0,0,1)</f>
        <v>0</v>
      </c>
      <c r="M156" s="1206">
        <f t="shared" si="170"/>
        <v>0.1</v>
      </c>
      <c r="N156" s="1206">
        <f t="shared" si="132"/>
        <v>0</v>
      </c>
      <c r="P156" s="1207" t="str">
        <f t="shared" si="149"/>
        <v>2.5</v>
      </c>
      <c r="Q156" s="1207" t="str">
        <f t="shared" si="150"/>
        <v>LR2 2</v>
      </c>
      <c r="R156" s="1208" t="str">
        <f t="shared" si="151"/>
        <v>持続可能な森林から産出された木材</v>
      </c>
      <c r="S156" s="1747">
        <f t="shared" si="133"/>
        <v>0.1</v>
      </c>
      <c r="T156" s="1747">
        <f t="shared" si="134"/>
        <v>0.1</v>
      </c>
      <c r="U156" s="1747">
        <f t="shared" si="135"/>
        <v>0.1</v>
      </c>
      <c r="V156" s="1747">
        <f t="shared" si="136"/>
        <v>0.1</v>
      </c>
      <c r="W156" s="1747">
        <f t="shared" si="137"/>
        <v>0.1</v>
      </c>
      <c r="X156" s="1747">
        <f t="shared" si="138"/>
        <v>0.1</v>
      </c>
      <c r="Y156" s="1747">
        <f t="shared" si="139"/>
        <v>0.1</v>
      </c>
      <c r="Z156" s="1749">
        <f t="shared" si="140"/>
        <v>0.1</v>
      </c>
      <c r="AA156" s="1747">
        <f t="shared" si="141"/>
        <v>0.1</v>
      </c>
      <c r="AB156" s="1747">
        <f t="shared" si="142"/>
        <v>0.1</v>
      </c>
      <c r="AC156" s="1768">
        <f t="shared" si="143"/>
        <v>0</v>
      </c>
      <c r="AD156" s="1752">
        <f t="shared" si="144"/>
        <v>0</v>
      </c>
      <c r="AE156" s="1752">
        <f t="shared" si="145"/>
        <v>0</v>
      </c>
      <c r="AG156" s="1207" t="s">
        <v>2371</v>
      </c>
      <c r="AH156" s="1211" t="s">
        <v>128</v>
      </c>
      <c r="AI156" s="1208" t="s">
        <v>2372</v>
      </c>
      <c r="AJ156" s="1213">
        <v>0.1</v>
      </c>
      <c r="AK156" s="1213">
        <v>0.1</v>
      </c>
      <c r="AL156" s="1213">
        <v>0.1</v>
      </c>
      <c r="AM156" s="1213">
        <v>0.1</v>
      </c>
      <c r="AN156" s="1213">
        <v>0.1</v>
      </c>
      <c r="AO156" s="1213">
        <v>0.1</v>
      </c>
      <c r="AP156" s="1213">
        <v>0.1</v>
      </c>
      <c r="AQ156" s="1213">
        <v>0.1</v>
      </c>
      <c r="AR156" s="1213">
        <v>0.1</v>
      </c>
      <c r="AS156" s="1213">
        <v>0.1</v>
      </c>
      <c r="AT156" s="1273"/>
      <c r="AU156" s="1225"/>
      <c r="AV156" s="1225"/>
      <c r="AX156" s="1207" t="s">
        <v>2371</v>
      </c>
      <c r="AY156" s="1211" t="s">
        <v>128</v>
      </c>
      <c r="AZ156" s="1208" t="s">
        <v>2372</v>
      </c>
      <c r="BA156" s="1213">
        <v>0.1</v>
      </c>
      <c r="BB156" s="1213">
        <v>0.1</v>
      </c>
      <c r="BC156" s="1213">
        <v>0.1</v>
      </c>
      <c r="BD156" s="1213">
        <v>0.1</v>
      </c>
      <c r="BE156" s="1213">
        <v>0.1</v>
      </c>
      <c r="BF156" s="1213">
        <v>0.1</v>
      </c>
      <c r="BG156" s="1213">
        <v>0.1</v>
      </c>
      <c r="BH156" s="1213">
        <v>0.1</v>
      </c>
      <c r="BI156" s="1213">
        <v>0.1</v>
      </c>
      <c r="BJ156" s="1213">
        <v>0.1</v>
      </c>
      <c r="BK156" s="1273"/>
      <c r="BL156" s="1225"/>
      <c r="BM156" s="1225"/>
      <c r="BO156" s="1207" t="s">
        <v>2371</v>
      </c>
      <c r="BP156" s="1211" t="s">
        <v>128</v>
      </c>
      <c r="BQ156" s="1208" t="s">
        <v>2372</v>
      </c>
      <c r="BR156" s="1213">
        <v>0.1</v>
      </c>
      <c r="BS156" s="1213">
        <v>0.1</v>
      </c>
      <c r="BT156" s="1213">
        <v>0.1</v>
      </c>
      <c r="BU156" s="1213">
        <v>0.1</v>
      </c>
      <c r="BV156" s="1213">
        <v>0.1</v>
      </c>
      <c r="BW156" s="1213">
        <v>0.1</v>
      </c>
      <c r="BX156" s="1213">
        <v>0.1</v>
      </c>
      <c r="BY156" s="1213">
        <v>0.1</v>
      </c>
      <c r="BZ156" s="1213">
        <v>0.1</v>
      </c>
      <c r="CA156" s="1213">
        <v>0.1</v>
      </c>
      <c r="CB156" s="1273"/>
      <c r="CC156" s="1225"/>
      <c r="CD156" s="1225"/>
      <c r="CE156" s="1463"/>
      <c r="CG156" s="1207" t="s">
        <v>2371</v>
      </c>
      <c r="CH156" s="1211" t="s">
        <v>128</v>
      </c>
      <c r="CI156" s="1208" t="s">
        <v>2372</v>
      </c>
      <c r="CJ156" s="1678">
        <v>0.04</v>
      </c>
      <c r="CK156" s="1678">
        <v>0.04</v>
      </c>
      <c r="CL156" s="1678">
        <v>0.04</v>
      </c>
      <c r="CM156" s="1678">
        <v>0.04</v>
      </c>
      <c r="CN156" s="1678">
        <v>0.04</v>
      </c>
      <c r="CO156" s="1678">
        <v>0.04</v>
      </c>
      <c r="CP156" s="1678">
        <v>0.04</v>
      </c>
      <c r="CQ156" s="1678">
        <v>0.04</v>
      </c>
      <c r="CR156" s="1678">
        <v>0.04</v>
      </c>
      <c r="CS156" s="1678">
        <v>0.04</v>
      </c>
      <c r="CT156" s="1714">
        <f t="shared" si="164"/>
        <v>0</v>
      </c>
      <c r="CU156" s="1695">
        <f t="shared" si="165"/>
        <v>0</v>
      </c>
      <c r="CV156" s="1695">
        <f t="shared" si="166"/>
        <v>0</v>
      </c>
      <c r="CX156" s="1207" t="s">
        <v>2371</v>
      </c>
      <c r="CY156" s="1211" t="s">
        <v>128</v>
      </c>
      <c r="CZ156" s="1208" t="s">
        <v>2372</v>
      </c>
      <c r="DA156" s="1814">
        <v>0.4</v>
      </c>
      <c r="DB156" s="1678"/>
      <c r="DC156" s="1678"/>
      <c r="DD156" s="1678"/>
      <c r="DE156" s="1678"/>
      <c r="DF156" s="1678"/>
      <c r="DG156" s="1678"/>
      <c r="DH156" s="1678"/>
      <c r="DI156" s="1678"/>
      <c r="DJ156" s="1678"/>
      <c r="DK156" s="1812"/>
      <c r="DL156" s="1798"/>
      <c r="DM156" s="1798"/>
    </row>
    <row r="157" spans="2:117">
      <c r="B157" s="1186" t="str">
        <f t="shared" si="180"/>
        <v>2.6</v>
      </c>
      <c r="C157" s="1208" t="str">
        <f t="shared" si="147"/>
        <v>部材の再利用可能性向上への取組み</v>
      </c>
      <c r="D157" s="1205">
        <f>IF(I$151=0,0,G157/I$151)</f>
        <v>0.2</v>
      </c>
      <c r="E157" s="1206">
        <f>IF(J$151=0,0,H157/J$151)</f>
        <v>0</v>
      </c>
      <c r="G157" s="1206">
        <f t="shared" si="168"/>
        <v>0.2</v>
      </c>
      <c r="H157" s="1206">
        <f t="shared" si="169"/>
        <v>0</v>
      </c>
      <c r="I157" s="1206"/>
      <c r="J157" s="1206"/>
      <c r="K157" s="1206">
        <f>IF(スコア!Q157=0,0,1)</f>
        <v>1</v>
      </c>
      <c r="L157" s="1206">
        <f>IF(スコア!S157=0,0,1)</f>
        <v>0</v>
      </c>
      <c r="M157" s="1206">
        <f t="shared" si="170"/>
        <v>0.2</v>
      </c>
      <c r="N157" s="1206">
        <f t="shared" ref="N157:N194" si="182">(AC$7*AC157)+(AD$7*AD157)+(AE$7*AE157)</f>
        <v>0</v>
      </c>
      <c r="P157" s="1207" t="str">
        <f t="shared" si="149"/>
        <v>2.6</v>
      </c>
      <c r="Q157" s="1207" t="str">
        <f t="shared" si="150"/>
        <v>LR2 2</v>
      </c>
      <c r="R157" s="1208" t="str">
        <f t="shared" si="151"/>
        <v>部材の再利用可能性向上への取組み</v>
      </c>
      <c r="S157" s="1747">
        <f t="shared" si="133"/>
        <v>0.2</v>
      </c>
      <c r="T157" s="1747">
        <f t="shared" si="134"/>
        <v>0.2</v>
      </c>
      <c r="U157" s="1747">
        <f t="shared" si="135"/>
        <v>0.2</v>
      </c>
      <c r="V157" s="1747">
        <f t="shared" si="136"/>
        <v>0.2</v>
      </c>
      <c r="W157" s="1747">
        <f t="shared" si="137"/>
        <v>0.2</v>
      </c>
      <c r="X157" s="1747">
        <f t="shared" si="138"/>
        <v>0.2</v>
      </c>
      <c r="Y157" s="1747">
        <f t="shared" si="139"/>
        <v>0.2</v>
      </c>
      <c r="Z157" s="1749">
        <f t="shared" si="140"/>
        <v>0.2</v>
      </c>
      <c r="AA157" s="1747">
        <f t="shared" si="141"/>
        <v>0.2</v>
      </c>
      <c r="AB157" s="1747">
        <f t="shared" si="142"/>
        <v>0.2</v>
      </c>
      <c r="AC157" s="1768">
        <f t="shared" si="143"/>
        <v>0</v>
      </c>
      <c r="AD157" s="1752">
        <f t="shared" si="144"/>
        <v>0</v>
      </c>
      <c r="AE157" s="1752">
        <f t="shared" si="145"/>
        <v>0</v>
      </c>
      <c r="AG157" s="1207" t="s">
        <v>2373</v>
      </c>
      <c r="AH157" s="1211" t="s">
        <v>128</v>
      </c>
      <c r="AI157" s="1208" t="s">
        <v>1075</v>
      </c>
      <c r="AJ157" s="1213">
        <v>0.2</v>
      </c>
      <c r="AK157" s="1213">
        <v>0.2</v>
      </c>
      <c r="AL157" s="1213">
        <v>0.2</v>
      </c>
      <c r="AM157" s="1213">
        <v>0.2</v>
      </c>
      <c r="AN157" s="1213">
        <v>0.2</v>
      </c>
      <c r="AO157" s="1213">
        <v>0.2</v>
      </c>
      <c r="AP157" s="1213">
        <v>0.2</v>
      </c>
      <c r="AQ157" s="1213">
        <v>0.2</v>
      </c>
      <c r="AR157" s="1213">
        <v>0.2</v>
      </c>
      <c r="AS157" s="1213">
        <v>0.2</v>
      </c>
      <c r="AT157" s="1273"/>
      <c r="AU157" s="1225"/>
      <c r="AV157" s="1225"/>
      <c r="AX157" s="1207" t="s">
        <v>1184</v>
      </c>
      <c r="AY157" s="1211" t="s">
        <v>128</v>
      </c>
      <c r="AZ157" s="1208" t="s">
        <v>1075</v>
      </c>
      <c r="BA157" s="1213">
        <v>0.2</v>
      </c>
      <c r="BB157" s="1213">
        <v>0.2</v>
      </c>
      <c r="BC157" s="1213">
        <v>0.2</v>
      </c>
      <c r="BD157" s="1213">
        <v>0.2</v>
      </c>
      <c r="BE157" s="1213">
        <v>0.2</v>
      </c>
      <c r="BF157" s="1213">
        <v>0.2</v>
      </c>
      <c r="BG157" s="1213">
        <v>0.2</v>
      </c>
      <c r="BH157" s="1213">
        <v>0.2</v>
      </c>
      <c r="BI157" s="1213">
        <v>0.2</v>
      </c>
      <c r="BJ157" s="1213">
        <v>0.2</v>
      </c>
      <c r="BK157" s="1273"/>
      <c r="BL157" s="1225"/>
      <c r="BM157" s="1225"/>
      <c r="BO157" s="1207" t="s">
        <v>1184</v>
      </c>
      <c r="BP157" s="1211" t="s">
        <v>128</v>
      </c>
      <c r="BQ157" s="1208" t="s">
        <v>1075</v>
      </c>
      <c r="BR157" s="1213">
        <v>0.2</v>
      </c>
      <c r="BS157" s="1213">
        <v>0.2</v>
      </c>
      <c r="BT157" s="1213">
        <v>0.2</v>
      </c>
      <c r="BU157" s="1213">
        <v>0.2</v>
      </c>
      <c r="BV157" s="1213">
        <v>0.2</v>
      </c>
      <c r="BW157" s="1213">
        <v>0.2</v>
      </c>
      <c r="BX157" s="1213">
        <v>0.2</v>
      </c>
      <c r="BY157" s="1213">
        <v>0.2</v>
      </c>
      <c r="BZ157" s="1213">
        <v>0.2</v>
      </c>
      <c r="CA157" s="1213">
        <v>0.2</v>
      </c>
      <c r="CB157" s="1273"/>
      <c r="CC157" s="1225"/>
      <c r="CD157" s="1225"/>
      <c r="CE157" s="1463"/>
      <c r="CG157" s="1207" t="s">
        <v>1184</v>
      </c>
      <c r="CH157" s="1211" t="s">
        <v>128</v>
      </c>
      <c r="CI157" s="1208"/>
      <c r="CJ157" s="1678">
        <v>0</v>
      </c>
      <c r="CK157" s="1678">
        <v>0</v>
      </c>
      <c r="CL157" s="1678">
        <v>0</v>
      </c>
      <c r="CM157" s="1678">
        <v>0</v>
      </c>
      <c r="CN157" s="1678">
        <v>0</v>
      </c>
      <c r="CO157" s="1678">
        <v>0</v>
      </c>
      <c r="CP157" s="1678">
        <v>0</v>
      </c>
      <c r="CQ157" s="1678">
        <v>0</v>
      </c>
      <c r="CR157" s="1678">
        <v>0</v>
      </c>
      <c r="CS157" s="1678">
        <v>0</v>
      </c>
      <c r="CT157" s="1714">
        <f t="shared" si="164"/>
        <v>0</v>
      </c>
      <c r="CU157" s="1695">
        <f t="shared" si="165"/>
        <v>0</v>
      </c>
      <c r="CV157" s="1695">
        <f t="shared" si="166"/>
        <v>0</v>
      </c>
      <c r="CX157" s="1207" t="s">
        <v>1184</v>
      </c>
      <c r="CY157" s="1211" t="s">
        <v>128</v>
      </c>
      <c r="CZ157" s="1208" t="s">
        <v>1075</v>
      </c>
      <c r="DA157" s="1814">
        <v>0.4</v>
      </c>
      <c r="DB157" s="1678"/>
      <c r="DC157" s="1678"/>
      <c r="DD157" s="1678"/>
      <c r="DE157" s="1678"/>
      <c r="DF157" s="1678"/>
      <c r="DG157" s="1678"/>
      <c r="DH157" s="1678"/>
      <c r="DI157" s="1678"/>
      <c r="DJ157" s="1678"/>
      <c r="DK157" s="1812"/>
      <c r="DL157" s="1798"/>
      <c r="DM157" s="1798"/>
    </row>
    <row r="158" spans="2:117" hidden="1">
      <c r="B158" s="1186" t="str">
        <f t="shared" si="180"/>
        <v>2.6</v>
      </c>
      <c r="C158" s="1208">
        <f t="shared" si="147"/>
        <v>0</v>
      </c>
      <c r="D158" s="1205">
        <f>IF(I$151=0,0,G158/I$151)</f>
        <v>0</v>
      </c>
      <c r="E158" s="1205">
        <f>IF(J$151=0,0,H158/J$151)</f>
        <v>0</v>
      </c>
      <c r="G158" s="1206">
        <f>K158*M158</f>
        <v>0</v>
      </c>
      <c r="H158" s="1206">
        <f t="shared" ref="H158" si="183">L158*N158</f>
        <v>0</v>
      </c>
      <c r="I158" s="1206">
        <f>SUM(G159:G164)</f>
        <v>0</v>
      </c>
      <c r="J158" s="1206">
        <f>SUM(H159:H164)</f>
        <v>0</v>
      </c>
      <c r="K158" s="1206">
        <f>IF(スコア!Q158=0,0,1)</f>
        <v>0</v>
      </c>
      <c r="L158" s="1206">
        <f>IF(スコア!S158=0,0,1)</f>
        <v>0</v>
      </c>
      <c r="M158" s="1206">
        <f>SUMPRODUCT($S$7:$AB$7,S158:AB158)</f>
        <v>0</v>
      </c>
      <c r="N158" s="1206">
        <f>(AC$7*AC158)+(AD$7*AD158)+(AE$7*AE158)</f>
        <v>0</v>
      </c>
      <c r="P158" s="1207" t="str">
        <f t="shared" si="149"/>
        <v>2.6</v>
      </c>
      <c r="Q158" s="1207" t="str">
        <f t="shared" si="150"/>
        <v>LR2 2</v>
      </c>
      <c r="R158" s="1208">
        <f t="shared" si="151"/>
        <v>0</v>
      </c>
      <c r="S158" s="1747">
        <f t="shared" si="133"/>
        <v>0</v>
      </c>
      <c r="T158" s="1747">
        <f t="shared" si="134"/>
        <v>0</v>
      </c>
      <c r="U158" s="1747">
        <f t="shared" si="135"/>
        <v>0</v>
      </c>
      <c r="V158" s="1747">
        <f t="shared" si="136"/>
        <v>0</v>
      </c>
      <c r="W158" s="1747">
        <f t="shared" si="137"/>
        <v>0</v>
      </c>
      <c r="X158" s="1747">
        <f t="shared" si="138"/>
        <v>0</v>
      </c>
      <c r="Y158" s="1747">
        <f t="shared" si="139"/>
        <v>0</v>
      </c>
      <c r="Z158" s="1749">
        <f t="shared" si="140"/>
        <v>0</v>
      </c>
      <c r="AA158" s="1747">
        <f t="shared" si="141"/>
        <v>0</v>
      </c>
      <c r="AB158" s="1747">
        <f t="shared" si="142"/>
        <v>0</v>
      </c>
      <c r="AC158" s="1768">
        <f t="shared" si="143"/>
        <v>0</v>
      </c>
      <c r="AD158" s="1752">
        <f t="shared" si="144"/>
        <v>0</v>
      </c>
      <c r="AE158" s="1752">
        <f t="shared" si="145"/>
        <v>0</v>
      </c>
      <c r="AG158" s="1207"/>
      <c r="AH158" s="1211"/>
      <c r="AI158" s="1208"/>
      <c r="AJ158" s="1213"/>
      <c r="AK158" s="1213"/>
      <c r="AL158" s="1213"/>
      <c r="AM158" s="1213"/>
      <c r="AN158" s="1213"/>
      <c r="AO158" s="1213"/>
      <c r="AP158" s="1213"/>
      <c r="AQ158" s="1213"/>
      <c r="AR158" s="1213"/>
      <c r="AS158" s="1213"/>
      <c r="AT158" s="1273"/>
      <c r="AU158" s="1225"/>
      <c r="AV158" s="1225"/>
      <c r="AX158" s="1207"/>
      <c r="AY158" s="1211"/>
      <c r="AZ158" s="1208"/>
      <c r="BA158" s="1213"/>
      <c r="BB158" s="1213"/>
      <c r="BC158" s="1213"/>
      <c r="BD158" s="1213"/>
      <c r="BE158" s="1213"/>
      <c r="BF158" s="1213"/>
      <c r="BG158" s="1213"/>
      <c r="BH158" s="1213"/>
      <c r="BI158" s="1213"/>
      <c r="BJ158" s="1213"/>
      <c r="BK158" s="1273"/>
      <c r="BL158" s="1225"/>
      <c r="BM158" s="1225"/>
      <c r="BO158" s="1207" t="s">
        <v>1184</v>
      </c>
      <c r="BP158" s="1211" t="s">
        <v>128</v>
      </c>
      <c r="BQ158" s="1208"/>
      <c r="BR158" s="1213"/>
      <c r="BS158" s="1213"/>
      <c r="BT158" s="1213"/>
      <c r="BU158" s="1213"/>
      <c r="BV158" s="1213"/>
      <c r="BW158" s="1213"/>
      <c r="BX158" s="1213"/>
      <c r="BY158" s="1213"/>
      <c r="BZ158" s="1213"/>
      <c r="CA158" s="1213"/>
      <c r="CB158" s="1273"/>
      <c r="CC158" s="1225"/>
      <c r="CD158" s="1225"/>
      <c r="CE158" s="1463"/>
      <c r="CG158" s="1207" t="s">
        <v>1184</v>
      </c>
      <c r="CH158" s="1211" t="s">
        <v>128</v>
      </c>
      <c r="CI158" s="1208" t="s">
        <v>2796</v>
      </c>
      <c r="CJ158" s="1678">
        <v>0.65</v>
      </c>
      <c r="CK158" s="1678">
        <v>0.65</v>
      </c>
      <c r="CL158" s="1678">
        <v>0.65</v>
      </c>
      <c r="CM158" s="1678">
        <v>0.65</v>
      </c>
      <c r="CN158" s="1678">
        <v>0.65</v>
      </c>
      <c r="CO158" s="1678">
        <v>0.65</v>
      </c>
      <c r="CP158" s="1678">
        <v>0.65</v>
      </c>
      <c r="CQ158" s="1678">
        <v>0.65</v>
      </c>
      <c r="CR158" s="1678">
        <v>0.65</v>
      </c>
      <c r="CS158" s="1678">
        <v>0.65</v>
      </c>
      <c r="CT158" s="1714">
        <f t="shared" si="164"/>
        <v>0</v>
      </c>
      <c r="CU158" s="1695">
        <f t="shared" si="165"/>
        <v>0</v>
      </c>
      <c r="CV158" s="1695">
        <f t="shared" si="166"/>
        <v>0</v>
      </c>
      <c r="CX158" s="1207" t="s">
        <v>1184</v>
      </c>
      <c r="CY158" s="1211" t="s">
        <v>128</v>
      </c>
      <c r="CZ158" s="1208"/>
      <c r="DA158" s="1678">
        <f t="shared" si="153"/>
        <v>0</v>
      </c>
      <c r="DB158" s="1678"/>
      <c r="DC158" s="1678"/>
      <c r="DD158" s="1678"/>
      <c r="DE158" s="1678"/>
      <c r="DF158" s="1678"/>
      <c r="DG158" s="1678"/>
      <c r="DH158" s="1678"/>
      <c r="DI158" s="1678"/>
      <c r="DJ158" s="1678"/>
      <c r="DK158" s="1812"/>
      <c r="DL158" s="1798"/>
      <c r="DM158" s="1798"/>
    </row>
    <row r="159" spans="2:117" hidden="1">
      <c r="B159" s="1186" t="s">
        <v>2787</v>
      </c>
      <c r="C159" s="1208">
        <f t="shared" si="147"/>
        <v>0</v>
      </c>
      <c r="D159" s="1196">
        <f>IF(I$158&gt;0,G159/I$158,0)</f>
        <v>0</v>
      </c>
      <c r="E159" s="1196">
        <f>IF(J$158&gt;0,H159/J$158,0)</f>
        <v>0</v>
      </c>
      <c r="G159" s="1206">
        <f t="shared" ref="G159:G165" si="184">K159*M159</f>
        <v>0</v>
      </c>
      <c r="H159" s="1206">
        <f t="shared" ref="H159:H164" si="185">L159*N159</f>
        <v>0</v>
      </c>
      <c r="I159" s="1206"/>
      <c r="J159" s="1206"/>
      <c r="K159" s="1206">
        <f>IF(スコア!Q159=0,0,1)</f>
        <v>1</v>
      </c>
      <c r="L159" s="1206">
        <f>IF(スコア!S159=0,0,1)</f>
        <v>0</v>
      </c>
      <c r="M159" s="1206">
        <f t="shared" ref="M159:M165" si="186">SUMPRODUCT($S$7:$AB$7,S159:AB159)</f>
        <v>0</v>
      </c>
      <c r="N159" s="1206">
        <f t="shared" ref="N159:N165" si="187">(AC$7*AC159)+(AD$7*AD159)+(AE$7*AE159)</f>
        <v>0</v>
      </c>
      <c r="P159" s="1207" t="str">
        <f t="shared" si="149"/>
        <v>2.6.1</v>
      </c>
      <c r="Q159" s="1207" t="str">
        <f t="shared" si="150"/>
        <v>LR2 2.2</v>
      </c>
      <c r="R159" s="1208">
        <f t="shared" si="151"/>
        <v>0</v>
      </c>
      <c r="S159" s="1747">
        <f t="shared" si="133"/>
        <v>0</v>
      </c>
      <c r="T159" s="1747">
        <f t="shared" si="134"/>
        <v>0</v>
      </c>
      <c r="U159" s="1747">
        <f t="shared" si="135"/>
        <v>0</v>
      </c>
      <c r="V159" s="1747">
        <f t="shared" si="136"/>
        <v>0</v>
      </c>
      <c r="W159" s="1747">
        <f t="shared" si="137"/>
        <v>0</v>
      </c>
      <c r="X159" s="1747">
        <f t="shared" si="138"/>
        <v>0</v>
      </c>
      <c r="Y159" s="1747">
        <f t="shared" si="139"/>
        <v>0</v>
      </c>
      <c r="Z159" s="1749">
        <f t="shared" si="140"/>
        <v>0</v>
      </c>
      <c r="AA159" s="1747">
        <f t="shared" si="141"/>
        <v>0</v>
      </c>
      <c r="AB159" s="1747">
        <f t="shared" si="142"/>
        <v>0</v>
      </c>
      <c r="AC159" s="1768">
        <f t="shared" si="143"/>
        <v>0</v>
      </c>
      <c r="AD159" s="1752">
        <f t="shared" si="144"/>
        <v>0</v>
      </c>
      <c r="AE159" s="1752">
        <f t="shared" si="145"/>
        <v>0</v>
      </c>
      <c r="AG159" s="1207"/>
      <c r="AH159" s="1211"/>
      <c r="AI159" s="1208"/>
      <c r="AJ159" s="1213"/>
      <c r="AK159" s="1213"/>
      <c r="AL159" s="1213"/>
      <c r="AM159" s="1213"/>
      <c r="AN159" s="1213"/>
      <c r="AO159" s="1213"/>
      <c r="AP159" s="1213"/>
      <c r="AQ159" s="1213"/>
      <c r="AR159" s="1213"/>
      <c r="AS159" s="1213"/>
      <c r="AT159" s="1273"/>
      <c r="AU159" s="1225"/>
      <c r="AV159" s="1225"/>
      <c r="AX159" s="1207"/>
      <c r="AY159" s="1211"/>
      <c r="AZ159" s="1208"/>
      <c r="BA159" s="1213"/>
      <c r="BB159" s="1213"/>
      <c r="BC159" s="1213"/>
      <c r="BD159" s="1213"/>
      <c r="BE159" s="1213"/>
      <c r="BF159" s="1213"/>
      <c r="BG159" s="1213"/>
      <c r="BH159" s="1213"/>
      <c r="BI159" s="1213"/>
      <c r="BJ159" s="1213"/>
      <c r="BK159" s="1273"/>
      <c r="BL159" s="1225"/>
      <c r="BM159" s="1225"/>
      <c r="BO159" s="1207" t="s">
        <v>2797</v>
      </c>
      <c r="BP159" s="1211" t="s">
        <v>2798</v>
      </c>
      <c r="BQ159" s="1208"/>
      <c r="BR159" s="1213"/>
      <c r="BS159" s="1213"/>
      <c r="BT159" s="1213"/>
      <c r="BU159" s="1213"/>
      <c r="BV159" s="1213"/>
      <c r="BW159" s="1213"/>
      <c r="BX159" s="1213"/>
      <c r="BY159" s="1213"/>
      <c r="BZ159" s="1213"/>
      <c r="CA159" s="1213"/>
      <c r="CB159" s="1273"/>
      <c r="CC159" s="1225"/>
      <c r="CD159" s="1225"/>
      <c r="CE159" s="1463"/>
      <c r="CG159" s="1207" t="s">
        <v>2797</v>
      </c>
      <c r="CH159" s="1211" t="s">
        <v>2798</v>
      </c>
      <c r="CI159" s="1208" t="s">
        <v>2800</v>
      </c>
      <c r="CJ159" s="1678">
        <v>0.25</v>
      </c>
      <c r="CK159" s="1678">
        <v>0.25</v>
      </c>
      <c r="CL159" s="1678">
        <v>0.25</v>
      </c>
      <c r="CM159" s="1678">
        <v>0.25</v>
      </c>
      <c r="CN159" s="1678">
        <v>0.25</v>
      </c>
      <c r="CO159" s="1678">
        <v>0.25</v>
      </c>
      <c r="CP159" s="1678">
        <v>0.25</v>
      </c>
      <c r="CQ159" s="1678">
        <v>0.25</v>
      </c>
      <c r="CR159" s="1678">
        <v>0.25</v>
      </c>
      <c r="CS159" s="1678">
        <v>0.25</v>
      </c>
      <c r="CT159" s="1714">
        <f t="shared" si="164"/>
        <v>0</v>
      </c>
      <c r="CU159" s="1695">
        <f t="shared" si="165"/>
        <v>0</v>
      </c>
      <c r="CV159" s="1695">
        <f t="shared" si="166"/>
        <v>0</v>
      </c>
      <c r="CX159" s="1207" t="s">
        <v>2797</v>
      </c>
      <c r="CY159" s="1211" t="s">
        <v>2798</v>
      </c>
      <c r="CZ159" s="1208"/>
      <c r="DA159" s="1678">
        <f t="shared" si="153"/>
        <v>0</v>
      </c>
      <c r="DB159" s="1678"/>
      <c r="DC159" s="1678"/>
      <c r="DD159" s="1678"/>
      <c r="DE159" s="1678"/>
      <c r="DF159" s="1678"/>
      <c r="DG159" s="1678"/>
      <c r="DH159" s="1678"/>
      <c r="DI159" s="1678"/>
      <c r="DJ159" s="1678"/>
      <c r="DK159" s="1812"/>
      <c r="DL159" s="1798"/>
      <c r="DM159" s="1798"/>
    </row>
    <row r="160" spans="2:117" hidden="1">
      <c r="B160" s="1186" t="s">
        <v>2788</v>
      </c>
      <c r="C160" s="1208">
        <f t="shared" si="147"/>
        <v>0</v>
      </c>
      <c r="D160" s="1196">
        <f t="shared" ref="D160:E163" si="188">IF(I$158&gt;0,G160/I$158,0)</f>
        <v>0</v>
      </c>
      <c r="E160" s="1196">
        <f>IF(J$158&gt;0,H160/J$158,0)</f>
        <v>0</v>
      </c>
      <c r="G160" s="1206">
        <f t="shared" si="184"/>
        <v>0</v>
      </c>
      <c r="H160" s="1206">
        <f t="shared" si="185"/>
        <v>0</v>
      </c>
      <c r="I160" s="1206"/>
      <c r="J160" s="1206"/>
      <c r="K160" s="1206">
        <f>IF(スコア!Q160=0,0,1)</f>
        <v>1</v>
      </c>
      <c r="L160" s="1206">
        <f>IF(スコア!S160=0,0,1)</f>
        <v>0</v>
      </c>
      <c r="M160" s="1206">
        <f t="shared" si="186"/>
        <v>0</v>
      </c>
      <c r="N160" s="1206">
        <f t="shared" si="187"/>
        <v>0</v>
      </c>
      <c r="P160" s="1207" t="str">
        <f t="shared" si="149"/>
        <v>2.6.2</v>
      </c>
      <c r="Q160" s="1207" t="str">
        <f t="shared" si="150"/>
        <v>LR2 2.2</v>
      </c>
      <c r="R160" s="1208">
        <f t="shared" si="151"/>
        <v>0</v>
      </c>
      <c r="S160" s="1747">
        <f t="shared" si="133"/>
        <v>0</v>
      </c>
      <c r="T160" s="1747">
        <f t="shared" si="134"/>
        <v>0</v>
      </c>
      <c r="U160" s="1747">
        <f t="shared" si="135"/>
        <v>0</v>
      </c>
      <c r="V160" s="1747">
        <f t="shared" si="136"/>
        <v>0</v>
      </c>
      <c r="W160" s="1747">
        <f t="shared" si="137"/>
        <v>0</v>
      </c>
      <c r="X160" s="1747">
        <f t="shared" si="138"/>
        <v>0</v>
      </c>
      <c r="Y160" s="1747">
        <f t="shared" si="139"/>
        <v>0</v>
      </c>
      <c r="Z160" s="1749">
        <f t="shared" si="140"/>
        <v>0</v>
      </c>
      <c r="AA160" s="1747">
        <f t="shared" si="141"/>
        <v>0</v>
      </c>
      <c r="AB160" s="1747">
        <f t="shared" si="142"/>
        <v>0</v>
      </c>
      <c r="AC160" s="1768">
        <f t="shared" si="143"/>
        <v>0</v>
      </c>
      <c r="AD160" s="1752">
        <f t="shared" si="144"/>
        <v>0</v>
      </c>
      <c r="AE160" s="1752">
        <f t="shared" si="145"/>
        <v>0</v>
      </c>
      <c r="AG160" s="1207"/>
      <c r="AH160" s="1211"/>
      <c r="AI160" s="1208"/>
      <c r="AJ160" s="1213"/>
      <c r="AK160" s="1213"/>
      <c r="AL160" s="1213"/>
      <c r="AM160" s="1213"/>
      <c r="AN160" s="1213"/>
      <c r="AO160" s="1213"/>
      <c r="AP160" s="1213"/>
      <c r="AQ160" s="1213"/>
      <c r="AR160" s="1213"/>
      <c r="AS160" s="1213"/>
      <c r="AT160" s="1273"/>
      <c r="AU160" s="1225"/>
      <c r="AV160" s="1225"/>
      <c r="AX160" s="1207"/>
      <c r="AY160" s="1211"/>
      <c r="AZ160" s="1208"/>
      <c r="BA160" s="1213"/>
      <c r="BB160" s="1213"/>
      <c r="BC160" s="1213"/>
      <c r="BD160" s="1213"/>
      <c r="BE160" s="1213"/>
      <c r="BF160" s="1213"/>
      <c r="BG160" s="1213"/>
      <c r="BH160" s="1213"/>
      <c r="BI160" s="1213"/>
      <c r="BJ160" s="1213"/>
      <c r="BK160" s="1273"/>
      <c r="BL160" s="1225"/>
      <c r="BM160" s="1225"/>
      <c r="BO160" s="1207" t="s">
        <v>2788</v>
      </c>
      <c r="BP160" s="1211" t="s">
        <v>2798</v>
      </c>
      <c r="BQ160" s="1208"/>
      <c r="BR160" s="1213"/>
      <c r="BS160" s="1213"/>
      <c r="BT160" s="1213"/>
      <c r="BU160" s="1213"/>
      <c r="BV160" s="1213"/>
      <c r="BW160" s="1213"/>
      <c r="BX160" s="1213"/>
      <c r="BY160" s="1213"/>
      <c r="BZ160" s="1213"/>
      <c r="CA160" s="1213"/>
      <c r="CB160" s="1273"/>
      <c r="CC160" s="1225"/>
      <c r="CD160" s="1225"/>
      <c r="CE160" s="1463"/>
      <c r="CG160" s="1207" t="s">
        <v>2788</v>
      </c>
      <c r="CH160" s="1211" t="s">
        <v>2798</v>
      </c>
      <c r="CI160" s="1208" t="s">
        <v>2802</v>
      </c>
      <c r="CJ160" s="1678">
        <v>0.15</v>
      </c>
      <c r="CK160" s="1678">
        <v>0.15</v>
      </c>
      <c r="CL160" s="1678">
        <v>0.15</v>
      </c>
      <c r="CM160" s="1678">
        <v>0.15</v>
      </c>
      <c r="CN160" s="1678">
        <v>0.15</v>
      </c>
      <c r="CO160" s="1678">
        <v>0.15</v>
      </c>
      <c r="CP160" s="1678">
        <v>0.15</v>
      </c>
      <c r="CQ160" s="1678">
        <v>0.15</v>
      </c>
      <c r="CR160" s="1678">
        <v>0.15</v>
      </c>
      <c r="CS160" s="1678">
        <v>0.15</v>
      </c>
      <c r="CT160" s="1714">
        <f t="shared" si="164"/>
        <v>0</v>
      </c>
      <c r="CU160" s="1695">
        <f t="shared" si="165"/>
        <v>0</v>
      </c>
      <c r="CV160" s="1695">
        <f t="shared" si="166"/>
        <v>0</v>
      </c>
      <c r="CX160" s="1207" t="s">
        <v>2788</v>
      </c>
      <c r="CY160" s="1211" t="s">
        <v>2798</v>
      </c>
      <c r="CZ160" s="1208"/>
      <c r="DA160" s="1678">
        <f t="shared" si="153"/>
        <v>0</v>
      </c>
      <c r="DB160" s="1678"/>
      <c r="DC160" s="1678"/>
      <c r="DD160" s="1678"/>
      <c r="DE160" s="1678"/>
      <c r="DF160" s="1678"/>
      <c r="DG160" s="1678"/>
      <c r="DH160" s="1678"/>
      <c r="DI160" s="1678"/>
      <c r="DJ160" s="1678"/>
      <c r="DK160" s="1812"/>
      <c r="DL160" s="1798"/>
      <c r="DM160" s="1798"/>
    </row>
    <row r="161" spans="2:117" hidden="1">
      <c r="B161" s="1186" t="s">
        <v>2789</v>
      </c>
      <c r="C161" s="1208">
        <f t="shared" si="147"/>
        <v>0</v>
      </c>
      <c r="D161" s="1196">
        <f t="shared" si="188"/>
        <v>0</v>
      </c>
      <c r="E161" s="1196">
        <f t="shared" si="188"/>
        <v>0</v>
      </c>
      <c r="G161" s="1206">
        <f t="shared" si="184"/>
        <v>0</v>
      </c>
      <c r="H161" s="1206">
        <f t="shared" si="185"/>
        <v>0</v>
      </c>
      <c r="I161" s="1206"/>
      <c r="J161" s="1206"/>
      <c r="K161" s="1206">
        <f>IF(スコア!Q161=0,0,1)</f>
        <v>1</v>
      </c>
      <c r="L161" s="1206">
        <f>IF(スコア!S161=0,0,1)</f>
        <v>0</v>
      </c>
      <c r="M161" s="1206">
        <f t="shared" si="186"/>
        <v>0</v>
      </c>
      <c r="N161" s="1206">
        <f t="shared" si="187"/>
        <v>0</v>
      </c>
      <c r="P161" s="1207" t="str">
        <f t="shared" si="149"/>
        <v>2.6.3</v>
      </c>
      <c r="Q161" s="1207" t="str">
        <f t="shared" si="150"/>
        <v>LR2 2.2</v>
      </c>
      <c r="R161" s="1208">
        <f t="shared" si="151"/>
        <v>0</v>
      </c>
      <c r="S161" s="1747">
        <f t="shared" si="133"/>
        <v>0</v>
      </c>
      <c r="T161" s="1747">
        <f t="shared" si="134"/>
        <v>0</v>
      </c>
      <c r="U161" s="1747">
        <f t="shared" si="135"/>
        <v>0</v>
      </c>
      <c r="V161" s="1747">
        <f t="shared" si="136"/>
        <v>0</v>
      </c>
      <c r="W161" s="1747">
        <f t="shared" si="137"/>
        <v>0</v>
      </c>
      <c r="X161" s="1747">
        <f t="shared" si="138"/>
        <v>0</v>
      </c>
      <c r="Y161" s="1747">
        <f t="shared" si="139"/>
        <v>0</v>
      </c>
      <c r="Z161" s="1749">
        <f t="shared" si="140"/>
        <v>0</v>
      </c>
      <c r="AA161" s="1747">
        <f t="shared" si="141"/>
        <v>0</v>
      </c>
      <c r="AB161" s="1747">
        <f t="shared" si="142"/>
        <v>0</v>
      </c>
      <c r="AC161" s="1768">
        <f t="shared" si="143"/>
        <v>0</v>
      </c>
      <c r="AD161" s="1752">
        <f t="shared" si="144"/>
        <v>0</v>
      </c>
      <c r="AE161" s="1752">
        <f t="shared" si="145"/>
        <v>0</v>
      </c>
      <c r="AG161" s="1207"/>
      <c r="AH161" s="1211"/>
      <c r="AI161" s="1208"/>
      <c r="AJ161" s="1213"/>
      <c r="AK161" s="1213"/>
      <c r="AL161" s="1213"/>
      <c r="AM161" s="1213"/>
      <c r="AN161" s="1213"/>
      <c r="AO161" s="1213"/>
      <c r="AP161" s="1213"/>
      <c r="AQ161" s="1213"/>
      <c r="AR161" s="1213"/>
      <c r="AS161" s="1213"/>
      <c r="AT161" s="1273"/>
      <c r="AU161" s="1225"/>
      <c r="AV161" s="1225"/>
      <c r="AX161" s="1207"/>
      <c r="AY161" s="1211"/>
      <c r="AZ161" s="1208"/>
      <c r="BA161" s="1213"/>
      <c r="BB161" s="1213"/>
      <c r="BC161" s="1213"/>
      <c r="BD161" s="1213"/>
      <c r="BE161" s="1213"/>
      <c r="BF161" s="1213"/>
      <c r="BG161" s="1213"/>
      <c r="BH161" s="1213"/>
      <c r="BI161" s="1213"/>
      <c r="BJ161" s="1213"/>
      <c r="BK161" s="1273"/>
      <c r="BL161" s="1225"/>
      <c r="BM161" s="1225"/>
      <c r="BO161" s="1207" t="s">
        <v>2789</v>
      </c>
      <c r="BP161" s="1211" t="s">
        <v>2798</v>
      </c>
      <c r="BQ161" s="1208"/>
      <c r="BR161" s="1213"/>
      <c r="BS161" s="1213"/>
      <c r="BT161" s="1213"/>
      <c r="BU161" s="1213"/>
      <c r="BV161" s="1213"/>
      <c r="BW161" s="1213"/>
      <c r="BX161" s="1213"/>
      <c r="BY161" s="1213"/>
      <c r="BZ161" s="1213"/>
      <c r="CA161" s="1213"/>
      <c r="CB161" s="1273"/>
      <c r="CC161" s="1225"/>
      <c r="CD161" s="1225"/>
      <c r="CE161" s="1463"/>
      <c r="CG161" s="1207" t="s">
        <v>2789</v>
      </c>
      <c r="CH161" s="1211" t="s">
        <v>2798</v>
      </c>
      <c r="CI161" s="1208" t="s">
        <v>2804</v>
      </c>
      <c r="CJ161" s="1678">
        <v>0.15</v>
      </c>
      <c r="CK161" s="1678">
        <v>0.15</v>
      </c>
      <c r="CL161" s="1678">
        <v>0.15</v>
      </c>
      <c r="CM161" s="1678">
        <v>0.15</v>
      </c>
      <c r="CN161" s="1678">
        <v>0.15</v>
      </c>
      <c r="CO161" s="1678">
        <v>0.15</v>
      </c>
      <c r="CP161" s="1678">
        <v>0.15</v>
      </c>
      <c r="CQ161" s="1678">
        <v>0.15</v>
      </c>
      <c r="CR161" s="1678">
        <v>0.15</v>
      </c>
      <c r="CS161" s="1678">
        <v>0.15</v>
      </c>
      <c r="CT161" s="1714">
        <f t="shared" si="164"/>
        <v>0</v>
      </c>
      <c r="CU161" s="1695">
        <f t="shared" si="165"/>
        <v>0</v>
      </c>
      <c r="CV161" s="1695">
        <f t="shared" si="166"/>
        <v>0</v>
      </c>
      <c r="CX161" s="1207" t="s">
        <v>2789</v>
      </c>
      <c r="CY161" s="1211" t="s">
        <v>2798</v>
      </c>
      <c r="CZ161" s="1208"/>
      <c r="DA161" s="1678">
        <f t="shared" si="153"/>
        <v>0</v>
      </c>
      <c r="DB161" s="1678"/>
      <c r="DC161" s="1678"/>
      <c r="DD161" s="1678"/>
      <c r="DE161" s="1678"/>
      <c r="DF161" s="1678"/>
      <c r="DG161" s="1678"/>
      <c r="DH161" s="1678"/>
      <c r="DI161" s="1678"/>
      <c r="DJ161" s="1678"/>
      <c r="DK161" s="1812"/>
      <c r="DL161" s="1798"/>
      <c r="DM161" s="1798"/>
    </row>
    <row r="162" spans="2:117" hidden="1">
      <c r="B162" s="1186" t="s">
        <v>2790</v>
      </c>
      <c r="C162" s="1208">
        <f t="shared" si="147"/>
        <v>0</v>
      </c>
      <c r="D162" s="1196">
        <f t="shared" si="188"/>
        <v>0</v>
      </c>
      <c r="E162" s="1196">
        <f t="shared" si="188"/>
        <v>0</v>
      </c>
      <c r="G162" s="1206">
        <f t="shared" si="184"/>
        <v>0</v>
      </c>
      <c r="H162" s="1206">
        <f t="shared" si="185"/>
        <v>0</v>
      </c>
      <c r="I162" s="1206"/>
      <c r="J162" s="1206"/>
      <c r="K162" s="1206">
        <f>IF(スコア!Q162=0,0,1)</f>
        <v>1</v>
      </c>
      <c r="L162" s="1206">
        <f>IF(スコア!S162=0,0,1)</f>
        <v>0</v>
      </c>
      <c r="M162" s="1206">
        <f t="shared" si="186"/>
        <v>0</v>
      </c>
      <c r="N162" s="1206">
        <f t="shared" si="187"/>
        <v>0</v>
      </c>
      <c r="P162" s="1207" t="str">
        <f t="shared" si="149"/>
        <v>2.6.4</v>
      </c>
      <c r="Q162" s="1207" t="str">
        <f t="shared" si="150"/>
        <v>LR2 2.2</v>
      </c>
      <c r="R162" s="1208">
        <f t="shared" si="151"/>
        <v>0</v>
      </c>
      <c r="S162" s="1747">
        <f t="shared" si="133"/>
        <v>0</v>
      </c>
      <c r="T162" s="1747">
        <f t="shared" si="134"/>
        <v>0</v>
      </c>
      <c r="U162" s="1747">
        <f t="shared" si="135"/>
        <v>0</v>
      </c>
      <c r="V162" s="1747">
        <f t="shared" si="136"/>
        <v>0</v>
      </c>
      <c r="W162" s="1747">
        <f t="shared" si="137"/>
        <v>0</v>
      </c>
      <c r="X162" s="1747">
        <f t="shared" si="138"/>
        <v>0</v>
      </c>
      <c r="Y162" s="1747">
        <f t="shared" si="139"/>
        <v>0</v>
      </c>
      <c r="Z162" s="1749">
        <f t="shared" si="140"/>
        <v>0</v>
      </c>
      <c r="AA162" s="1747">
        <f t="shared" si="141"/>
        <v>0</v>
      </c>
      <c r="AB162" s="1747">
        <f t="shared" si="142"/>
        <v>0</v>
      </c>
      <c r="AC162" s="1768">
        <f t="shared" si="143"/>
        <v>0</v>
      </c>
      <c r="AD162" s="1752">
        <f t="shared" si="144"/>
        <v>0</v>
      </c>
      <c r="AE162" s="1752">
        <f t="shared" si="145"/>
        <v>0</v>
      </c>
      <c r="AG162" s="1207"/>
      <c r="AH162" s="1211"/>
      <c r="AI162" s="1208"/>
      <c r="AJ162" s="1213"/>
      <c r="AK162" s="1213"/>
      <c r="AL162" s="1213"/>
      <c r="AM162" s="1213"/>
      <c r="AN162" s="1213"/>
      <c r="AO162" s="1213"/>
      <c r="AP162" s="1213"/>
      <c r="AQ162" s="1213"/>
      <c r="AR162" s="1213"/>
      <c r="AS162" s="1213"/>
      <c r="AT162" s="1273"/>
      <c r="AU162" s="1225"/>
      <c r="AV162" s="1225"/>
      <c r="AX162" s="1207"/>
      <c r="AY162" s="1211"/>
      <c r="AZ162" s="1208"/>
      <c r="BA162" s="1213"/>
      <c r="BB162" s="1213"/>
      <c r="BC162" s="1213"/>
      <c r="BD162" s="1213"/>
      <c r="BE162" s="1213"/>
      <c r="BF162" s="1213"/>
      <c r="BG162" s="1213"/>
      <c r="BH162" s="1213"/>
      <c r="BI162" s="1213"/>
      <c r="BJ162" s="1213"/>
      <c r="BK162" s="1273"/>
      <c r="BL162" s="1225"/>
      <c r="BM162" s="1225"/>
      <c r="BO162" s="1207" t="s">
        <v>2790</v>
      </c>
      <c r="BP162" s="1211" t="s">
        <v>2798</v>
      </c>
      <c r="BQ162" s="1208"/>
      <c r="BR162" s="1213"/>
      <c r="BS162" s="1213"/>
      <c r="BT162" s="1213"/>
      <c r="BU162" s="1213"/>
      <c r="BV162" s="1213"/>
      <c r="BW162" s="1213"/>
      <c r="BX162" s="1213"/>
      <c r="BY162" s="1213"/>
      <c r="BZ162" s="1213"/>
      <c r="CA162" s="1213"/>
      <c r="CB162" s="1273"/>
      <c r="CC162" s="1225"/>
      <c r="CD162" s="1225"/>
      <c r="CE162" s="1463"/>
      <c r="CG162" s="1207" t="s">
        <v>2790</v>
      </c>
      <c r="CH162" s="1211" t="s">
        <v>2798</v>
      </c>
      <c r="CI162" s="1208" t="s">
        <v>2806</v>
      </c>
      <c r="CJ162" s="1678">
        <v>0.15</v>
      </c>
      <c r="CK162" s="1678">
        <v>0.15</v>
      </c>
      <c r="CL162" s="1678">
        <v>0.15</v>
      </c>
      <c r="CM162" s="1678">
        <v>0.15</v>
      </c>
      <c r="CN162" s="1678">
        <v>0.15</v>
      </c>
      <c r="CO162" s="1678">
        <v>0.15</v>
      </c>
      <c r="CP162" s="1678">
        <v>0.15</v>
      </c>
      <c r="CQ162" s="1678">
        <v>0.15</v>
      </c>
      <c r="CR162" s="1678">
        <v>0.15</v>
      </c>
      <c r="CS162" s="1678">
        <v>0.15</v>
      </c>
      <c r="CT162" s="1714">
        <f t="shared" si="164"/>
        <v>0</v>
      </c>
      <c r="CU162" s="1695">
        <f t="shared" si="165"/>
        <v>0</v>
      </c>
      <c r="CV162" s="1695">
        <f t="shared" si="166"/>
        <v>0</v>
      </c>
      <c r="CX162" s="1207" t="s">
        <v>2790</v>
      </c>
      <c r="CY162" s="1211" t="s">
        <v>2798</v>
      </c>
      <c r="CZ162" s="1208"/>
      <c r="DA162" s="1678">
        <f t="shared" si="153"/>
        <v>0</v>
      </c>
      <c r="DB162" s="1678"/>
      <c r="DC162" s="1678"/>
      <c r="DD162" s="1678"/>
      <c r="DE162" s="1678"/>
      <c r="DF162" s="1678"/>
      <c r="DG162" s="1678"/>
      <c r="DH162" s="1678"/>
      <c r="DI162" s="1678"/>
      <c r="DJ162" s="1678"/>
      <c r="DK162" s="1812"/>
      <c r="DL162" s="1798"/>
      <c r="DM162" s="1798"/>
    </row>
    <row r="163" spans="2:117" hidden="1">
      <c r="B163" s="1186" t="s">
        <v>2791</v>
      </c>
      <c r="C163" s="1208">
        <f t="shared" si="147"/>
        <v>0</v>
      </c>
      <c r="D163" s="1196">
        <f t="shared" si="188"/>
        <v>0</v>
      </c>
      <c r="E163" s="1196">
        <f t="shared" si="188"/>
        <v>0</v>
      </c>
      <c r="G163" s="1206">
        <f t="shared" si="184"/>
        <v>0</v>
      </c>
      <c r="H163" s="1206">
        <f t="shared" si="185"/>
        <v>0</v>
      </c>
      <c r="I163" s="1206"/>
      <c r="J163" s="1206"/>
      <c r="K163" s="1206">
        <f>IF(スコア!Q163=0,0,1)</f>
        <v>1</v>
      </c>
      <c r="L163" s="1206">
        <f>IF(スコア!S163=0,0,1)</f>
        <v>0</v>
      </c>
      <c r="M163" s="1206">
        <f t="shared" si="186"/>
        <v>0</v>
      </c>
      <c r="N163" s="1206">
        <f t="shared" si="187"/>
        <v>0</v>
      </c>
      <c r="P163" s="1207" t="str">
        <f t="shared" si="149"/>
        <v>2.6.5</v>
      </c>
      <c r="Q163" s="1207" t="str">
        <f t="shared" si="150"/>
        <v>LR2 2.2</v>
      </c>
      <c r="R163" s="1208">
        <f t="shared" si="151"/>
        <v>0</v>
      </c>
      <c r="S163" s="1747">
        <f t="shared" si="133"/>
        <v>0</v>
      </c>
      <c r="T163" s="1747">
        <f t="shared" si="134"/>
        <v>0</v>
      </c>
      <c r="U163" s="1747">
        <f t="shared" si="135"/>
        <v>0</v>
      </c>
      <c r="V163" s="1747">
        <f t="shared" si="136"/>
        <v>0</v>
      </c>
      <c r="W163" s="1747">
        <f t="shared" si="137"/>
        <v>0</v>
      </c>
      <c r="X163" s="1747">
        <f t="shared" si="138"/>
        <v>0</v>
      </c>
      <c r="Y163" s="1747">
        <f t="shared" si="139"/>
        <v>0</v>
      </c>
      <c r="Z163" s="1749">
        <f t="shared" si="140"/>
        <v>0</v>
      </c>
      <c r="AA163" s="1747">
        <f t="shared" si="141"/>
        <v>0</v>
      </c>
      <c r="AB163" s="1747">
        <f t="shared" si="142"/>
        <v>0</v>
      </c>
      <c r="AC163" s="1768">
        <f t="shared" si="143"/>
        <v>0</v>
      </c>
      <c r="AD163" s="1752">
        <f t="shared" si="144"/>
        <v>0</v>
      </c>
      <c r="AE163" s="1752">
        <f t="shared" si="145"/>
        <v>0</v>
      </c>
      <c r="AG163" s="1207"/>
      <c r="AH163" s="1211"/>
      <c r="AI163" s="1208"/>
      <c r="AJ163" s="1213"/>
      <c r="AK163" s="1213"/>
      <c r="AL163" s="1213"/>
      <c r="AM163" s="1213"/>
      <c r="AN163" s="1213"/>
      <c r="AO163" s="1213"/>
      <c r="AP163" s="1213"/>
      <c r="AQ163" s="1213"/>
      <c r="AR163" s="1213"/>
      <c r="AS163" s="1213"/>
      <c r="AT163" s="1273"/>
      <c r="AU163" s="1225"/>
      <c r="AV163" s="1225"/>
      <c r="AX163" s="1207"/>
      <c r="AY163" s="1211"/>
      <c r="AZ163" s="1208"/>
      <c r="BA163" s="1213"/>
      <c r="BB163" s="1213"/>
      <c r="BC163" s="1213"/>
      <c r="BD163" s="1213"/>
      <c r="BE163" s="1213"/>
      <c r="BF163" s="1213"/>
      <c r="BG163" s="1213"/>
      <c r="BH163" s="1213"/>
      <c r="BI163" s="1213"/>
      <c r="BJ163" s="1213"/>
      <c r="BK163" s="1273"/>
      <c r="BL163" s="1225"/>
      <c r="BM163" s="1225"/>
      <c r="BO163" s="1207" t="s">
        <v>2791</v>
      </c>
      <c r="BP163" s="1211" t="s">
        <v>2798</v>
      </c>
      <c r="BQ163" s="1208"/>
      <c r="BR163" s="1213"/>
      <c r="BS163" s="1213"/>
      <c r="BT163" s="1213"/>
      <c r="BU163" s="1213"/>
      <c r="BV163" s="1213"/>
      <c r="BW163" s="1213"/>
      <c r="BX163" s="1213"/>
      <c r="BY163" s="1213"/>
      <c r="BZ163" s="1213"/>
      <c r="CA163" s="1213"/>
      <c r="CB163" s="1273"/>
      <c r="CC163" s="1225"/>
      <c r="CD163" s="1225"/>
      <c r="CE163" s="1463"/>
      <c r="CG163" s="1207" t="s">
        <v>2791</v>
      </c>
      <c r="CH163" s="1211" t="s">
        <v>2798</v>
      </c>
      <c r="CI163" s="1208" t="s">
        <v>2808</v>
      </c>
      <c r="CJ163" s="1678">
        <v>0.15</v>
      </c>
      <c r="CK163" s="1678">
        <v>0.15</v>
      </c>
      <c r="CL163" s="1678">
        <v>0.15</v>
      </c>
      <c r="CM163" s="1678">
        <v>0.15</v>
      </c>
      <c r="CN163" s="1678">
        <v>0.15</v>
      </c>
      <c r="CO163" s="1678">
        <v>0.15</v>
      </c>
      <c r="CP163" s="1678">
        <v>0.15</v>
      </c>
      <c r="CQ163" s="1678">
        <v>0.15</v>
      </c>
      <c r="CR163" s="1678">
        <v>0.15</v>
      </c>
      <c r="CS163" s="1678">
        <v>0.15</v>
      </c>
      <c r="CT163" s="1714">
        <f t="shared" si="164"/>
        <v>0</v>
      </c>
      <c r="CU163" s="1695">
        <f t="shared" si="165"/>
        <v>0</v>
      </c>
      <c r="CV163" s="1695">
        <f t="shared" si="166"/>
        <v>0</v>
      </c>
      <c r="CX163" s="1207" t="s">
        <v>2791</v>
      </c>
      <c r="CY163" s="1211" t="s">
        <v>2798</v>
      </c>
      <c r="CZ163" s="1208"/>
      <c r="DA163" s="1678">
        <f t="shared" si="153"/>
        <v>0</v>
      </c>
      <c r="DB163" s="1678"/>
      <c r="DC163" s="1678"/>
      <c r="DD163" s="1678"/>
      <c r="DE163" s="1678"/>
      <c r="DF163" s="1678"/>
      <c r="DG163" s="1678"/>
      <c r="DH163" s="1678"/>
      <c r="DI163" s="1678"/>
      <c r="DJ163" s="1678"/>
      <c r="DK163" s="1812"/>
      <c r="DL163" s="1798"/>
      <c r="DM163" s="1798"/>
    </row>
    <row r="164" spans="2:117" hidden="1">
      <c r="B164" s="1186" t="s">
        <v>2792</v>
      </c>
      <c r="C164" s="1208">
        <f t="shared" si="147"/>
        <v>0</v>
      </c>
      <c r="D164" s="1196">
        <f>IF(I$158&gt;0,G164/I$158,0)</f>
        <v>0</v>
      </c>
      <c r="E164" s="1196">
        <f>IF(J$158&gt;0,H164/J$158,0)</f>
        <v>0</v>
      </c>
      <c r="G164" s="1206">
        <f t="shared" si="184"/>
        <v>0</v>
      </c>
      <c r="H164" s="1206">
        <f t="shared" si="185"/>
        <v>0</v>
      </c>
      <c r="I164" s="1206"/>
      <c r="J164" s="1206"/>
      <c r="K164" s="1206">
        <f>IF(スコア!Q164=0,0,1)</f>
        <v>1</v>
      </c>
      <c r="L164" s="1206">
        <f>IF(スコア!S164=0,0,1)</f>
        <v>0</v>
      </c>
      <c r="M164" s="1206">
        <f t="shared" si="186"/>
        <v>0</v>
      </c>
      <c r="N164" s="1206">
        <f t="shared" si="187"/>
        <v>0</v>
      </c>
      <c r="P164" s="1207" t="str">
        <f t="shared" si="149"/>
        <v>2.6.6</v>
      </c>
      <c r="Q164" s="1207" t="str">
        <f t="shared" si="150"/>
        <v>LR2 2.2</v>
      </c>
      <c r="R164" s="1208">
        <f t="shared" si="151"/>
        <v>0</v>
      </c>
      <c r="S164" s="1747">
        <f t="shared" si="133"/>
        <v>0</v>
      </c>
      <c r="T164" s="1747">
        <f t="shared" si="134"/>
        <v>0</v>
      </c>
      <c r="U164" s="1747">
        <f t="shared" si="135"/>
        <v>0</v>
      </c>
      <c r="V164" s="1747">
        <f t="shared" si="136"/>
        <v>0</v>
      </c>
      <c r="W164" s="1747">
        <f t="shared" si="137"/>
        <v>0</v>
      </c>
      <c r="X164" s="1747">
        <f t="shared" si="138"/>
        <v>0</v>
      </c>
      <c r="Y164" s="1747">
        <f t="shared" si="139"/>
        <v>0</v>
      </c>
      <c r="Z164" s="1749">
        <f t="shared" si="140"/>
        <v>0</v>
      </c>
      <c r="AA164" s="1747">
        <f t="shared" si="141"/>
        <v>0</v>
      </c>
      <c r="AB164" s="1747">
        <f t="shared" si="142"/>
        <v>0</v>
      </c>
      <c r="AC164" s="1768">
        <f t="shared" si="143"/>
        <v>0</v>
      </c>
      <c r="AD164" s="1752">
        <f t="shared" si="144"/>
        <v>0</v>
      </c>
      <c r="AE164" s="1752">
        <f t="shared" si="145"/>
        <v>0</v>
      </c>
      <c r="AG164" s="1207"/>
      <c r="AH164" s="1211"/>
      <c r="AI164" s="1208"/>
      <c r="AJ164" s="1213"/>
      <c r="AK164" s="1213"/>
      <c r="AL164" s="1213"/>
      <c r="AM164" s="1213"/>
      <c r="AN164" s="1213"/>
      <c r="AO164" s="1213"/>
      <c r="AP164" s="1213"/>
      <c r="AQ164" s="1213"/>
      <c r="AR164" s="1213"/>
      <c r="AS164" s="1213"/>
      <c r="AT164" s="1273"/>
      <c r="AU164" s="1225"/>
      <c r="AV164" s="1225"/>
      <c r="AX164" s="1207"/>
      <c r="AY164" s="1211"/>
      <c r="AZ164" s="1208"/>
      <c r="BA164" s="1213"/>
      <c r="BB164" s="1213"/>
      <c r="BC164" s="1213"/>
      <c r="BD164" s="1213"/>
      <c r="BE164" s="1213"/>
      <c r="BF164" s="1213"/>
      <c r="BG164" s="1213"/>
      <c r="BH164" s="1213"/>
      <c r="BI164" s="1213"/>
      <c r="BJ164" s="1213"/>
      <c r="BK164" s="1273"/>
      <c r="BL164" s="1225"/>
      <c r="BM164" s="1225"/>
      <c r="BO164" s="1207" t="s">
        <v>2792</v>
      </c>
      <c r="BP164" s="1211" t="s">
        <v>2798</v>
      </c>
      <c r="BQ164" s="1208"/>
      <c r="BR164" s="1213"/>
      <c r="BS164" s="1213"/>
      <c r="BT164" s="1213"/>
      <c r="BU164" s="1213"/>
      <c r="BV164" s="1213"/>
      <c r="BW164" s="1213"/>
      <c r="BX164" s="1213"/>
      <c r="BY164" s="1213"/>
      <c r="BZ164" s="1213"/>
      <c r="CA164" s="1213"/>
      <c r="CB164" s="1273"/>
      <c r="CC164" s="1225"/>
      <c r="CD164" s="1225"/>
      <c r="CE164" s="1463"/>
      <c r="CG164" s="1207" t="s">
        <v>2792</v>
      </c>
      <c r="CH164" s="1211" t="s">
        <v>2798</v>
      </c>
      <c r="CI164" s="1208" t="s">
        <v>2810</v>
      </c>
      <c r="CJ164" s="1678">
        <v>0.15</v>
      </c>
      <c r="CK164" s="1678">
        <v>0.15</v>
      </c>
      <c r="CL164" s="1678">
        <v>0.15</v>
      </c>
      <c r="CM164" s="1678">
        <v>0.15</v>
      </c>
      <c r="CN164" s="1678">
        <v>0.15</v>
      </c>
      <c r="CO164" s="1678">
        <v>0.15</v>
      </c>
      <c r="CP164" s="1678">
        <v>0.15</v>
      </c>
      <c r="CQ164" s="1678">
        <v>0.15</v>
      </c>
      <c r="CR164" s="1678">
        <v>0.15</v>
      </c>
      <c r="CS164" s="1678">
        <v>0.15</v>
      </c>
      <c r="CT164" s="1714">
        <f t="shared" si="164"/>
        <v>0</v>
      </c>
      <c r="CU164" s="1695">
        <f t="shared" si="165"/>
        <v>0</v>
      </c>
      <c r="CV164" s="1695">
        <f t="shared" si="166"/>
        <v>0</v>
      </c>
      <c r="CX164" s="1207" t="s">
        <v>2792</v>
      </c>
      <c r="CY164" s="1211" t="s">
        <v>2798</v>
      </c>
      <c r="CZ164" s="1208"/>
      <c r="DA164" s="1678">
        <f t="shared" si="153"/>
        <v>0</v>
      </c>
      <c r="DB164" s="1678"/>
      <c r="DC164" s="1678"/>
      <c r="DD164" s="1678"/>
      <c r="DE164" s="1678"/>
      <c r="DF164" s="1678"/>
      <c r="DG164" s="1678"/>
      <c r="DH164" s="1678"/>
      <c r="DI164" s="1678"/>
      <c r="DJ164" s="1678"/>
      <c r="DK164" s="1812"/>
      <c r="DL164" s="1798"/>
      <c r="DM164" s="1798"/>
    </row>
    <row r="165" spans="2:117" hidden="1">
      <c r="B165" s="1186">
        <v>2.7</v>
      </c>
      <c r="C165" s="1208">
        <f t="shared" si="147"/>
        <v>0</v>
      </c>
      <c r="D165" s="1205">
        <f>IF(I$151=0,0,G165/I$151)</f>
        <v>0</v>
      </c>
      <c r="E165" s="1206">
        <f>IF(J$151=0,0,H165/J$151)</f>
        <v>0</v>
      </c>
      <c r="G165" s="1206">
        <f t="shared" si="184"/>
        <v>0</v>
      </c>
      <c r="H165" s="1206">
        <f>L165*N165</f>
        <v>0</v>
      </c>
      <c r="I165" s="1206"/>
      <c r="J165" s="1206"/>
      <c r="K165" s="1206">
        <f>IF(スコア!Q165=0,0,1)</f>
        <v>1</v>
      </c>
      <c r="L165" s="1206">
        <f>IF(スコア!S165=0,0,1)</f>
        <v>0</v>
      </c>
      <c r="M165" s="1206">
        <f t="shared" si="186"/>
        <v>0</v>
      </c>
      <c r="N165" s="1206">
        <f t="shared" si="187"/>
        <v>0</v>
      </c>
      <c r="P165" s="1207">
        <f t="shared" si="149"/>
        <v>2.7</v>
      </c>
      <c r="Q165" s="1207" t="str">
        <f t="shared" si="150"/>
        <v>LR2 2</v>
      </c>
      <c r="R165" s="1208">
        <f t="shared" si="151"/>
        <v>0</v>
      </c>
      <c r="S165" s="1747">
        <f t="shared" si="133"/>
        <v>0</v>
      </c>
      <c r="T165" s="1747">
        <f t="shared" si="134"/>
        <v>0</v>
      </c>
      <c r="U165" s="1747">
        <f t="shared" si="135"/>
        <v>0</v>
      </c>
      <c r="V165" s="1747">
        <f t="shared" si="136"/>
        <v>0</v>
      </c>
      <c r="W165" s="1747">
        <f t="shared" si="137"/>
        <v>0</v>
      </c>
      <c r="X165" s="1747">
        <f t="shared" si="138"/>
        <v>0</v>
      </c>
      <c r="Y165" s="1747">
        <f t="shared" si="139"/>
        <v>0</v>
      </c>
      <c r="Z165" s="1749">
        <f t="shared" si="140"/>
        <v>0</v>
      </c>
      <c r="AA165" s="1747">
        <f t="shared" si="141"/>
        <v>0</v>
      </c>
      <c r="AB165" s="1747">
        <f t="shared" si="142"/>
        <v>0</v>
      </c>
      <c r="AC165" s="1768">
        <f t="shared" si="143"/>
        <v>0</v>
      </c>
      <c r="AD165" s="1752">
        <f t="shared" si="144"/>
        <v>0</v>
      </c>
      <c r="AE165" s="1752">
        <f t="shared" si="145"/>
        <v>0</v>
      </c>
      <c r="AG165" s="1207"/>
      <c r="AH165" s="1211"/>
      <c r="AI165" s="1208"/>
      <c r="AJ165" s="1213"/>
      <c r="AK165" s="1213"/>
      <c r="AL165" s="1213"/>
      <c r="AM165" s="1213"/>
      <c r="AN165" s="1213"/>
      <c r="AO165" s="1213"/>
      <c r="AP165" s="1213"/>
      <c r="AQ165" s="1213"/>
      <c r="AR165" s="1213"/>
      <c r="AS165" s="1213"/>
      <c r="AT165" s="1273"/>
      <c r="AU165" s="1225"/>
      <c r="AV165" s="1225"/>
      <c r="AX165" s="1207"/>
      <c r="AY165" s="1211"/>
      <c r="AZ165" s="1208"/>
      <c r="BA165" s="1213"/>
      <c r="BB165" s="1213"/>
      <c r="BC165" s="1213"/>
      <c r="BD165" s="1213"/>
      <c r="BE165" s="1213"/>
      <c r="BF165" s="1213"/>
      <c r="BG165" s="1213"/>
      <c r="BH165" s="1213"/>
      <c r="BI165" s="1213"/>
      <c r="BJ165" s="1213"/>
      <c r="BK165" s="1273"/>
      <c r="BL165" s="1225"/>
      <c r="BM165" s="1225"/>
      <c r="BO165" s="1207">
        <v>2.7</v>
      </c>
      <c r="BP165" s="1211" t="s">
        <v>2812</v>
      </c>
      <c r="BQ165" s="1208"/>
      <c r="BR165" s="1213"/>
      <c r="BS165" s="1213"/>
      <c r="BT165" s="1213"/>
      <c r="BU165" s="1213"/>
      <c r="BV165" s="1213"/>
      <c r="BW165" s="1213"/>
      <c r="BX165" s="1213"/>
      <c r="BY165" s="1213"/>
      <c r="BZ165" s="1213"/>
      <c r="CA165" s="1213"/>
      <c r="CB165" s="1273"/>
      <c r="CC165" s="1225"/>
      <c r="CD165" s="1225"/>
      <c r="CE165" s="1463"/>
      <c r="CG165" s="1207">
        <v>2.7</v>
      </c>
      <c r="CH165" s="1211" t="s">
        <v>2812</v>
      </c>
      <c r="CI165" s="1208" t="s">
        <v>2781</v>
      </c>
      <c r="CJ165" s="1678">
        <v>0.2</v>
      </c>
      <c r="CK165" s="1678">
        <v>0.2</v>
      </c>
      <c r="CL165" s="1678">
        <v>0.2</v>
      </c>
      <c r="CM165" s="1678">
        <v>0.2</v>
      </c>
      <c r="CN165" s="1678">
        <v>0.2</v>
      </c>
      <c r="CO165" s="1678">
        <v>0.2</v>
      </c>
      <c r="CP165" s="1678">
        <v>0.2</v>
      </c>
      <c r="CQ165" s="1678">
        <v>0.2</v>
      </c>
      <c r="CR165" s="1678">
        <v>0.2</v>
      </c>
      <c r="CS165" s="1678">
        <v>0.2</v>
      </c>
      <c r="CT165" s="1714">
        <f t="shared" si="164"/>
        <v>0</v>
      </c>
      <c r="CU165" s="1695">
        <f t="shared" si="165"/>
        <v>0</v>
      </c>
      <c r="CV165" s="1695">
        <f t="shared" si="166"/>
        <v>0</v>
      </c>
      <c r="CX165" s="1207">
        <v>2.7</v>
      </c>
      <c r="CY165" s="1211" t="s">
        <v>2812</v>
      </c>
      <c r="CZ165" s="1208"/>
      <c r="DA165" s="1678">
        <f t="shared" si="153"/>
        <v>0</v>
      </c>
      <c r="DB165" s="1678"/>
      <c r="DC165" s="1678"/>
      <c r="DD165" s="1678"/>
      <c r="DE165" s="1678"/>
      <c r="DF165" s="1678"/>
      <c r="DG165" s="1678"/>
      <c r="DH165" s="1678"/>
      <c r="DI165" s="1678"/>
      <c r="DJ165" s="1678"/>
      <c r="DK165" s="1812"/>
      <c r="DL165" s="1798"/>
      <c r="DM165" s="1798"/>
    </row>
    <row r="166" spans="2:117">
      <c r="B166" s="1186">
        <f t="shared" si="180"/>
        <v>3</v>
      </c>
      <c r="C166" s="1198" t="str">
        <f t="shared" si="147"/>
        <v>汚染物質含有材料の使用回避</v>
      </c>
      <c r="D166" s="1194">
        <f>IF(I$145=0,0,G166/I$145)</f>
        <v>0.2</v>
      </c>
      <c r="E166" s="1195">
        <f>IF(J$145=0,0,H166/J$145)</f>
        <v>0</v>
      </c>
      <c r="G166" s="1195">
        <f t="shared" si="168"/>
        <v>0.2</v>
      </c>
      <c r="H166" s="1195">
        <f t="shared" si="169"/>
        <v>0</v>
      </c>
      <c r="I166" s="1195">
        <f>G167+G168</f>
        <v>1</v>
      </c>
      <c r="J166" s="1195">
        <f>H167+H168</f>
        <v>0</v>
      </c>
      <c r="K166" s="1195">
        <f>IF(スコア!Q166=0,0,1)</f>
        <v>1</v>
      </c>
      <c r="L166" s="1195">
        <f>IF(スコア!S166=0,0,1)</f>
        <v>0</v>
      </c>
      <c r="M166" s="1195">
        <f t="shared" si="170"/>
        <v>0.2</v>
      </c>
      <c r="N166" s="1195">
        <f t="shared" si="182"/>
        <v>0</v>
      </c>
      <c r="P166" s="1197">
        <f t="shared" si="149"/>
        <v>3</v>
      </c>
      <c r="Q166" s="1197" t="str">
        <f t="shared" si="150"/>
        <v>LR2</v>
      </c>
      <c r="R166" s="1198" t="str">
        <f t="shared" si="151"/>
        <v>汚染物質含有材料の使用回避</v>
      </c>
      <c r="S166" s="1744">
        <f t="shared" si="133"/>
        <v>0.2</v>
      </c>
      <c r="T166" s="1744">
        <f t="shared" si="134"/>
        <v>0.2</v>
      </c>
      <c r="U166" s="1744">
        <f t="shared" si="135"/>
        <v>0.2</v>
      </c>
      <c r="V166" s="1744">
        <f t="shared" si="136"/>
        <v>0.2</v>
      </c>
      <c r="W166" s="1744">
        <f t="shared" si="137"/>
        <v>0.2</v>
      </c>
      <c r="X166" s="1744">
        <f t="shared" si="138"/>
        <v>0.2</v>
      </c>
      <c r="Y166" s="1744">
        <f t="shared" si="139"/>
        <v>0.2</v>
      </c>
      <c r="Z166" s="1758">
        <f t="shared" si="140"/>
        <v>0.2</v>
      </c>
      <c r="AA166" s="1744">
        <f t="shared" si="141"/>
        <v>0.2</v>
      </c>
      <c r="AB166" s="1744">
        <f t="shared" si="142"/>
        <v>0.2</v>
      </c>
      <c r="AC166" s="1766">
        <f t="shared" si="143"/>
        <v>0</v>
      </c>
      <c r="AD166" s="1767">
        <f t="shared" si="144"/>
        <v>0</v>
      </c>
      <c r="AE166" s="1767">
        <f t="shared" si="145"/>
        <v>0</v>
      </c>
      <c r="AG166" s="1197">
        <v>3</v>
      </c>
      <c r="AH166" s="1201" t="s">
        <v>1321</v>
      </c>
      <c r="AI166" s="1198" t="s">
        <v>1076</v>
      </c>
      <c r="AJ166" s="1202">
        <v>0.2</v>
      </c>
      <c r="AK166" s="1202">
        <v>0.2</v>
      </c>
      <c r="AL166" s="1202">
        <v>0.2</v>
      </c>
      <c r="AM166" s="1202">
        <v>0.2</v>
      </c>
      <c r="AN166" s="1202">
        <v>0.2</v>
      </c>
      <c r="AO166" s="1202">
        <v>0.2</v>
      </c>
      <c r="AP166" s="1202">
        <v>0.2</v>
      </c>
      <c r="AQ166" s="1202">
        <v>0.2</v>
      </c>
      <c r="AR166" s="1202">
        <v>0.2</v>
      </c>
      <c r="AS166" s="1202">
        <v>0.2</v>
      </c>
      <c r="AT166" s="1271">
        <v>0</v>
      </c>
      <c r="AU166" s="1272">
        <v>0</v>
      </c>
      <c r="AV166" s="1272">
        <v>0</v>
      </c>
      <c r="AX166" s="1197">
        <v>3</v>
      </c>
      <c r="AY166" s="1201" t="s">
        <v>1321</v>
      </c>
      <c r="AZ166" s="1198" t="s">
        <v>1076</v>
      </c>
      <c r="BA166" s="1202">
        <v>0.2</v>
      </c>
      <c r="BB166" s="1202">
        <v>0.2</v>
      </c>
      <c r="BC166" s="1202">
        <v>0.2</v>
      </c>
      <c r="BD166" s="1202">
        <v>0.2</v>
      </c>
      <c r="BE166" s="1202">
        <v>0.2</v>
      </c>
      <c r="BF166" s="1202">
        <v>0.2</v>
      </c>
      <c r="BG166" s="1202">
        <v>0.2</v>
      </c>
      <c r="BH166" s="1202">
        <v>0.2</v>
      </c>
      <c r="BI166" s="1202">
        <v>0.2</v>
      </c>
      <c r="BJ166" s="1202">
        <v>0.2</v>
      </c>
      <c r="BK166" s="1271"/>
      <c r="BL166" s="1272"/>
      <c r="BM166" s="1272"/>
      <c r="BO166" s="1197">
        <v>3</v>
      </c>
      <c r="BP166" s="1201" t="s">
        <v>1321</v>
      </c>
      <c r="BQ166" s="1198" t="s">
        <v>1076</v>
      </c>
      <c r="BR166" s="1202">
        <v>0.2</v>
      </c>
      <c r="BS166" s="1202">
        <v>0.2</v>
      </c>
      <c r="BT166" s="1202">
        <v>0.2</v>
      </c>
      <c r="BU166" s="1202">
        <v>0.2</v>
      </c>
      <c r="BV166" s="1202">
        <v>0.2</v>
      </c>
      <c r="BW166" s="1202">
        <v>0.2</v>
      </c>
      <c r="BX166" s="1202">
        <v>0.2</v>
      </c>
      <c r="BY166" s="1202">
        <v>0.2</v>
      </c>
      <c r="BZ166" s="1202">
        <v>0.2</v>
      </c>
      <c r="CA166" s="1202">
        <v>0.2</v>
      </c>
      <c r="CB166" s="1271"/>
      <c r="CC166" s="1272"/>
      <c r="CD166" s="1272"/>
      <c r="CE166" s="1473"/>
      <c r="CG166" s="1197">
        <v>3</v>
      </c>
      <c r="CH166" s="1201" t="s">
        <v>1321</v>
      </c>
      <c r="CI166" s="1198" t="s">
        <v>1076</v>
      </c>
      <c r="CJ166" s="1676">
        <v>0.05</v>
      </c>
      <c r="CK166" s="1676">
        <v>0.05</v>
      </c>
      <c r="CL166" s="1676">
        <v>0.05</v>
      </c>
      <c r="CM166" s="1676">
        <v>0.05</v>
      </c>
      <c r="CN166" s="1676">
        <v>0.05</v>
      </c>
      <c r="CO166" s="1676">
        <v>0.05</v>
      </c>
      <c r="CP166" s="1676">
        <v>0.05</v>
      </c>
      <c r="CQ166" s="1676">
        <v>0.05</v>
      </c>
      <c r="CR166" s="1676">
        <v>0.05</v>
      </c>
      <c r="CS166" s="1676">
        <v>0.05</v>
      </c>
      <c r="CT166" s="1712">
        <f t="shared" si="164"/>
        <v>0</v>
      </c>
      <c r="CU166" s="1713">
        <f t="shared" si="165"/>
        <v>0</v>
      </c>
      <c r="CV166" s="1713">
        <f t="shared" si="166"/>
        <v>0</v>
      </c>
      <c r="CX166" s="1197">
        <v>3</v>
      </c>
      <c r="CY166" s="1201" t="s">
        <v>1321</v>
      </c>
      <c r="CZ166" s="1198" t="s">
        <v>1076</v>
      </c>
      <c r="DA166" s="1821">
        <f t="shared" si="153"/>
        <v>0.2</v>
      </c>
      <c r="DB166" s="1676"/>
      <c r="DC166" s="1676"/>
      <c r="DD166" s="1676"/>
      <c r="DE166" s="1676"/>
      <c r="DF166" s="1676"/>
      <c r="DG166" s="1676"/>
      <c r="DH166" s="1676"/>
      <c r="DI166" s="1676"/>
      <c r="DJ166" s="1676"/>
      <c r="DK166" s="1810"/>
      <c r="DL166" s="1811"/>
      <c r="DM166" s="1811"/>
    </row>
    <row r="167" spans="2:117">
      <c r="B167" s="1186" t="str">
        <f t="shared" si="180"/>
        <v>3.1</v>
      </c>
      <c r="C167" s="1208" t="str">
        <f t="shared" si="147"/>
        <v>有害物質を含まない材料の使用</v>
      </c>
      <c r="D167" s="1205">
        <f>IF(I$166=0,0,G167/I$166)</f>
        <v>0.3</v>
      </c>
      <c r="E167" s="1206">
        <f>IF(J$166=0,0,H167/J$166)</f>
        <v>0</v>
      </c>
      <c r="G167" s="1206">
        <f t="shared" si="168"/>
        <v>0.3</v>
      </c>
      <c r="H167" s="1206">
        <f t="shared" si="169"/>
        <v>0</v>
      </c>
      <c r="I167" s="1206"/>
      <c r="J167" s="1206"/>
      <c r="K167" s="1206">
        <f>IF(スコア!Q167=0,0,1)</f>
        <v>1</v>
      </c>
      <c r="L167" s="1206">
        <f>IF(スコア!S167=0,0,1)</f>
        <v>0</v>
      </c>
      <c r="M167" s="1206">
        <f t="shared" si="170"/>
        <v>0.3</v>
      </c>
      <c r="N167" s="1206">
        <f t="shared" si="182"/>
        <v>0</v>
      </c>
      <c r="P167" s="1207" t="str">
        <f t="shared" si="149"/>
        <v>3.1</v>
      </c>
      <c r="Q167" s="1207" t="str">
        <f t="shared" si="150"/>
        <v>LR2 3</v>
      </c>
      <c r="R167" s="1208" t="str">
        <f t="shared" si="151"/>
        <v>有害物質を含まない材料の使用</v>
      </c>
      <c r="S167" s="1747">
        <f t="shared" si="133"/>
        <v>0.3</v>
      </c>
      <c r="T167" s="1747">
        <f t="shared" si="134"/>
        <v>0.3</v>
      </c>
      <c r="U167" s="1747">
        <f t="shared" si="135"/>
        <v>0.3</v>
      </c>
      <c r="V167" s="1747">
        <f t="shared" si="136"/>
        <v>0.3</v>
      </c>
      <c r="W167" s="1747">
        <f t="shared" si="137"/>
        <v>0.3</v>
      </c>
      <c r="X167" s="1747">
        <f t="shared" si="138"/>
        <v>0.3</v>
      </c>
      <c r="Y167" s="1747">
        <f t="shared" si="139"/>
        <v>0.3</v>
      </c>
      <c r="Z167" s="1749">
        <f t="shared" si="140"/>
        <v>0.3</v>
      </c>
      <c r="AA167" s="1747">
        <f t="shared" si="141"/>
        <v>0.3</v>
      </c>
      <c r="AB167" s="1747">
        <f t="shared" si="142"/>
        <v>0.3</v>
      </c>
      <c r="AC167" s="1768">
        <f t="shared" si="143"/>
        <v>0</v>
      </c>
      <c r="AD167" s="1752">
        <f t="shared" si="144"/>
        <v>0</v>
      </c>
      <c r="AE167" s="1752">
        <f t="shared" si="145"/>
        <v>0</v>
      </c>
      <c r="AG167" s="1207" t="s">
        <v>1185</v>
      </c>
      <c r="AH167" s="1211" t="s">
        <v>129</v>
      </c>
      <c r="AI167" s="1208" t="s">
        <v>1077</v>
      </c>
      <c r="AJ167" s="1213">
        <v>0.3</v>
      </c>
      <c r="AK167" s="1213">
        <v>0.3</v>
      </c>
      <c r="AL167" s="1213">
        <v>0.3</v>
      </c>
      <c r="AM167" s="1213">
        <v>0.3</v>
      </c>
      <c r="AN167" s="1213">
        <v>0.3</v>
      </c>
      <c r="AO167" s="1213">
        <v>0.3</v>
      </c>
      <c r="AP167" s="1213">
        <v>0.3</v>
      </c>
      <c r="AQ167" s="1213">
        <v>0.3</v>
      </c>
      <c r="AR167" s="1213">
        <v>0.3</v>
      </c>
      <c r="AS167" s="1213">
        <v>0.3</v>
      </c>
      <c r="AT167" s="1273">
        <v>0</v>
      </c>
      <c r="AU167" s="1225">
        <v>0</v>
      </c>
      <c r="AV167" s="1225">
        <v>0</v>
      </c>
      <c r="AX167" s="1207" t="s">
        <v>1186</v>
      </c>
      <c r="AY167" s="1211" t="s">
        <v>129</v>
      </c>
      <c r="AZ167" s="1208" t="s">
        <v>1077</v>
      </c>
      <c r="BA167" s="1213">
        <v>0.3</v>
      </c>
      <c r="BB167" s="1213">
        <v>0.3</v>
      </c>
      <c r="BC167" s="1213">
        <v>0.3</v>
      </c>
      <c r="BD167" s="1213">
        <v>0.3</v>
      </c>
      <c r="BE167" s="1213">
        <v>0.3</v>
      </c>
      <c r="BF167" s="1213">
        <v>0.3</v>
      </c>
      <c r="BG167" s="1213">
        <v>0.3</v>
      </c>
      <c r="BH167" s="1213">
        <v>0.3</v>
      </c>
      <c r="BI167" s="1213">
        <v>0.3</v>
      </c>
      <c r="BJ167" s="1213">
        <v>0.3</v>
      </c>
      <c r="BK167" s="1273"/>
      <c r="BL167" s="1225"/>
      <c r="BM167" s="1225"/>
      <c r="BO167" s="1207" t="s">
        <v>1186</v>
      </c>
      <c r="BP167" s="1211" t="s">
        <v>129</v>
      </c>
      <c r="BQ167" s="1208" t="s">
        <v>1077</v>
      </c>
      <c r="BR167" s="1213">
        <v>0.3</v>
      </c>
      <c r="BS167" s="1213">
        <v>0.3</v>
      </c>
      <c r="BT167" s="1213">
        <v>0.3</v>
      </c>
      <c r="BU167" s="1213">
        <v>0.3</v>
      </c>
      <c r="BV167" s="1213">
        <v>0.3</v>
      </c>
      <c r="BW167" s="1213">
        <v>0.3</v>
      </c>
      <c r="BX167" s="1213">
        <v>0.3</v>
      </c>
      <c r="BY167" s="1213">
        <v>0.3</v>
      </c>
      <c r="BZ167" s="1213">
        <v>0.3</v>
      </c>
      <c r="CA167" s="1213">
        <v>0.3</v>
      </c>
      <c r="CB167" s="1273"/>
      <c r="CC167" s="1225"/>
      <c r="CD167" s="1225"/>
      <c r="CE167" s="1463"/>
      <c r="CG167" s="1207" t="s">
        <v>1168</v>
      </c>
      <c r="CH167" s="1211" t="s">
        <v>129</v>
      </c>
      <c r="CI167" s="1208" t="s">
        <v>1077</v>
      </c>
      <c r="CJ167" s="1689">
        <f t="shared" si="167"/>
        <v>0.3</v>
      </c>
      <c r="CK167" s="1689">
        <f t="shared" si="155"/>
        <v>0.3</v>
      </c>
      <c r="CL167" s="1689">
        <f t="shared" si="156"/>
        <v>0.3</v>
      </c>
      <c r="CM167" s="1689">
        <f t="shared" si="157"/>
        <v>0.3</v>
      </c>
      <c r="CN167" s="1689">
        <f t="shared" si="158"/>
        <v>0.3</v>
      </c>
      <c r="CO167" s="1689">
        <f t="shared" si="159"/>
        <v>0.3</v>
      </c>
      <c r="CP167" s="1689">
        <f t="shared" si="160"/>
        <v>0.3</v>
      </c>
      <c r="CQ167" s="1689">
        <f t="shared" si="161"/>
        <v>0.3</v>
      </c>
      <c r="CR167" s="1689">
        <f t="shared" si="162"/>
        <v>0.3</v>
      </c>
      <c r="CS167" s="1689">
        <f t="shared" si="163"/>
        <v>0.3</v>
      </c>
      <c r="CT167" s="1714">
        <f t="shared" si="164"/>
        <v>0</v>
      </c>
      <c r="CU167" s="1695">
        <f t="shared" si="165"/>
        <v>0</v>
      </c>
      <c r="CV167" s="1695">
        <f t="shared" si="166"/>
        <v>0</v>
      </c>
      <c r="CX167" s="1207" t="s">
        <v>1168</v>
      </c>
      <c r="CY167" s="1211" t="s">
        <v>129</v>
      </c>
      <c r="CZ167" s="1208" t="s">
        <v>1077</v>
      </c>
      <c r="DA167" s="1814">
        <v>0.6</v>
      </c>
      <c r="DB167" s="1678"/>
      <c r="DC167" s="1678"/>
      <c r="DD167" s="1678"/>
      <c r="DE167" s="1678"/>
      <c r="DF167" s="1678"/>
      <c r="DG167" s="1678"/>
      <c r="DH167" s="1678"/>
      <c r="DI167" s="1678"/>
      <c r="DJ167" s="1678"/>
      <c r="DK167" s="1812"/>
      <c r="DL167" s="1798"/>
      <c r="DM167" s="1798"/>
    </row>
    <row r="168" spans="2:117">
      <c r="B168" s="1186" t="str">
        <f t="shared" si="180"/>
        <v>3.2</v>
      </c>
      <c r="C168" s="1208" t="str">
        <f t="shared" si="147"/>
        <v>フロン・ハロンの回避</v>
      </c>
      <c r="D168" s="1205">
        <f>IF(I$166=0,0,G168/I$166)</f>
        <v>0.7</v>
      </c>
      <c r="E168" s="1206">
        <f>IF(J$166=0,0,H168/J$166)</f>
        <v>0</v>
      </c>
      <c r="G168" s="1206">
        <f t="shared" si="168"/>
        <v>0.7</v>
      </c>
      <c r="H168" s="1206">
        <f t="shared" si="169"/>
        <v>0</v>
      </c>
      <c r="I168" s="1206">
        <f>SUM(G169:G171)</f>
        <v>1</v>
      </c>
      <c r="J168" s="1206">
        <f>SUM(H169:H171)</f>
        <v>0</v>
      </c>
      <c r="K168" s="1206">
        <f>IF(スコア!Q168=0,0,1)</f>
        <v>1</v>
      </c>
      <c r="L168" s="1206">
        <f>IF(スコア!S168=0,0,1)</f>
        <v>0</v>
      </c>
      <c r="M168" s="1206">
        <f t="shared" si="170"/>
        <v>0.7</v>
      </c>
      <c r="N168" s="1206">
        <f t="shared" si="182"/>
        <v>0</v>
      </c>
      <c r="P168" s="1207" t="str">
        <f t="shared" si="149"/>
        <v>3.2</v>
      </c>
      <c r="Q168" s="1207" t="str">
        <f t="shared" si="150"/>
        <v>LR2 3</v>
      </c>
      <c r="R168" s="1208" t="str">
        <f t="shared" si="151"/>
        <v>フロン・ハロンの回避</v>
      </c>
      <c r="S168" s="1747">
        <f t="shared" si="133"/>
        <v>0.7</v>
      </c>
      <c r="T168" s="1747">
        <f t="shared" si="134"/>
        <v>0.7</v>
      </c>
      <c r="U168" s="1747">
        <f t="shared" si="135"/>
        <v>0.7</v>
      </c>
      <c r="V168" s="1747">
        <f t="shared" si="136"/>
        <v>0.7</v>
      </c>
      <c r="W168" s="1747">
        <f t="shared" si="137"/>
        <v>0.7</v>
      </c>
      <c r="X168" s="1747">
        <f t="shared" si="138"/>
        <v>0.7</v>
      </c>
      <c r="Y168" s="1747">
        <f t="shared" si="139"/>
        <v>0.7</v>
      </c>
      <c r="Z168" s="1749">
        <f t="shared" si="140"/>
        <v>0.7</v>
      </c>
      <c r="AA168" s="1747">
        <f t="shared" si="141"/>
        <v>0.7</v>
      </c>
      <c r="AB168" s="1747">
        <f t="shared" si="142"/>
        <v>0.7</v>
      </c>
      <c r="AC168" s="1768">
        <f t="shared" si="143"/>
        <v>0</v>
      </c>
      <c r="AD168" s="1752">
        <f t="shared" si="144"/>
        <v>0</v>
      </c>
      <c r="AE168" s="1752">
        <f t="shared" si="145"/>
        <v>0</v>
      </c>
      <c r="AG168" s="1207" t="s">
        <v>1187</v>
      </c>
      <c r="AH168" s="1211" t="s">
        <v>129</v>
      </c>
      <c r="AI168" s="1208" t="s">
        <v>130</v>
      </c>
      <c r="AJ168" s="1213">
        <v>0.7</v>
      </c>
      <c r="AK168" s="1213">
        <v>0.7</v>
      </c>
      <c r="AL168" s="1213">
        <v>0.7</v>
      </c>
      <c r="AM168" s="1213">
        <v>0.7</v>
      </c>
      <c r="AN168" s="1213">
        <v>0.7</v>
      </c>
      <c r="AO168" s="1213">
        <v>0.7</v>
      </c>
      <c r="AP168" s="1213">
        <v>0.7</v>
      </c>
      <c r="AQ168" s="1213">
        <v>0.7</v>
      </c>
      <c r="AR168" s="1213">
        <v>0.7</v>
      </c>
      <c r="AS168" s="1213">
        <v>0.7</v>
      </c>
      <c r="AT168" s="1273">
        <v>0</v>
      </c>
      <c r="AU168" s="1225">
        <v>0</v>
      </c>
      <c r="AV168" s="1225">
        <v>0</v>
      </c>
      <c r="AX168" s="1207" t="s">
        <v>1187</v>
      </c>
      <c r="AY168" s="1211" t="s">
        <v>129</v>
      </c>
      <c r="AZ168" s="1208" t="s">
        <v>130</v>
      </c>
      <c r="BA168" s="1213">
        <v>0.7</v>
      </c>
      <c r="BB168" s="1213">
        <v>0.7</v>
      </c>
      <c r="BC168" s="1213">
        <v>0.7</v>
      </c>
      <c r="BD168" s="1213">
        <v>0.7</v>
      </c>
      <c r="BE168" s="1213">
        <v>0.7</v>
      </c>
      <c r="BF168" s="1213">
        <v>0.7</v>
      </c>
      <c r="BG168" s="1213">
        <v>0.7</v>
      </c>
      <c r="BH168" s="1213">
        <v>0.7</v>
      </c>
      <c r="BI168" s="1213">
        <v>0.7</v>
      </c>
      <c r="BJ168" s="1213">
        <v>0.7</v>
      </c>
      <c r="BK168" s="1273"/>
      <c r="BL168" s="1225"/>
      <c r="BM168" s="1225"/>
      <c r="BO168" s="1207" t="s">
        <v>1187</v>
      </c>
      <c r="BP168" s="1211" t="s">
        <v>129</v>
      </c>
      <c r="BQ168" s="1208" t="s">
        <v>130</v>
      </c>
      <c r="BR168" s="1213">
        <v>0.7</v>
      </c>
      <c r="BS168" s="1213">
        <v>0.7</v>
      </c>
      <c r="BT168" s="1213">
        <v>0.7</v>
      </c>
      <c r="BU168" s="1213">
        <v>0.7</v>
      </c>
      <c r="BV168" s="1213">
        <v>0.7</v>
      </c>
      <c r="BW168" s="1213">
        <v>0.7</v>
      </c>
      <c r="BX168" s="1213">
        <v>0.7</v>
      </c>
      <c r="BY168" s="1213">
        <v>0.7</v>
      </c>
      <c r="BZ168" s="1213">
        <v>0.7</v>
      </c>
      <c r="CA168" s="1213">
        <v>0.7</v>
      </c>
      <c r="CB168" s="1273"/>
      <c r="CC168" s="1225"/>
      <c r="CD168" s="1225"/>
      <c r="CE168" s="1463"/>
      <c r="CG168" s="1207" t="s">
        <v>1170</v>
      </c>
      <c r="CH168" s="1211" t="s">
        <v>129</v>
      </c>
      <c r="CI168" s="1208" t="s">
        <v>130</v>
      </c>
      <c r="CJ168" s="1689">
        <f t="shared" si="167"/>
        <v>0.7</v>
      </c>
      <c r="CK168" s="1689">
        <f t="shared" si="155"/>
        <v>0.7</v>
      </c>
      <c r="CL168" s="1689">
        <f t="shared" si="156"/>
        <v>0.7</v>
      </c>
      <c r="CM168" s="1689">
        <f t="shared" si="157"/>
        <v>0.7</v>
      </c>
      <c r="CN168" s="1689">
        <f t="shared" si="158"/>
        <v>0.7</v>
      </c>
      <c r="CO168" s="1689">
        <f t="shared" si="159"/>
        <v>0.7</v>
      </c>
      <c r="CP168" s="1689">
        <f t="shared" si="160"/>
        <v>0.7</v>
      </c>
      <c r="CQ168" s="1689">
        <f t="shared" si="161"/>
        <v>0.7</v>
      </c>
      <c r="CR168" s="1689">
        <f t="shared" si="162"/>
        <v>0.7</v>
      </c>
      <c r="CS168" s="1689">
        <f t="shared" si="163"/>
        <v>0.7</v>
      </c>
      <c r="CT168" s="1714">
        <f t="shared" si="164"/>
        <v>0</v>
      </c>
      <c r="CU168" s="1695">
        <f t="shared" si="165"/>
        <v>0</v>
      </c>
      <c r="CV168" s="1695">
        <f t="shared" si="166"/>
        <v>0</v>
      </c>
      <c r="CX168" s="1207" t="s">
        <v>1170</v>
      </c>
      <c r="CY168" s="1211" t="s">
        <v>129</v>
      </c>
      <c r="CZ168" s="1208" t="s">
        <v>130</v>
      </c>
      <c r="DA168" s="1814">
        <v>0.4</v>
      </c>
      <c r="DB168" s="1678"/>
      <c r="DC168" s="1678"/>
      <c r="DD168" s="1678"/>
      <c r="DE168" s="1678"/>
      <c r="DF168" s="1678"/>
      <c r="DG168" s="1678"/>
      <c r="DH168" s="1678"/>
      <c r="DI168" s="1678"/>
      <c r="DJ168" s="1678"/>
      <c r="DK168" s="1812"/>
      <c r="DL168" s="1798"/>
      <c r="DM168" s="1798"/>
    </row>
    <row r="169" spans="2:117">
      <c r="B169" s="1186" t="str">
        <f t="shared" si="180"/>
        <v>3.2.1</v>
      </c>
      <c r="C169" s="1208" t="str">
        <f t="shared" si="147"/>
        <v>消火剤</v>
      </c>
      <c r="D169" s="1196">
        <f>IF(I$168&gt;0,G169/I$168,0)</f>
        <v>0.33333333333333331</v>
      </c>
      <c r="E169" s="1206">
        <f t="shared" ref="D169:E171" si="189">IF(J$168&gt;0,H169/J$168,0)</f>
        <v>0</v>
      </c>
      <c r="G169" s="1206">
        <f t="shared" si="168"/>
        <v>0.33333333333333331</v>
      </c>
      <c r="H169" s="1206">
        <f t="shared" si="169"/>
        <v>0</v>
      </c>
      <c r="I169" s="1206"/>
      <c r="J169" s="1206"/>
      <c r="K169" s="1206">
        <f>IF(スコア!Q169=0,0,1)</f>
        <v>1</v>
      </c>
      <c r="L169" s="1206">
        <f>IF(スコア!S169=0,0,1)</f>
        <v>0</v>
      </c>
      <c r="M169" s="1206">
        <f t="shared" si="170"/>
        <v>0.33333333333333331</v>
      </c>
      <c r="N169" s="1206">
        <f t="shared" si="182"/>
        <v>0</v>
      </c>
      <c r="P169" s="1207" t="str">
        <f t="shared" si="149"/>
        <v>3.2.1</v>
      </c>
      <c r="Q169" s="1207" t="str">
        <f t="shared" si="150"/>
        <v>LR2 3.2</v>
      </c>
      <c r="R169" s="1208" t="str">
        <f t="shared" si="151"/>
        <v>消火剤</v>
      </c>
      <c r="S169" s="1747">
        <f t="shared" si="133"/>
        <v>0.33333333333333331</v>
      </c>
      <c r="T169" s="1747">
        <f t="shared" si="134"/>
        <v>0.33333333333333331</v>
      </c>
      <c r="U169" s="1747">
        <f t="shared" si="135"/>
        <v>0.33333333333333331</v>
      </c>
      <c r="V169" s="1747">
        <f t="shared" si="136"/>
        <v>0.33333333333333331</v>
      </c>
      <c r="W169" s="1747">
        <f t="shared" si="137"/>
        <v>0.33333333333333331</v>
      </c>
      <c r="X169" s="1747">
        <f t="shared" si="138"/>
        <v>0.33333333333333331</v>
      </c>
      <c r="Y169" s="1747">
        <f t="shared" si="139"/>
        <v>0.33333333333333331</v>
      </c>
      <c r="Z169" s="1749">
        <f t="shared" si="140"/>
        <v>0.33333333333333331</v>
      </c>
      <c r="AA169" s="1747">
        <f t="shared" si="141"/>
        <v>0.33333333333333331</v>
      </c>
      <c r="AB169" s="1747">
        <f t="shared" si="142"/>
        <v>0.33333333333333331</v>
      </c>
      <c r="AC169" s="1768">
        <f t="shared" si="143"/>
        <v>0</v>
      </c>
      <c r="AD169" s="1752">
        <f t="shared" si="144"/>
        <v>0</v>
      </c>
      <c r="AE169" s="1752">
        <f t="shared" si="145"/>
        <v>0</v>
      </c>
      <c r="AG169" s="1207" t="s">
        <v>1188</v>
      </c>
      <c r="AH169" s="1211" t="s">
        <v>2109</v>
      </c>
      <c r="AI169" s="1208" t="s">
        <v>1189</v>
      </c>
      <c r="AJ169" s="1213">
        <v>0.33333333333333331</v>
      </c>
      <c r="AK169" s="1213">
        <v>0.33333333333333331</v>
      </c>
      <c r="AL169" s="1213">
        <v>0.33333333333333331</v>
      </c>
      <c r="AM169" s="1213">
        <v>0.33333333333333331</v>
      </c>
      <c r="AN169" s="1213">
        <v>0.33333333333333331</v>
      </c>
      <c r="AO169" s="1213">
        <v>0.33333333333333331</v>
      </c>
      <c r="AP169" s="1213">
        <v>0.33333333333333331</v>
      </c>
      <c r="AQ169" s="1213">
        <v>0.33333333333333331</v>
      </c>
      <c r="AR169" s="1213">
        <v>0.33333333333333331</v>
      </c>
      <c r="AS169" s="1213">
        <v>0.33333333333333331</v>
      </c>
      <c r="AT169" s="1273">
        <v>0</v>
      </c>
      <c r="AU169" s="1225">
        <v>0</v>
      </c>
      <c r="AV169" s="1225">
        <v>0</v>
      </c>
      <c r="AX169" s="1207" t="s">
        <v>1188</v>
      </c>
      <c r="AY169" s="1211" t="s">
        <v>2109</v>
      </c>
      <c r="AZ169" s="1208" t="s">
        <v>1189</v>
      </c>
      <c r="BA169" s="1213">
        <v>0.33333333333333331</v>
      </c>
      <c r="BB169" s="1213">
        <v>0.33333333333333331</v>
      </c>
      <c r="BC169" s="1213">
        <v>0.33333333333333331</v>
      </c>
      <c r="BD169" s="1213">
        <v>0.33333333333333331</v>
      </c>
      <c r="BE169" s="1213">
        <v>0.33333333333333331</v>
      </c>
      <c r="BF169" s="1213">
        <v>0.33333333333333331</v>
      </c>
      <c r="BG169" s="1213">
        <v>0.33333333333333331</v>
      </c>
      <c r="BH169" s="1213">
        <v>0.33333333333333331</v>
      </c>
      <c r="BI169" s="1213">
        <v>0.33333333333333331</v>
      </c>
      <c r="BJ169" s="1213">
        <v>0.33333333333333331</v>
      </c>
      <c r="BK169" s="1273"/>
      <c r="BL169" s="1225"/>
      <c r="BM169" s="1225"/>
      <c r="BO169" s="1207" t="s">
        <v>1188</v>
      </c>
      <c r="BP169" s="1211" t="s">
        <v>2109</v>
      </c>
      <c r="BQ169" s="1208" t="s">
        <v>1189</v>
      </c>
      <c r="BR169" s="1213">
        <v>0.33333333333333331</v>
      </c>
      <c r="BS169" s="1213">
        <v>0.33333333333333331</v>
      </c>
      <c r="BT169" s="1213">
        <v>0.33333333333333331</v>
      </c>
      <c r="BU169" s="1213">
        <v>0.33333333333333331</v>
      </c>
      <c r="BV169" s="1213">
        <v>0.33333333333333331</v>
      </c>
      <c r="BW169" s="1213">
        <v>0.33333333333333331</v>
      </c>
      <c r="BX169" s="1213">
        <v>0.33333333333333331</v>
      </c>
      <c r="BY169" s="1213">
        <v>0.33333333333333331</v>
      </c>
      <c r="BZ169" s="1213">
        <v>0.33333333333333331</v>
      </c>
      <c r="CA169" s="1213">
        <v>0.33333333333333331</v>
      </c>
      <c r="CB169" s="1273"/>
      <c r="CC169" s="1225"/>
      <c r="CD169" s="1225"/>
      <c r="CE169" s="1463"/>
      <c r="CG169" s="1207" t="s">
        <v>945</v>
      </c>
      <c r="CH169" s="1211" t="s">
        <v>2109</v>
      </c>
      <c r="CI169" s="1208" t="s">
        <v>1189</v>
      </c>
      <c r="CJ169" s="1689">
        <f t="shared" si="167"/>
        <v>0.33333333333333331</v>
      </c>
      <c r="CK169" s="1689">
        <f t="shared" si="155"/>
        <v>0.33333333333333331</v>
      </c>
      <c r="CL169" s="1689">
        <f t="shared" si="156"/>
        <v>0.33333333333333331</v>
      </c>
      <c r="CM169" s="1689">
        <f t="shared" si="157"/>
        <v>0.33333333333333331</v>
      </c>
      <c r="CN169" s="1689">
        <f t="shared" si="158"/>
        <v>0.33333333333333331</v>
      </c>
      <c r="CO169" s="1689">
        <f t="shared" si="159"/>
        <v>0.33333333333333331</v>
      </c>
      <c r="CP169" s="1689">
        <f t="shared" si="160"/>
        <v>0.33333333333333331</v>
      </c>
      <c r="CQ169" s="1689">
        <f t="shared" si="161"/>
        <v>0.33333333333333331</v>
      </c>
      <c r="CR169" s="1689">
        <f t="shared" si="162"/>
        <v>0.33333333333333331</v>
      </c>
      <c r="CS169" s="1689">
        <f t="shared" si="163"/>
        <v>0.33333333333333331</v>
      </c>
      <c r="CT169" s="1714">
        <f t="shared" si="164"/>
        <v>0</v>
      </c>
      <c r="CU169" s="1695">
        <f t="shared" si="165"/>
        <v>0</v>
      </c>
      <c r="CV169" s="1695">
        <f t="shared" si="166"/>
        <v>0</v>
      </c>
      <c r="CX169" s="1207" t="s">
        <v>945</v>
      </c>
      <c r="CY169" s="1211" t="s">
        <v>2109</v>
      </c>
      <c r="CZ169" s="1208" t="s">
        <v>1189</v>
      </c>
      <c r="DA169" s="1814">
        <v>0</v>
      </c>
      <c r="DB169" s="1678"/>
      <c r="DC169" s="1678"/>
      <c r="DD169" s="1678"/>
      <c r="DE169" s="1678"/>
      <c r="DF169" s="1678"/>
      <c r="DG169" s="1678"/>
      <c r="DH169" s="1678"/>
      <c r="DI169" s="1678"/>
      <c r="DJ169" s="1678"/>
      <c r="DK169" s="1812"/>
      <c r="DL169" s="1798"/>
      <c r="DM169" s="1798"/>
    </row>
    <row r="170" spans="2:117">
      <c r="B170" s="1186" t="str">
        <f t="shared" si="180"/>
        <v>3.2.2</v>
      </c>
      <c r="C170" s="1208" t="str">
        <f t="shared" si="147"/>
        <v>発泡剤（断熱材等）</v>
      </c>
      <c r="D170" s="1196">
        <f t="shared" si="189"/>
        <v>0.33333333333333331</v>
      </c>
      <c r="E170" s="1206">
        <f t="shared" si="189"/>
        <v>0</v>
      </c>
      <c r="G170" s="1206">
        <f t="shared" si="168"/>
        <v>0.33333333333333331</v>
      </c>
      <c r="H170" s="1206">
        <f t="shared" si="169"/>
        <v>0</v>
      </c>
      <c r="I170" s="1206"/>
      <c r="J170" s="1206"/>
      <c r="K170" s="1206">
        <f>IF(スコア!Q170=0,0,1)</f>
        <v>1</v>
      </c>
      <c r="L170" s="1206">
        <f>IF(スコア!S170=0,0,1)</f>
        <v>0</v>
      </c>
      <c r="M170" s="1206">
        <f t="shared" si="170"/>
        <v>0.33333333333333331</v>
      </c>
      <c r="N170" s="1206">
        <f t="shared" si="182"/>
        <v>0</v>
      </c>
      <c r="P170" s="1207" t="str">
        <f t="shared" si="149"/>
        <v>3.2.2</v>
      </c>
      <c r="Q170" s="1207" t="str">
        <f t="shared" si="150"/>
        <v>LR2 3.2</v>
      </c>
      <c r="R170" s="1208" t="str">
        <f t="shared" si="151"/>
        <v>発泡剤（断熱材等）</v>
      </c>
      <c r="S170" s="1747">
        <f t="shared" si="133"/>
        <v>0.33333333333333331</v>
      </c>
      <c r="T170" s="1747">
        <f t="shared" si="134"/>
        <v>0.33333333333333331</v>
      </c>
      <c r="U170" s="1747">
        <f t="shared" si="135"/>
        <v>0.33333333333333331</v>
      </c>
      <c r="V170" s="1747">
        <f t="shared" si="136"/>
        <v>0.33333333333333331</v>
      </c>
      <c r="W170" s="1747">
        <f t="shared" si="137"/>
        <v>0.33333333333333331</v>
      </c>
      <c r="X170" s="1747">
        <f t="shared" si="138"/>
        <v>0.33333333333333331</v>
      </c>
      <c r="Y170" s="1747">
        <f t="shared" si="139"/>
        <v>0.33333333333333331</v>
      </c>
      <c r="Z170" s="1749">
        <f t="shared" si="140"/>
        <v>0.33333333333333331</v>
      </c>
      <c r="AA170" s="1747">
        <f t="shared" si="141"/>
        <v>0.33333333333333331</v>
      </c>
      <c r="AB170" s="1747">
        <f t="shared" si="142"/>
        <v>0.33333333333333331</v>
      </c>
      <c r="AC170" s="1768">
        <f t="shared" si="143"/>
        <v>0</v>
      </c>
      <c r="AD170" s="1752">
        <f t="shared" si="144"/>
        <v>0</v>
      </c>
      <c r="AE170" s="1752">
        <f t="shared" si="145"/>
        <v>0</v>
      </c>
      <c r="AG170" s="1207" t="s">
        <v>1190</v>
      </c>
      <c r="AH170" s="1211" t="s">
        <v>2109</v>
      </c>
      <c r="AI170" s="1208" t="s">
        <v>2110</v>
      </c>
      <c r="AJ170" s="1213">
        <v>0.33333333333333331</v>
      </c>
      <c r="AK170" s="1213">
        <v>0.33333333333333331</v>
      </c>
      <c r="AL170" s="1213">
        <v>0.33333333333333331</v>
      </c>
      <c r="AM170" s="1213">
        <v>0.33333333333333331</v>
      </c>
      <c r="AN170" s="1213">
        <v>0.33333333333333331</v>
      </c>
      <c r="AO170" s="1213">
        <v>0.33333333333333331</v>
      </c>
      <c r="AP170" s="1213">
        <v>0.33333333333333331</v>
      </c>
      <c r="AQ170" s="1213">
        <v>0.33333333333333331</v>
      </c>
      <c r="AR170" s="1213">
        <v>0.33333333333333331</v>
      </c>
      <c r="AS170" s="1213">
        <v>0.33333333333333331</v>
      </c>
      <c r="AT170" s="1273">
        <v>0</v>
      </c>
      <c r="AU170" s="1225">
        <v>0</v>
      </c>
      <c r="AV170" s="1225">
        <v>0</v>
      </c>
      <c r="AX170" s="1207" t="s">
        <v>1190</v>
      </c>
      <c r="AY170" s="1211" t="s">
        <v>2109</v>
      </c>
      <c r="AZ170" s="1208" t="s">
        <v>2110</v>
      </c>
      <c r="BA170" s="1213">
        <v>0.33333333333333331</v>
      </c>
      <c r="BB170" s="1213">
        <v>0.33333333333333331</v>
      </c>
      <c r="BC170" s="1213">
        <v>0.33333333333333331</v>
      </c>
      <c r="BD170" s="1213">
        <v>0.33333333333333331</v>
      </c>
      <c r="BE170" s="1213">
        <v>0.33333333333333331</v>
      </c>
      <c r="BF170" s="1213">
        <v>0.33333333333333331</v>
      </c>
      <c r="BG170" s="1213">
        <v>0.33333333333333331</v>
      </c>
      <c r="BH170" s="1213">
        <v>0.33333333333333331</v>
      </c>
      <c r="BI170" s="1213">
        <v>0.33333333333333331</v>
      </c>
      <c r="BJ170" s="1213">
        <v>0.33333333333333331</v>
      </c>
      <c r="BK170" s="1273"/>
      <c r="BL170" s="1225"/>
      <c r="BM170" s="1225"/>
      <c r="BO170" s="1207" t="s">
        <v>1190</v>
      </c>
      <c r="BP170" s="1211" t="s">
        <v>2109</v>
      </c>
      <c r="BQ170" s="1208" t="s">
        <v>1191</v>
      </c>
      <c r="BR170" s="1213">
        <v>0.33333333333333331</v>
      </c>
      <c r="BS170" s="1213">
        <v>0.33333333333333331</v>
      </c>
      <c r="BT170" s="1213">
        <v>0.33333333333333331</v>
      </c>
      <c r="BU170" s="1213">
        <v>0.33333333333333331</v>
      </c>
      <c r="BV170" s="1213">
        <v>0.33333333333333331</v>
      </c>
      <c r="BW170" s="1213">
        <v>0.33333333333333331</v>
      </c>
      <c r="BX170" s="1213">
        <v>0.33333333333333331</v>
      </c>
      <c r="BY170" s="1213">
        <v>0.33333333333333331</v>
      </c>
      <c r="BZ170" s="1213">
        <v>0.33333333333333331</v>
      </c>
      <c r="CA170" s="1213">
        <v>0.33333333333333331</v>
      </c>
      <c r="CB170" s="1273"/>
      <c r="CC170" s="1225"/>
      <c r="CD170" s="1225"/>
      <c r="CE170" s="1463"/>
      <c r="CG170" s="1207" t="s">
        <v>946</v>
      </c>
      <c r="CH170" s="1211" t="s">
        <v>2109</v>
      </c>
      <c r="CI170" s="1208" t="s">
        <v>1191</v>
      </c>
      <c r="CJ170" s="1689">
        <f t="shared" si="167"/>
        <v>0.33333333333333331</v>
      </c>
      <c r="CK170" s="1689">
        <f t="shared" si="155"/>
        <v>0.33333333333333331</v>
      </c>
      <c r="CL170" s="1689">
        <f t="shared" si="156"/>
        <v>0.33333333333333331</v>
      </c>
      <c r="CM170" s="1689">
        <f t="shared" si="157"/>
        <v>0.33333333333333331</v>
      </c>
      <c r="CN170" s="1689">
        <f t="shared" si="158"/>
        <v>0.33333333333333331</v>
      </c>
      <c r="CO170" s="1689">
        <f t="shared" si="159"/>
        <v>0.33333333333333331</v>
      </c>
      <c r="CP170" s="1689">
        <f t="shared" si="160"/>
        <v>0.33333333333333331</v>
      </c>
      <c r="CQ170" s="1689">
        <f t="shared" si="161"/>
        <v>0.33333333333333331</v>
      </c>
      <c r="CR170" s="1689">
        <f t="shared" si="162"/>
        <v>0.33333333333333331</v>
      </c>
      <c r="CS170" s="1689">
        <f t="shared" si="163"/>
        <v>0.33333333333333331</v>
      </c>
      <c r="CT170" s="1714">
        <f t="shared" si="164"/>
        <v>0</v>
      </c>
      <c r="CU170" s="1695">
        <f t="shared" si="165"/>
        <v>0</v>
      </c>
      <c r="CV170" s="1695">
        <f t="shared" si="166"/>
        <v>0</v>
      </c>
      <c r="CX170" s="1207" t="s">
        <v>946</v>
      </c>
      <c r="CY170" s="1211" t="s">
        <v>2109</v>
      </c>
      <c r="CZ170" s="1208" t="s">
        <v>1191</v>
      </c>
      <c r="DA170" s="1814">
        <v>0</v>
      </c>
      <c r="DB170" s="1678"/>
      <c r="DC170" s="1678"/>
      <c r="DD170" s="1678"/>
      <c r="DE170" s="1678"/>
      <c r="DF170" s="1678"/>
      <c r="DG170" s="1678"/>
      <c r="DH170" s="1678"/>
      <c r="DI170" s="1678"/>
      <c r="DJ170" s="1678"/>
      <c r="DK170" s="1812"/>
      <c r="DL170" s="1798"/>
      <c r="DM170" s="1798"/>
    </row>
    <row r="171" spans="2:117">
      <c r="B171" s="1186" t="str">
        <f t="shared" si="180"/>
        <v>3.2.3</v>
      </c>
      <c r="C171" s="1208" t="str">
        <f t="shared" si="147"/>
        <v>冷媒</v>
      </c>
      <c r="D171" s="1196">
        <f>IF(I$168&gt;0,G171/I$168,0)</f>
        <v>0.33333333333333331</v>
      </c>
      <c r="E171" s="1206">
        <f t="shared" si="189"/>
        <v>0</v>
      </c>
      <c r="G171" s="1206">
        <f t="shared" si="168"/>
        <v>0.33333333333333331</v>
      </c>
      <c r="H171" s="1206">
        <f t="shared" si="169"/>
        <v>0</v>
      </c>
      <c r="I171" s="1206"/>
      <c r="J171" s="1206"/>
      <c r="K171" s="1206">
        <f>IF(スコア!Q171=0,0,1)</f>
        <v>1</v>
      </c>
      <c r="L171" s="1206">
        <f>IF(スコア!S171=0,0,1)</f>
        <v>0</v>
      </c>
      <c r="M171" s="1206">
        <f t="shared" si="170"/>
        <v>0.33333333333333331</v>
      </c>
      <c r="N171" s="1206">
        <f t="shared" si="182"/>
        <v>0</v>
      </c>
      <c r="P171" s="1207" t="str">
        <f t="shared" si="149"/>
        <v>3.2.3</v>
      </c>
      <c r="Q171" s="1207" t="str">
        <f t="shared" si="150"/>
        <v>LR2 3.2</v>
      </c>
      <c r="R171" s="1208" t="str">
        <f t="shared" si="151"/>
        <v>冷媒</v>
      </c>
      <c r="S171" s="1747">
        <f t="shared" si="133"/>
        <v>0.33333333333333331</v>
      </c>
      <c r="T171" s="1747">
        <f t="shared" si="134"/>
        <v>0.33333333333333331</v>
      </c>
      <c r="U171" s="1747">
        <f t="shared" si="135"/>
        <v>0.33333333333333331</v>
      </c>
      <c r="V171" s="1747">
        <f t="shared" si="136"/>
        <v>0.33333333333333331</v>
      </c>
      <c r="W171" s="1747">
        <f t="shared" si="137"/>
        <v>0.33333333333333331</v>
      </c>
      <c r="X171" s="1747">
        <f t="shared" si="138"/>
        <v>0.33333333333333331</v>
      </c>
      <c r="Y171" s="1747">
        <f t="shared" si="139"/>
        <v>0.33333333333333331</v>
      </c>
      <c r="Z171" s="1749">
        <f t="shared" si="140"/>
        <v>0.33333333333333331</v>
      </c>
      <c r="AA171" s="1747">
        <f t="shared" si="141"/>
        <v>0.33333333333333331</v>
      </c>
      <c r="AB171" s="1747">
        <f t="shared" si="142"/>
        <v>0.33333333333333331</v>
      </c>
      <c r="AC171" s="1768">
        <f t="shared" si="143"/>
        <v>0</v>
      </c>
      <c r="AD171" s="1752">
        <f t="shared" si="144"/>
        <v>0</v>
      </c>
      <c r="AE171" s="1752">
        <f t="shared" si="145"/>
        <v>0</v>
      </c>
      <c r="AG171" s="1207" t="s">
        <v>1410</v>
      </c>
      <c r="AH171" s="1211" t="s">
        <v>2109</v>
      </c>
      <c r="AI171" s="1208" t="s">
        <v>2111</v>
      </c>
      <c r="AJ171" s="1213">
        <v>0.33333333333333331</v>
      </c>
      <c r="AK171" s="1213">
        <v>0.33333333333333331</v>
      </c>
      <c r="AL171" s="1213">
        <v>0.33333333333333331</v>
      </c>
      <c r="AM171" s="1213">
        <v>0.33333333333333331</v>
      </c>
      <c r="AN171" s="1213">
        <v>0.33333333333333331</v>
      </c>
      <c r="AO171" s="1213">
        <v>0.33333333333333331</v>
      </c>
      <c r="AP171" s="1213">
        <v>0.33333333333333331</v>
      </c>
      <c r="AQ171" s="1213">
        <v>0.33333333333333331</v>
      </c>
      <c r="AR171" s="1213">
        <v>0.33333333333333331</v>
      </c>
      <c r="AS171" s="1213">
        <v>0.33333333333333331</v>
      </c>
      <c r="AT171" s="1273">
        <v>0</v>
      </c>
      <c r="AU171" s="1225">
        <v>0</v>
      </c>
      <c r="AV171" s="1225">
        <v>0</v>
      </c>
      <c r="AX171" s="1207" t="s">
        <v>1410</v>
      </c>
      <c r="AY171" s="1211" t="s">
        <v>2109</v>
      </c>
      <c r="AZ171" s="1208" t="s">
        <v>2111</v>
      </c>
      <c r="BA171" s="1213">
        <v>0.33333333333333331</v>
      </c>
      <c r="BB171" s="1213">
        <v>0.33333333333333331</v>
      </c>
      <c r="BC171" s="1213">
        <v>0.33333333333333331</v>
      </c>
      <c r="BD171" s="1213">
        <v>0.33333333333333331</v>
      </c>
      <c r="BE171" s="1213">
        <v>0.33333333333333331</v>
      </c>
      <c r="BF171" s="1213">
        <v>0.33333333333333331</v>
      </c>
      <c r="BG171" s="1213">
        <v>0.33333333333333331</v>
      </c>
      <c r="BH171" s="1213">
        <v>0.33333333333333331</v>
      </c>
      <c r="BI171" s="1213">
        <v>0.33333333333333331</v>
      </c>
      <c r="BJ171" s="1213">
        <v>0.33333333333333331</v>
      </c>
      <c r="BK171" s="1273"/>
      <c r="BL171" s="1225"/>
      <c r="BM171" s="1225"/>
      <c r="BO171" s="1207" t="s">
        <v>1410</v>
      </c>
      <c r="BP171" s="1211" t="s">
        <v>2109</v>
      </c>
      <c r="BQ171" s="1208" t="s">
        <v>2111</v>
      </c>
      <c r="BR171" s="1213">
        <v>0.33333333333333331</v>
      </c>
      <c r="BS171" s="1213">
        <v>0.33333333333333331</v>
      </c>
      <c r="BT171" s="1213">
        <v>0.33333333333333331</v>
      </c>
      <c r="BU171" s="1213">
        <v>0.33333333333333331</v>
      </c>
      <c r="BV171" s="1213">
        <v>0.33333333333333331</v>
      </c>
      <c r="BW171" s="1213">
        <v>0.33333333333333331</v>
      </c>
      <c r="BX171" s="1213">
        <v>0.33333333333333331</v>
      </c>
      <c r="BY171" s="1213">
        <v>0.33333333333333331</v>
      </c>
      <c r="BZ171" s="1213">
        <v>0.33333333333333331</v>
      </c>
      <c r="CA171" s="1213">
        <v>0.33333333333333331</v>
      </c>
      <c r="CB171" s="1273"/>
      <c r="CC171" s="1225"/>
      <c r="CD171" s="1225"/>
      <c r="CE171" s="1463"/>
      <c r="CG171" s="1207" t="s">
        <v>947</v>
      </c>
      <c r="CH171" s="1211" t="s">
        <v>2109</v>
      </c>
      <c r="CI171" s="1208" t="s">
        <v>2111</v>
      </c>
      <c r="CJ171" s="1689">
        <f t="shared" si="167"/>
        <v>0.33333333333333331</v>
      </c>
      <c r="CK171" s="1689">
        <f t="shared" si="155"/>
        <v>0.33333333333333331</v>
      </c>
      <c r="CL171" s="1689">
        <f t="shared" si="156"/>
        <v>0.33333333333333331</v>
      </c>
      <c r="CM171" s="1689">
        <f t="shared" si="157"/>
        <v>0.33333333333333331</v>
      </c>
      <c r="CN171" s="1689">
        <f t="shared" si="158"/>
        <v>0.33333333333333331</v>
      </c>
      <c r="CO171" s="1689">
        <f t="shared" si="159"/>
        <v>0.33333333333333331</v>
      </c>
      <c r="CP171" s="1689">
        <f t="shared" si="160"/>
        <v>0.33333333333333331</v>
      </c>
      <c r="CQ171" s="1689">
        <f t="shared" si="161"/>
        <v>0.33333333333333331</v>
      </c>
      <c r="CR171" s="1689">
        <f t="shared" si="162"/>
        <v>0.33333333333333331</v>
      </c>
      <c r="CS171" s="1689">
        <f t="shared" si="163"/>
        <v>0.33333333333333331</v>
      </c>
      <c r="CT171" s="1714">
        <f t="shared" si="164"/>
        <v>0</v>
      </c>
      <c r="CU171" s="1695">
        <f t="shared" si="165"/>
        <v>0</v>
      </c>
      <c r="CV171" s="1695">
        <f t="shared" si="166"/>
        <v>0</v>
      </c>
      <c r="CX171" s="1207" t="s">
        <v>947</v>
      </c>
      <c r="CY171" s="1211" t="s">
        <v>2109</v>
      </c>
      <c r="CZ171" s="1208" t="s">
        <v>2111</v>
      </c>
      <c r="DA171" s="1814">
        <v>1</v>
      </c>
      <c r="DB171" s="1678"/>
      <c r="DC171" s="1678"/>
      <c r="DD171" s="1678"/>
      <c r="DE171" s="1678"/>
      <c r="DF171" s="1678"/>
      <c r="DG171" s="1678"/>
      <c r="DH171" s="1678"/>
      <c r="DI171" s="1678"/>
      <c r="DJ171" s="1678"/>
      <c r="DK171" s="1812"/>
      <c r="DL171" s="1798"/>
      <c r="DM171" s="1798"/>
    </row>
    <row r="172" spans="2:117">
      <c r="B172" s="1186" t="str">
        <f t="shared" si="180"/>
        <v>LR3</v>
      </c>
      <c r="C172" s="1189" t="str">
        <f t="shared" si="147"/>
        <v>敷地外環境</v>
      </c>
      <c r="D172" s="1261" t="e">
        <f>IF(I$121=0,0,G172/I$121)</f>
        <v>#VALUE!</v>
      </c>
      <c r="E172" s="1188">
        <f>IF(J$121=0,0,H172/J$121)</f>
        <v>0</v>
      </c>
      <c r="G172" s="1188" t="e">
        <f t="shared" si="168"/>
        <v>#VALUE!</v>
      </c>
      <c r="H172" s="1188">
        <f t="shared" si="169"/>
        <v>0</v>
      </c>
      <c r="I172" s="1188" t="e">
        <f>G173+G174+G183</f>
        <v>#VALUE!</v>
      </c>
      <c r="J172" s="1188">
        <f>H173+H174+H183</f>
        <v>0</v>
      </c>
      <c r="K172" s="1188" t="e">
        <f>IF(スコア!U172=0,0,1)</f>
        <v>#VALUE!</v>
      </c>
      <c r="L172" s="1188">
        <f>IF(スコア!S172=0,0,1)</f>
        <v>0</v>
      </c>
      <c r="M172" s="1188">
        <f t="shared" si="170"/>
        <v>0.3</v>
      </c>
      <c r="N172" s="1188">
        <f t="shared" si="182"/>
        <v>0</v>
      </c>
      <c r="P172" s="1266" t="str">
        <f t="shared" si="149"/>
        <v>LR3</v>
      </c>
      <c r="Q172" s="1266" t="str">
        <f t="shared" si="150"/>
        <v>LR</v>
      </c>
      <c r="R172" s="1189" t="str">
        <f t="shared" si="151"/>
        <v>敷地外環境</v>
      </c>
      <c r="S172" s="1741">
        <f t="shared" si="133"/>
        <v>0.3</v>
      </c>
      <c r="T172" s="1741">
        <f t="shared" si="134"/>
        <v>0.3</v>
      </c>
      <c r="U172" s="1741">
        <f t="shared" si="135"/>
        <v>0.3</v>
      </c>
      <c r="V172" s="1741">
        <f t="shared" si="136"/>
        <v>0.3</v>
      </c>
      <c r="W172" s="1741">
        <f t="shared" si="137"/>
        <v>0.3</v>
      </c>
      <c r="X172" s="1741">
        <f t="shared" si="138"/>
        <v>0.3</v>
      </c>
      <c r="Y172" s="1741">
        <f t="shared" si="139"/>
        <v>0.3</v>
      </c>
      <c r="Z172" s="1741">
        <f t="shared" si="140"/>
        <v>0.3</v>
      </c>
      <c r="AA172" s="1741">
        <f t="shared" si="141"/>
        <v>0.3</v>
      </c>
      <c r="AB172" s="1741">
        <f t="shared" si="142"/>
        <v>0.3</v>
      </c>
      <c r="AC172" s="1764">
        <f t="shared" si="143"/>
        <v>0</v>
      </c>
      <c r="AD172" s="1765">
        <f t="shared" si="144"/>
        <v>0</v>
      </c>
      <c r="AE172" s="1765">
        <f t="shared" si="145"/>
        <v>0</v>
      </c>
      <c r="AG172" s="1266" t="s">
        <v>1411</v>
      </c>
      <c r="AH172" s="1267" t="s">
        <v>1412</v>
      </c>
      <c r="AI172" s="1189" t="s">
        <v>1413</v>
      </c>
      <c r="AJ172" s="1192">
        <v>0.3</v>
      </c>
      <c r="AK172" s="1192">
        <v>0.3</v>
      </c>
      <c r="AL172" s="1192">
        <v>0.3</v>
      </c>
      <c r="AM172" s="1192">
        <v>0.3</v>
      </c>
      <c r="AN172" s="1192">
        <v>0.3</v>
      </c>
      <c r="AO172" s="1192">
        <v>0.3</v>
      </c>
      <c r="AP172" s="1192">
        <v>0.3</v>
      </c>
      <c r="AQ172" s="1192">
        <v>0.3</v>
      </c>
      <c r="AR172" s="1192">
        <v>0.3</v>
      </c>
      <c r="AS172" s="1192">
        <v>0.3</v>
      </c>
      <c r="AT172" s="1269">
        <v>0</v>
      </c>
      <c r="AU172" s="1270">
        <v>0</v>
      </c>
      <c r="AV172" s="1270">
        <v>0</v>
      </c>
      <c r="AX172" s="1266" t="s">
        <v>1411</v>
      </c>
      <c r="AY172" s="1267" t="s">
        <v>1412</v>
      </c>
      <c r="AZ172" s="1189" t="s">
        <v>1413</v>
      </c>
      <c r="BA172" s="1192">
        <v>0.3</v>
      </c>
      <c r="BB172" s="1192">
        <v>0.3</v>
      </c>
      <c r="BC172" s="1192">
        <v>0.3</v>
      </c>
      <c r="BD172" s="1192">
        <v>0.3</v>
      </c>
      <c r="BE172" s="1192">
        <v>0.3</v>
      </c>
      <c r="BF172" s="1192">
        <v>0.3</v>
      </c>
      <c r="BG172" s="1192">
        <v>0.3</v>
      </c>
      <c r="BH172" s="1192">
        <v>0.3</v>
      </c>
      <c r="BI172" s="1192">
        <v>0.3</v>
      </c>
      <c r="BJ172" s="1192">
        <v>0.3</v>
      </c>
      <c r="BK172" s="1269"/>
      <c r="BL172" s="1270"/>
      <c r="BM172" s="1270"/>
      <c r="BO172" s="1266" t="s">
        <v>1411</v>
      </c>
      <c r="BP172" s="1267" t="s">
        <v>1412</v>
      </c>
      <c r="BQ172" s="1189" t="s">
        <v>1413</v>
      </c>
      <c r="BR172" s="1192">
        <v>0.3</v>
      </c>
      <c r="BS172" s="1192">
        <v>0.3</v>
      </c>
      <c r="BT172" s="1192">
        <v>0.3</v>
      </c>
      <c r="BU172" s="1192">
        <v>0.3</v>
      </c>
      <c r="BV172" s="1192">
        <v>0.3</v>
      </c>
      <c r="BW172" s="1192">
        <v>0.3</v>
      </c>
      <c r="BX172" s="1192">
        <v>0.3</v>
      </c>
      <c r="BY172" s="1192">
        <v>0.3</v>
      </c>
      <c r="BZ172" s="1192">
        <v>0.3</v>
      </c>
      <c r="CA172" s="1192">
        <v>0.3</v>
      </c>
      <c r="CB172" s="1269"/>
      <c r="CC172" s="1270"/>
      <c r="CD172" s="1270"/>
      <c r="CE172" s="1473"/>
      <c r="CG172" s="1266" t="s">
        <v>1411</v>
      </c>
      <c r="CH172" s="1267" t="s">
        <v>1175</v>
      </c>
      <c r="CI172" s="1189" t="s">
        <v>1413</v>
      </c>
      <c r="CJ172" s="1684">
        <f>BR172</f>
        <v>0.3</v>
      </c>
      <c r="CK172" s="1684">
        <f t="shared" si="155"/>
        <v>0.3</v>
      </c>
      <c r="CL172" s="1684">
        <f t="shared" si="156"/>
        <v>0.3</v>
      </c>
      <c r="CM172" s="1684">
        <f t="shared" si="157"/>
        <v>0.3</v>
      </c>
      <c r="CN172" s="1684">
        <f t="shared" si="158"/>
        <v>0.3</v>
      </c>
      <c r="CO172" s="1684">
        <f t="shared" si="159"/>
        <v>0.3</v>
      </c>
      <c r="CP172" s="1684">
        <f t="shared" si="160"/>
        <v>0.3</v>
      </c>
      <c r="CQ172" s="1684">
        <f t="shared" si="161"/>
        <v>0.3</v>
      </c>
      <c r="CR172" s="1684">
        <f t="shared" si="162"/>
        <v>0.3</v>
      </c>
      <c r="CS172" s="1684">
        <f t="shared" si="163"/>
        <v>0.3</v>
      </c>
      <c r="CT172" s="1710">
        <f t="shared" si="164"/>
        <v>0</v>
      </c>
      <c r="CU172" s="1711">
        <f t="shared" si="165"/>
        <v>0</v>
      </c>
      <c r="CV172" s="1711">
        <f t="shared" si="166"/>
        <v>0</v>
      </c>
      <c r="CX172" s="1266" t="s">
        <v>1411</v>
      </c>
      <c r="CY172" s="1267" t="s">
        <v>1175</v>
      </c>
      <c r="CZ172" s="1189" t="s">
        <v>1413</v>
      </c>
      <c r="DA172" s="1813">
        <v>0.1</v>
      </c>
      <c r="DB172" s="1674"/>
      <c r="DC172" s="1674"/>
      <c r="DD172" s="1674"/>
      <c r="DE172" s="1674"/>
      <c r="DF172" s="1674"/>
      <c r="DG172" s="1674"/>
      <c r="DH172" s="1674"/>
      <c r="DI172" s="1674"/>
      <c r="DJ172" s="1674"/>
      <c r="DK172" s="1682"/>
      <c r="DL172" s="1683"/>
      <c r="DM172" s="1683"/>
    </row>
    <row r="173" spans="2:117">
      <c r="B173" s="1191">
        <f t="shared" si="180"/>
        <v>1</v>
      </c>
      <c r="C173" s="1198" t="str">
        <f t="shared" si="147"/>
        <v>地球温暖化への配慮</v>
      </c>
      <c r="D173" s="1194" t="e">
        <f>IF(I$172=0,0,G173/I$172)</f>
        <v>#VALUE!</v>
      </c>
      <c r="E173" s="1194">
        <f>IF(J$172=0,0,H173/J$172)</f>
        <v>0</v>
      </c>
      <c r="G173" s="1195" t="e">
        <f t="shared" si="168"/>
        <v>#VALUE!</v>
      </c>
      <c r="H173" s="1195">
        <f t="shared" si="169"/>
        <v>0</v>
      </c>
      <c r="I173" s="1195"/>
      <c r="J173" s="1195"/>
      <c r="K173" s="1195" t="e">
        <f>IF(スコア!Q173=0,0,1)</f>
        <v>#VALUE!</v>
      </c>
      <c r="L173" s="1195">
        <f>IF(スコア!S173=0,0,1)</f>
        <v>0</v>
      </c>
      <c r="M173" s="1195">
        <f t="shared" si="170"/>
        <v>0.33333333333333331</v>
      </c>
      <c r="N173" s="1195">
        <f t="shared" si="182"/>
        <v>0</v>
      </c>
      <c r="P173" s="1275">
        <f t="shared" si="149"/>
        <v>1</v>
      </c>
      <c r="Q173" s="1201" t="str">
        <f t="shared" si="150"/>
        <v>LR3</v>
      </c>
      <c r="R173" s="1198" t="str">
        <f t="shared" si="151"/>
        <v>地球温暖化への配慮</v>
      </c>
      <c r="S173" s="1744">
        <f t="shared" si="133"/>
        <v>0.33333333333333331</v>
      </c>
      <c r="T173" s="1744">
        <f t="shared" si="134"/>
        <v>0.33333333333333331</v>
      </c>
      <c r="U173" s="1744">
        <f t="shared" si="135"/>
        <v>0.33333333333333331</v>
      </c>
      <c r="V173" s="1744">
        <f t="shared" si="136"/>
        <v>0.33333333333333331</v>
      </c>
      <c r="W173" s="1744">
        <f t="shared" si="137"/>
        <v>0.33333333333333331</v>
      </c>
      <c r="X173" s="1744">
        <f t="shared" si="138"/>
        <v>0.33333333333333331</v>
      </c>
      <c r="Y173" s="1744">
        <f t="shared" si="139"/>
        <v>0.33333333333333331</v>
      </c>
      <c r="Z173" s="1744">
        <f t="shared" si="140"/>
        <v>0.33333333333333331</v>
      </c>
      <c r="AA173" s="1744">
        <f t="shared" si="141"/>
        <v>0.33333333333333331</v>
      </c>
      <c r="AB173" s="1744">
        <f t="shared" si="142"/>
        <v>0.33333333333333331</v>
      </c>
      <c r="AC173" s="1746">
        <f t="shared" si="143"/>
        <v>0</v>
      </c>
      <c r="AD173" s="1744">
        <f t="shared" si="144"/>
        <v>0</v>
      </c>
      <c r="AE173" s="1744">
        <f t="shared" si="145"/>
        <v>0</v>
      </c>
      <c r="AG173" s="1197">
        <v>1</v>
      </c>
      <c r="AH173" s="1201" t="s">
        <v>1322</v>
      </c>
      <c r="AI173" s="1198" t="s">
        <v>552</v>
      </c>
      <c r="AJ173" s="1202">
        <v>0.33333333333333331</v>
      </c>
      <c r="AK173" s="1202">
        <v>0.33333333333333331</v>
      </c>
      <c r="AL173" s="1202">
        <v>0.33333333333333331</v>
      </c>
      <c r="AM173" s="1202">
        <v>0.33333333333333331</v>
      </c>
      <c r="AN173" s="1202">
        <v>0.33333333333333331</v>
      </c>
      <c r="AO173" s="1202">
        <v>0.33333333333333331</v>
      </c>
      <c r="AP173" s="1202">
        <v>0.33333333333333331</v>
      </c>
      <c r="AQ173" s="1202">
        <v>0.33333333333333331</v>
      </c>
      <c r="AR173" s="1202">
        <v>0.33333333333333331</v>
      </c>
      <c r="AS173" s="1202">
        <v>0.33333333333333331</v>
      </c>
      <c r="AT173" s="1203">
        <v>0</v>
      </c>
      <c r="AU173" s="1202">
        <v>0</v>
      </c>
      <c r="AV173" s="1202">
        <v>0</v>
      </c>
      <c r="AX173" s="1197">
        <v>1</v>
      </c>
      <c r="AY173" s="1201" t="s">
        <v>1322</v>
      </c>
      <c r="AZ173" s="1198" t="s">
        <v>552</v>
      </c>
      <c r="BA173" s="1202">
        <f t="shared" ref="BA173:BJ174" si="190">1/3</f>
        <v>0.33333333333333331</v>
      </c>
      <c r="BB173" s="1202">
        <f t="shared" si="190"/>
        <v>0.33333333333333331</v>
      </c>
      <c r="BC173" s="1202">
        <f t="shared" si="190"/>
        <v>0.33333333333333331</v>
      </c>
      <c r="BD173" s="1202">
        <f t="shared" si="190"/>
        <v>0.33333333333333331</v>
      </c>
      <c r="BE173" s="1202">
        <f t="shared" si="190"/>
        <v>0.33333333333333331</v>
      </c>
      <c r="BF173" s="1202">
        <f t="shared" si="190"/>
        <v>0.33333333333333331</v>
      </c>
      <c r="BG173" s="1202">
        <f t="shared" si="190"/>
        <v>0.33333333333333331</v>
      </c>
      <c r="BH173" s="1202">
        <f t="shared" si="190"/>
        <v>0.33333333333333331</v>
      </c>
      <c r="BI173" s="1202">
        <f t="shared" si="190"/>
        <v>0.33333333333333331</v>
      </c>
      <c r="BJ173" s="1202">
        <f t="shared" si="190"/>
        <v>0.33333333333333331</v>
      </c>
      <c r="BK173" s="1203"/>
      <c r="BL173" s="1202"/>
      <c r="BM173" s="1202"/>
      <c r="BO173" s="1197">
        <v>1</v>
      </c>
      <c r="BP173" s="1201" t="s">
        <v>1322</v>
      </c>
      <c r="BQ173" s="1198" t="s">
        <v>552</v>
      </c>
      <c r="BR173" s="1202">
        <f t="shared" ref="BR173:CA174" si="191">1/3</f>
        <v>0.33333333333333331</v>
      </c>
      <c r="BS173" s="1202">
        <f t="shared" si="191"/>
        <v>0.33333333333333331</v>
      </c>
      <c r="BT173" s="1202">
        <f t="shared" si="191"/>
        <v>0.33333333333333331</v>
      </c>
      <c r="BU173" s="1202">
        <f t="shared" si="191"/>
        <v>0.33333333333333331</v>
      </c>
      <c r="BV173" s="1202">
        <f t="shared" si="191"/>
        <v>0.33333333333333331</v>
      </c>
      <c r="BW173" s="1202">
        <f t="shared" si="191"/>
        <v>0.33333333333333331</v>
      </c>
      <c r="BX173" s="1202">
        <f t="shared" si="191"/>
        <v>0.33333333333333331</v>
      </c>
      <c r="BY173" s="1202">
        <f t="shared" si="191"/>
        <v>0.33333333333333331</v>
      </c>
      <c r="BZ173" s="1202">
        <f t="shared" si="191"/>
        <v>0.33333333333333331</v>
      </c>
      <c r="CA173" s="1202">
        <f t="shared" si="191"/>
        <v>0.33333333333333331</v>
      </c>
      <c r="CB173" s="1203"/>
      <c r="CC173" s="1202"/>
      <c r="CD173" s="1202"/>
      <c r="CE173" s="1468"/>
      <c r="CG173" s="1197">
        <v>1</v>
      </c>
      <c r="CH173" s="1201" t="s">
        <v>1322</v>
      </c>
      <c r="CI173" s="1198" t="s">
        <v>552</v>
      </c>
      <c r="CJ173" s="1686">
        <f t="shared" si="167"/>
        <v>0.33333333333333331</v>
      </c>
      <c r="CK173" s="1686">
        <f t="shared" si="155"/>
        <v>0.33333333333333331</v>
      </c>
      <c r="CL173" s="1686">
        <f t="shared" si="156"/>
        <v>0.33333333333333331</v>
      </c>
      <c r="CM173" s="1686">
        <f t="shared" si="157"/>
        <v>0.33333333333333331</v>
      </c>
      <c r="CN173" s="1686">
        <f t="shared" si="158"/>
        <v>0.33333333333333331</v>
      </c>
      <c r="CO173" s="1686">
        <f t="shared" si="159"/>
        <v>0.33333333333333331</v>
      </c>
      <c r="CP173" s="1686">
        <f t="shared" si="160"/>
        <v>0.33333333333333331</v>
      </c>
      <c r="CQ173" s="1686">
        <f t="shared" si="161"/>
        <v>0.33333333333333331</v>
      </c>
      <c r="CR173" s="1686">
        <f t="shared" si="162"/>
        <v>0.33333333333333331</v>
      </c>
      <c r="CS173" s="1686">
        <f t="shared" si="163"/>
        <v>0.33333333333333331</v>
      </c>
      <c r="CT173" s="1688">
        <f t="shared" si="164"/>
        <v>0</v>
      </c>
      <c r="CU173" s="1686">
        <f t="shared" si="165"/>
        <v>0</v>
      </c>
      <c r="CV173" s="1686">
        <f t="shared" si="166"/>
        <v>0</v>
      </c>
      <c r="CX173" s="1197">
        <v>1</v>
      </c>
      <c r="CY173" s="1201" t="s">
        <v>1322</v>
      </c>
      <c r="CZ173" s="1198" t="s">
        <v>552</v>
      </c>
      <c r="DA173" s="1821">
        <v>0</v>
      </c>
      <c r="DB173" s="1676"/>
      <c r="DC173" s="1676"/>
      <c r="DD173" s="1676"/>
      <c r="DE173" s="1676"/>
      <c r="DF173" s="1676"/>
      <c r="DG173" s="1676"/>
      <c r="DH173" s="1676"/>
      <c r="DI173" s="1676"/>
      <c r="DJ173" s="1676"/>
      <c r="DK173" s="1677"/>
      <c r="DL173" s="1676"/>
      <c r="DM173" s="1676"/>
    </row>
    <row r="174" spans="2:117">
      <c r="B174" s="1186">
        <f t="shared" si="180"/>
        <v>2</v>
      </c>
      <c r="C174" s="1198" t="str">
        <f t="shared" si="147"/>
        <v>地域環境への配慮</v>
      </c>
      <c r="D174" s="1194" t="e">
        <f>IF(I$172=0,0,G174/I$172)</f>
        <v>#VALUE!</v>
      </c>
      <c r="E174" s="1194">
        <f>IF(J$172=0,0,H174/J$172)</f>
        <v>0</v>
      </c>
      <c r="G174" s="1195">
        <f t="shared" si="168"/>
        <v>0.33333333333333331</v>
      </c>
      <c r="H174" s="1195">
        <f t="shared" si="169"/>
        <v>0</v>
      </c>
      <c r="I174" s="1195">
        <f>G175+G176+G177+G182</f>
        <v>1</v>
      </c>
      <c r="J174" s="1195">
        <f>H175+H176+H177+H182</f>
        <v>0</v>
      </c>
      <c r="K174" s="1195">
        <f>IF(スコア!Q174=0,0,1)</f>
        <v>1</v>
      </c>
      <c r="L174" s="1195">
        <f>IF(スコア!S174=0,0,1)</f>
        <v>0</v>
      </c>
      <c r="M174" s="1195">
        <f t="shared" si="170"/>
        <v>0.33333333333333331</v>
      </c>
      <c r="N174" s="1195">
        <f t="shared" si="182"/>
        <v>0</v>
      </c>
      <c r="P174" s="1275">
        <f t="shared" si="149"/>
        <v>2</v>
      </c>
      <c r="Q174" s="1201" t="str">
        <f t="shared" si="150"/>
        <v>LR3</v>
      </c>
      <c r="R174" s="1198" t="str">
        <f t="shared" si="151"/>
        <v>地域環境への配慮</v>
      </c>
      <c r="S174" s="1744">
        <f t="shared" si="133"/>
        <v>0.33333333333333331</v>
      </c>
      <c r="T174" s="1744">
        <f t="shared" si="134"/>
        <v>0.33333333333333331</v>
      </c>
      <c r="U174" s="1744">
        <f t="shared" si="135"/>
        <v>0.33333333333333331</v>
      </c>
      <c r="V174" s="1744">
        <f t="shared" si="136"/>
        <v>0.33333333333333331</v>
      </c>
      <c r="W174" s="1744">
        <f t="shared" si="137"/>
        <v>0.33333333333333331</v>
      </c>
      <c r="X174" s="1744">
        <f t="shared" si="138"/>
        <v>0.33333333333333331</v>
      </c>
      <c r="Y174" s="1744">
        <f t="shared" si="139"/>
        <v>0.33333333333333331</v>
      </c>
      <c r="Z174" s="1744">
        <f t="shared" si="140"/>
        <v>0.33333333333333331</v>
      </c>
      <c r="AA174" s="1744">
        <f t="shared" si="141"/>
        <v>0.33333333333333331</v>
      </c>
      <c r="AB174" s="1744">
        <f t="shared" si="142"/>
        <v>0.33333333333333331</v>
      </c>
      <c r="AC174" s="1746">
        <f t="shared" si="143"/>
        <v>0</v>
      </c>
      <c r="AD174" s="1744">
        <f t="shared" si="144"/>
        <v>0</v>
      </c>
      <c r="AE174" s="1744">
        <f t="shared" si="145"/>
        <v>0</v>
      </c>
      <c r="AG174" s="1197">
        <v>2</v>
      </c>
      <c r="AH174" s="1201" t="s">
        <v>1322</v>
      </c>
      <c r="AI174" s="1198" t="s">
        <v>553</v>
      </c>
      <c r="AJ174" s="1202">
        <v>0.33333333333333331</v>
      </c>
      <c r="AK174" s="1202">
        <v>0.33333333333333331</v>
      </c>
      <c r="AL174" s="1202">
        <v>0.33333333333333331</v>
      </c>
      <c r="AM174" s="1202">
        <v>0.33333333333333331</v>
      </c>
      <c r="AN174" s="1202">
        <v>0.33333333333333331</v>
      </c>
      <c r="AO174" s="1202">
        <v>0.33333333333333331</v>
      </c>
      <c r="AP174" s="1202">
        <v>0.33333333333333331</v>
      </c>
      <c r="AQ174" s="1202">
        <v>0.33333333333333331</v>
      </c>
      <c r="AR174" s="1202">
        <v>0.33333333333333331</v>
      </c>
      <c r="AS174" s="1202">
        <v>0.33333333333333331</v>
      </c>
      <c r="AT174" s="1203">
        <v>0</v>
      </c>
      <c r="AU174" s="1202">
        <v>0</v>
      </c>
      <c r="AV174" s="1202">
        <v>0</v>
      </c>
      <c r="AX174" s="1197">
        <v>2</v>
      </c>
      <c r="AY174" s="1201" t="s">
        <v>1322</v>
      </c>
      <c r="AZ174" s="1198" t="s">
        <v>553</v>
      </c>
      <c r="BA174" s="1202">
        <f t="shared" si="190"/>
        <v>0.33333333333333331</v>
      </c>
      <c r="BB174" s="1202">
        <f t="shared" si="190"/>
        <v>0.33333333333333331</v>
      </c>
      <c r="BC174" s="1202">
        <f t="shared" si="190"/>
        <v>0.33333333333333331</v>
      </c>
      <c r="BD174" s="1202">
        <f t="shared" si="190"/>
        <v>0.33333333333333331</v>
      </c>
      <c r="BE174" s="1202">
        <f t="shared" si="190"/>
        <v>0.33333333333333331</v>
      </c>
      <c r="BF174" s="1202">
        <f t="shared" si="190"/>
        <v>0.33333333333333331</v>
      </c>
      <c r="BG174" s="1202">
        <f t="shared" si="190"/>
        <v>0.33333333333333331</v>
      </c>
      <c r="BH174" s="1202">
        <f t="shared" si="190"/>
        <v>0.33333333333333331</v>
      </c>
      <c r="BI174" s="1202">
        <f t="shared" si="190"/>
        <v>0.33333333333333331</v>
      </c>
      <c r="BJ174" s="1202">
        <f t="shared" si="190"/>
        <v>0.33333333333333331</v>
      </c>
      <c r="BK174" s="1203"/>
      <c r="BL174" s="1202"/>
      <c r="BM174" s="1202"/>
      <c r="BO174" s="1197">
        <v>2</v>
      </c>
      <c r="BP174" s="1201" t="s">
        <v>1322</v>
      </c>
      <c r="BQ174" s="1198" t="s">
        <v>553</v>
      </c>
      <c r="BR174" s="1202">
        <f t="shared" si="191"/>
        <v>0.33333333333333331</v>
      </c>
      <c r="BS174" s="1202">
        <f t="shared" si="191"/>
        <v>0.33333333333333331</v>
      </c>
      <c r="BT174" s="1202">
        <f t="shared" si="191"/>
        <v>0.33333333333333331</v>
      </c>
      <c r="BU174" s="1202">
        <f t="shared" si="191"/>
        <v>0.33333333333333331</v>
      </c>
      <c r="BV174" s="1202">
        <f t="shared" si="191"/>
        <v>0.33333333333333331</v>
      </c>
      <c r="BW174" s="1202">
        <f t="shared" si="191"/>
        <v>0.33333333333333331</v>
      </c>
      <c r="BX174" s="1202">
        <f t="shared" si="191"/>
        <v>0.33333333333333331</v>
      </c>
      <c r="BY174" s="1202">
        <f t="shared" si="191"/>
        <v>0.33333333333333331</v>
      </c>
      <c r="BZ174" s="1202">
        <f t="shared" si="191"/>
        <v>0.33333333333333331</v>
      </c>
      <c r="CA174" s="1202">
        <f t="shared" si="191"/>
        <v>0.33333333333333331</v>
      </c>
      <c r="CB174" s="1203"/>
      <c r="CC174" s="1202"/>
      <c r="CD174" s="1202"/>
      <c r="CE174" s="1468"/>
      <c r="CG174" s="1197">
        <v>2</v>
      </c>
      <c r="CH174" s="1201" t="s">
        <v>1322</v>
      </c>
      <c r="CI174" s="1198" t="s">
        <v>553</v>
      </c>
      <c r="CJ174" s="1686">
        <f t="shared" si="167"/>
        <v>0.33333333333333331</v>
      </c>
      <c r="CK174" s="1686">
        <f t="shared" si="155"/>
        <v>0.33333333333333331</v>
      </c>
      <c r="CL174" s="1686">
        <f t="shared" si="156"/>
        <v>0.33333333333333331</v>
      </c>
      <c r="CM174" s="1686">
        <f t="shared" si="157"/>
        <v>0.33333333333333331</v>
      </c>
      <c r="CN174" s="1686">
        <f t="shared" si="158"/>
        <v>0.33333333333333331</v>
      </c>
      <c r="CO174" s="1686">
        <f t="shared" si="159"/>
        <v>0.33333333333333331</v>
      </c>
      <c r="CP174" s="1686">
        <f t="shared" si="160"/>
        <v>0.33333333333333331</v>
      </c>
      <c r="CQ174" s="1686">
        <f t="shared" si="161"/>
        <v>0.33333333333333331</v>
      </c>
      <c r="CR174" s="1686">
        <f t="shared" si="162"/>
        <v>0.33333333333333331</v>
      </c>
      <c r="CS174" s="1686">
        <f t="shared" si="163"/>
        <v>0.33333333333333331</v>
      </c>
      <c r="CT174" s="1688">
        <f t="shared" si="164"/>
        <v>0</v>
      </c>
      <c r="CU174" s="1686">
        <f t="shared" si="165"/>
        <v>0</v>
      </c>
      <c r="CV174" s="1686">
        <f t="shared" si="166"/>
        <v>0</v>
      </c>
      <c r="CX174" s="1197">
        <v>2</v>
      </c>
      <c r="CY174" s="1201" t="s">
        <v>1322</v>
      </c>
      <c r="CZ174" s="1198" t="s">
        <v>553</v>
      </c>
      <c r="DA174" s="1821">
        <v>1</v>
      </c>
      <c r="DB174" s="1676"/>
      <c r="DC174" s="1676"/>
      <c r="DD174" s="1676"/>
      <c r="DE174" s="1676"/>
      <c r="DF174" s="1676"/>
      <c r="DG174" s="1676"/>
      <c r="DH174" s="1676"/>
      <c r="DI174" s="1676"/>
      <c r="DJ174" s="1676"/>
      <c r="DK174" s="1677"/>
      <c r="DL174" s="1676"/>
      <c r="DM174" s="1676"/>
    </row>
    <row r="175" spans="2:117">
      <c r="B175" s="1186" t="str">
        <f t="shared" si="180"/>
        <v>2.1</v>
      </c>
      <c r="C175" s="1208" t="str">
        <f t="shared" si="147"/>
        <v>大気汚染防止</v>
      </c>
      <c r="D175" s="1205">
        <f>IF(I$174=0,0,G175/I$174)</f>
        <v>0.25</v>
      </c>
      <c r="E175" s="1205">
        <f t="shared" ref="D175:E177" si="192">IF(J$174=0,0,H175/J$174)</f>
        <v>0</v>
      </c>
      <c r="G175" s="1206">
        <f t="shared" si="168"/>
        <v>0.25</v>
      </c>
      <c r="H175" s="1206">
        <f t="shared" si="169"/>
        <v>0</v>
      </c>
      <c r="I175" s="1206"/>
      <c r="J175" s="1206"/>
      <c r="K175" s="1206">
        <f>IF(スコア!Q175=0,0,1)</f>
        <v>1</v>
      </c>
      <c r="L175" s="1206">
        <f>IF(スコア!S175=0,0,1)</f>
        <v>0</v>
      </c>
      <c r="M175" s="1206">
        <f t="shared" si="170"/>
        <v>0.25</v>
      </c>
      <c r="N175" s="1206">
        <f t="shared" si="182"/>
        <v>0</v>
      </c>
      <c r="P175" s="1276" t="str">
        <f t="shared" si="149"/>
        <v>2.1</v>
      </c>
      <c r="Q175" s="1211" t="str">
        <f t="shared" si="150"/>
        <v>LR3 2</v>
      </c>
      <c r="R175" s="1208" t="str">
        <f t="shared" si="151"/>
        <v>大気汚染防止</v>
      </c>
      <c r="S175" s="1747">
        <f t="shared" si="133"/>
        <v>0.25</v>
      </c>
      <c r="T175" s="1747">
        <f t="shared" si="134"/>
        <v>0.25</v>
      </c>
      <c r="U175" s="1747">
        <f t="shared" si="135"/>
        <v>0.25</v>
      </c>
      <c r="V175" s="1747">
        <f t="shared" si="136"/>
        <v>0.25</v>
      </c>
      <c r="W175" s="1747">
        <f t="shared" si="137"/>
        <v>0.25</v>
      </c>
      <c r="X175" s="1747">
        <f t="shared" si="138"/>
        <v>0.25</v>
      </c>
      <c r="Y175" s="1747">
        <f t="shared" si="139"/>
        <v>0.25</v>
      </c>
      <c r="Z175" s="1747">
        <f t="shared" si="140"/>
        <v>0.25</v>
      </c>
      <c r="AA175" s="1747">
        <f t="shared" si="141"/>
        <v>0.25</v>
      </c>
      <c r="AB175" s="1747">
        <f t="shared" si="142"/>
        <v>0.25</v>
      </c>
      <c r="AC175" s="1748">
        <f t="shared" si="143"/>
        <v>0</v>
      </c>
      <c r="AD175" s="1747">
        <f t="shared" si="144"/>
        <v>0</v>
      </c>
      <c r="AE175" s="1747">
        <f t="shared" si="145"/>
        <v>0</v>
      </c>
      <c r="AG175" s="1277" t="s">
        <v>1414</v>
      </c>
      <c r="AH175" s="1211" t="s">
        <v>2112</v>
      </c>
      <c r="AI175" s="1208" t="s">
        <v>554</v>
      </c>
      <c r="AJ175" s="1213">
        <v>0.25</v>
      </c>
      <c r="AK175" s="1213">
        <v>0.25</v>
      </c>
      <c r="AL175" s="1213">
        <v>0.25</v>
      </c>
      <c r="AM175" s="1213">
        <v>0.25</v>
      </c>
      <c r="AN175" s="1213">
        <v>0.25</v>
      </c>
      <c r="AO175" s="1213">
        <v>0.25</v>
      </c>
      <c r="AP175" s="1213">
        <v>0.25</v>
      </c>
      <c r="AQ175" s="1213">
        <v>0.25</v>
      </c>
      <c r="AR175" s="1213">
        <v>0.25</v>
      </c>
      <c r="AS175" s="1213">
        <v>0.25</v>
      </c>
      <c r="AT175" s="1214"/>
      <c r="AU175" s="1213"/>
      <c r="AV175" s="1213"/>
      <c r="AX175" s="1277" t="s">
        <v>1415</v>
      </c>
      <c r="AY175" s="1211" t="s">
        <v>2112</v>
      </c>
      <c r="AZ175" s="1208" t="s">
        <v>554</v>
      </c>
      <c r="BA175" s="1213">
        <v>0.25</v>
      </c>
      <c r="BB175" s="1213">
        <v>0.25</v>
      </c>
      <c r="BC175" s="1213">
        <v>0.25</v>
      </c>
      <c r="BD175" s="1213">
        <v>0.25</v>
      </c>
      <c r="BE175" s="1213">
        <v>0.25</v>
      </c>
      <c r="BF175" s="1213">
        <v>0.25</v>
      </c>
      <c r="BG175" s="1213">
        <v>0.25</v>
      </c>
      <c r="BH175" s="1213">
        <v>0.25</v>
      </c>
      <c r="BI175" s="1213">
        <v>0.25</v>
      </c>
      <c r="BJ175" s="1213">
        <v>0.25</v>
      </c>
      <c r="BK175" s="1214"/>
      <c r="BL175" s="1213"/>
      <c r="BM175" s="1213"/>
      <c r="BO175" s="1277" t="s">
        <v>1415</v>
      </c>
      <c r="BP175" s="1211" t="s">
        <v>2112</v>
      </c>
      <c r="BQ175" s="1208" t="s">
        <v>554</v>
      </c>
      <c r="BR175" s="1213">
        <v>0.25</v>
      </c>
      <c r="BS175" s="1213">
        <v>0.25</v>
      </c>
      <c r="BT175" s="1213">
        <v>0.25</v>
      </c>
      <c r="BU175" s="1213">
        <v>0.25</v>
      </c>
      <c r="BV175" s="1213">
        <v>0.25</v>
      </c>
      <c r="BW175" s="1213">
        <v>0.25</v>
      </c>
      <c r="BX175" s="1213">
        <v>0.25</v>
      </c>
      <c r="BY175" s="1213">
        <v>0.25</v>
      </c>
      <c r="BZ175" s="1213">
        <v>0.25</v>
      </c>
      <c r="CA175" s="1213">
        <v>0.25</v>
      </c>
      <c r="CB175" s="1214"/>
      <c r="CC175" s="1213"/>
      <c r="CD175" s="1213"/>
      <c r="CE175" s="1469"/>
      <c r="CG175" s="1277" t="s">
        <v>1177</v>
      </c>
      <c r="CH175" s="1211" t="s">
        <v>2112</v>
      </c>
      <c r="CI175" s="1208" t="s">
        <v>554</v>
      </c>
      <c r="CJ175" s="1689">
        <f t="shared" si="167"/>
        <v>0.25</v>
      </c>
      <c r="CK175" s="1689">
        <f t="shared" si="155"/>
        <v>0.25</v>
      </c>
      <c r="CL175" s="1689">
        <f t="shared" si="156"/>
        <v>0.25</v>
      </c>
      <c r="CM175" s="1689">
        <f t="shared" si="157"/>
        <v>0.25</v>
      </c>
      <c r="CN175" s="1689">
        <f t="shared" si="158"/>
        <v>0.25</v>
      </c>
      <c r="CO175" s="1689">
        <f t="shared" si="159"/>
        <v>0.25</v>
      </c>
      <c r="CP175" s="1689">
        <f t="shared" si="160"/>
        <v>0.25</v>
      </c>
      <c r="CQ175" s="1689">
        <f t="shared" si="161"/>
        <v>0.25</v>
      </c>
      <c r="CR175" s="1689">
        <f t="shared" si="162"/>
        <v>0.25</v>
      </c>
      <c r="CS175" s="1689">
        <f t="shared" si="163"/>
        <v>0.25</v>
      </c>
      <c r="CT175" s="1691">
        <f t="shared" si="164"/>
        <v>0</v>
      </c>
      <c r="CU175" s="1689">
        <f t="shared" si="165"/>
        <v>0</v>
      </c>
      <c r="CV175" s="1689">
        <f t="shared" si="166"/>
        <v>0</v>
      </c>
      <c r="CX175" s="1277" t="s">
        <v>1177</v>
      </c>
      <c r="CY175" s="1211" t="s">
        <v>2112</v>
      </c>
      <c r="CZ175" s="1208"/>
      <c r="DA175" s="1814">
        <v>0</v>
      </c>
      <c r="DB175" s="1678"/>
      <c r="DC175" s="1678"/>
      <c r="DD175" s="1678"/>
      <c r="DE175" s="1678"/>
      <c r="DF175" s="1678"/>
      <c r="DG175" s="1678"/>
      <c r="DH175" s="1678"/>
      <c r="DI175" s="1678"/>
      <c r="DJ175" s="1678"/>
      <c r="DK175" s="1795"/>
      <c r="DL175" s="1678"/>
      <c r="DM175" s="1678"/>
    </row>
    <row r="176" spans="2:117">
      <c r="B176" s="1186" t="str">
        <f t="shared" si="180"/>
        <v>2.2</v>
      </c>
      <c r="C176" s="1208" t="str">
        <f t="shared" si="147"/>
        <v>温熱環境悪化の改善</v>
      </c>
      <c r="D176" s="1205">
        <f t="shared" si="192"/>
        <v>0.5</v>
      </c>
      <c r="E176" s="1205">
        <f t="shared" si="192"/>
        <v>0</v>
      </c>
      <c r="G176" s="1206">
        <f t="shared" si="168"/>
        <v>0.5</v>
      </c>
      <c r="H176" s="1206">
        <f t="shared" si="169"/>
        <v>0</v>
      </c>
      <c r="I176" s="1206"/>
      <c r="J176" s="1206"/>
      <c r="K176" s="1206">
        <f>IF(スコア!Q176=0,0,1)</f>
        <v>1</v>
      </c>
      <c r="L176" s="1206">
        <f>IF(スコア!S176=0,0,1)</f>
        <v>0</v>
      </c>
      <c r="M176" s="1206">
        <f t="shared" si="170"/>
        <v>0.5</v>
      </c>
      <c r="N176" s="1206">
        <f t="shared" si="182"/>
        <v>0</v>
      </c>
      <c r="P176" s="1276" t="str">
        <f t="shared" si="149"/>
        <v>2.2</v>
      </c>
      <c r="Q176" s="1211" t="str">
        <f t="shared" si="150"/>
        <v>LR3 2</v>
      </c>
      <c r="R176" s="1208" t="str">
        <f t="shared" si="151"/>
        <v>温熱環境悪化の改善</v>
      </c>
      <c r="S176" s="1759">
        <f t="shared" si="133"/>
        <v>0.5</v>
      </c>
      <c r="T176" s="1759">
        <f t="shared" si="134"/>
        <v>0.5</v>
      </c>
      <c r="U176" s="1759">
        <f t="shared" si="135"/>
        <v>0.5</v>
      </c>
      <c r="V176" s="1759">
        <f t="shared" si="136"/>
        <v>0.5</v>
      </c>
      <c r="W176" s="1759">
        <f t="shared" si="137"/>
        <v>0.5</v>
      </c>
      <c r="X176" s="1759">
        <f t="shared" si="138"/>
        <v>0.5</v>
      </c>
      <c r="Y176" s="1759">
        <f t="shared" si="139"/>
        <v>0.5</v>
      </c>
      <c r="Z176" s="1759">
        <f t="shared" si="140"/>
        <v>0.5</v>
      </c>
      <c r="AA176" s="1759">
        <f t="shared" si="141"/>
        <v>0.5</v>
      </c>
      <c r="AB176" s="1759">
        <f t="shared" si="142"/>
        <v>0.5</v>
      </c>
      <c r="AC176" s="1760">
        <f t="shared" si="143"/>
        <v>0</v>
      </c>
      <c r="AD176" s="1759">
        <f t="shared" si="144"/>
        <v>0</v>
      </c>
      <c r="AE176" s="1759">
        <f t="shared" si="145"/>
        <v>0</v>
      </c>
      <c r="AG176" s="1277" t="s">
        <v>1416</v>
      </c>
      <c r="AH176" s="1211" t="s">
        <v>2112</v>
      </c>
      <c r="AI176" s="1208" t="s">
        <v>1614</v>
      </c>
      <c r="AJ176" s="1257">
        <v>0.5</v>
      </c>
      <c r="AK176" s="1257">
        <v>0.5</v>
      </c>
      <c r="AL176" s="1257">
        <v>0.5</v>
      </c>
      <c r="AM176" s="1257">
        <v>0.5</v>
      </c>
      <c r="AN176" s="1257">
        <v>0.5</v>
      </c>
      <c r="AO176" s="1257">
        <v>0.5</v>
      </c>
      <c r="AP176" s="1257">
        <v>0.5</v>
      </c>
      <c r="AQ176" s="1257">
        <v>0.5</v>
      </c>
      <c r="AR176" s="1257">
        <v>0.5</v>
      </c>
      <c r="AS176" s="1257">
        <v>0.5</v>
      </c>
      <c r="AT176" s="1258"/>
      <c r="AU176" s="1257"/>
      <c r="AV176" s="1257"/>
      <c r="AX176" s="1277" t="s">
        <v>1416</v>
      </c>
      <c r="AY176" s="1211" t="s">
        <v>2112</v>
      </c>
      <c r="AZ176" s="1208" t="s">
        <v>1614</v>
      </c>
      <c r="BA176" s="1257">
        <v>0.5</v>
      </c>
      <c r="BB176" s="1257">
        <v>0.5</v>
      </c>
      <c r="BC176" s="1257">
        <v>0.5</v>
      </c>
      <c r="BD176" s="1257">
        <v>0.5</v>
      </c>
      <c r="BE176" s="1257">
        <v>0.5</v>
      </c>
      <c r="BF176" s="1257">
        <v>0.5</v>
      </c>
      <c r="BG176" s="1257">
        <v>0.5</v>
      </c>
      <c r="BH176" s="1257">
        <v>0.5</v>
      </c>
      <c r="BI176" s="1257">
        <v>0.5</v>
      </c>
      <c r="BJ176" s="1257">
        <v>0.5</v>
      </c>
      <c r="BK176" s="1258"/>
      <c r="BL176" s="1257"/>
      <c r="BM176" s="1257"/>
      <c r="BO176" s="1277" t="s">
        <v>1416</v>
      </c>
      <c r="BP176" s="1211" t="s">
        <v>2112</v>
      </c>
      <c r="BQ176" s="1208" t="s">
        <v>1614</v>
      </c>
      <c r="BR176" s="1257">
        <v>0.5</v>
      </c>
      <c r="BS176" s="1257">
        <v>0.5</v>
      </c>
      <c r="BT176" s="1257">
        <v>0.5</v>
      </c>
      <c r="BU176" s="1257">
        <v>0.5</v>
      </c>
      <c r="BV176" s="1257">
        <v>0.5</v>
      </c>
      <c r="BW176" s="1257">
        <v>0.5</v>
      </c>
      <c r="BX176" s="1257">
        <v>0.5</v>
      </c>
      <c r="BY176" s="1257">
        <v>0.5</v>
      </c>
      <c r="BZ176" s="1257">
        <v>0.5</v>
      </c>
      <c r="CA176" s="1257">
        <v>0.5</v>
      </c>
      <c r="CB176" s="1258"/>
      <c r="CC176" s="1257"/>
      <c r="CD176" s="1257"/>
      <c r="CE176" s="1472"/>
      <c r="CG176" s="1277" t="s">
        <v>1178</v>
      </c>
      <c r="CH176" s="1211" t="s">
        <v>2112</v>
      </c>
      <c r="CI176" s="1208" t="s">
        <v>1614</v>
      </c>
      <c r="CJ176" s="1704">
        <f t="shared" si="167"/>
        <v>0.5</v>
      </c>
      <c r="CK176" s="1704">
        <f t="shared" si="155"/>
        <v>0.5</v>
      </c>
      <c r="CL176" s="1704">
        <f t="shared" si="156"/>
        <v>0.5</v>
      </c>
      <c r="CM176" s="1704">
        <f t="shared" si="157"/>
        <v>0.5</v>
      </c>
      <c r="CN176" s="1704">
        <f t="shared" si="158"/>
        <v>0.5</v>
      </c>
      <c r="CO176" s="1704">
        <f t="shared" si="159"/>
        <v>0.5</v>
      </c>
      <c r="CP176" s="1704">
        <f t="shared" si="160"/>
        <v>0.5</v>
      </c>
      <c r="CQ176" s="1704">
        <f t="shared" si="161"/>
        <v>0.5</v>
      </c>
      <c r="CR176" s="1704">
        <f t="shared" si="162"/>
        <v>0.5</v>
      </c>
      <c r="CS176" s="1704">
        <f t="shared" si="163"/>
        <v>0.5</v>
      </c>
      <c r="CT176" s="1705">
        <f t="shared" si="164"/>
        <v>0</v>
      </c>
      <c r="CU176" s="1704">
        <f t="shared" si="165"/>
        <v>0</v>
      </c>
      <c r="CV176" s="1704">
        <f t="shared" si="166"/>
        <v>0</v>
      </c>
      <c r="CX176" s="1277" t="s">
        <v>1178</v>
      </c>
      <c r="CY176" s="1211" t="s">
        <v>2112</v>
      </c>
      <c r="CZ176" s="1208"/>
      <c r="DA176" s="1814">
        <v>0</v>
      </c>
      <c r="DB176" s="1681"/>
      <c r="DC176" s="1681"/>
      <c r="DD176" s="1681"/>
      <c r="DE176" s="1681"/>
      <c r="DF176" s="1681"/>
      <c r="DG176" s="1681"/>
      <c r="DH176" s="1681"/>
      <c r="DI176" s="1681"/>
      <c r="DJ176" s="1681"/>
      <c r="DK176" s="1805"/>
      <c r="DL176" s="1681"/>
      <c r="DM176" s="1681"/>
    </row>
    <row r="177" spans="2:117">
      <c r="B177" s="1186" t="str">
        <f t="shared" si="180"/>
        <v>2.3</v>
      </c>
      <c r="C177" s="1208" t="str">
        <f t="shared" si="147"/>
        <v>地域インフラへの負荷抑制</v>
      </c>
      <c r="D177" s="1205">
        <f t="shared" si="192"/>
        <v>0.25</v>
      </c>
      <c r="E177" s="1205">
        <f t="shared" si="192"/>
        <v>0</v>
      </c>
      <c r="G177" s="1206">
        <f t="shared" si="168"/>
        <v>0.25</v>
      </c>
      <c r="H177" s="1206">
        <f t="shared" si="169"/>
        <v>0</v>
      </c>
      <c r="I177" s="1206">
        <f>SUM(G178:G181)</f>
        <v>1</v>
      </c>
      <c r="J177" s="1206">
        <f>SUM(H178:H181)</f>
        <v>0</v>
      </c>
      <c r="K177" s="1206">
        <f>IF(スコア!Q177=0,0,1)</f>
        <v>1</v>
      </c>
      <c r="L177" s="1206">
        <f>IF(スコア!S177=0,0,1)</f>
        <v>0</v>
      </c>
      <c r="M177" s="1206">
        <f t="shared" si="170"/>
        <v>0.25</v>
      </c>
      <c r="N177" s="1206">
        <f t="shared" si="182"/>
        <v>0</v>
      </c>
      <c r="P177" s="1276" t="str">
        <f t="shared" si="149"/>
        <v>2.3</v>
      </c>
      <c r="Q177" s="1211" t="str">
        <f t="shared" si="150"/>
        <v>LR3 2</v>
      </c>
      <c r="R177" s="1208" t="str">
        <f t="shared" si="151"/>
        <v>地域インフラへの負荷抑制</v>
      </c>
      <c r="S177" s="1759">
        <f t="shared" si="133"/>
        <v>0.25</v>
      </c>
      <c r="T177" s="1759">
        <f t="shared" si="134"/>
        <v>0.25</v>
      </c>
      <c r="U177" s="1759">
        <f t="shared" si="135"/>
        <v>0.25</v>
      </c>
      <c r="V177" s="1759">
        <f t="shared" si="136"/>
        <v>0.25</v>
      </c>
      <c r="W177" s="1759">
        <f t="shared" si="137"/>
        <v>0.25</v>
      </c>
      <c r="X177" s="1759">
        <f t="shared" si="138"/>
        <v>0.25</v>
      </c>
      <c r="Y177" s="1759">
        <f t="shared" si="139"/>
        <v>0.25</v>
      </c>
      <c r="Z177" s="1759">
        <f t="shared" si="140"/>
        <v>0.25</v>
      </c>
      <c r="AA177" s="1759">
        <f t="shared" si="141"/>
        <v>0.25</v>
      </c>
      <c r="AB177" s="1759">
        <f t="shared" si="142"/>
        <v>0.25</v>
      </c>
      <c r="AC177" s="1760">
        <f t="shared" si="143"/>
        <v>0</v>
      </c>
      <c r="AD177" s="1759">
        <f t="shared" si="144"/>
        <v>0</v>
      </c>
      <c r="AE177" s="1759">
        <f t="shared" si="145"/>
        <v>0</v>
      </c>
      <c r="AG177" s="1277" t="s">
        <v>1417</v>
      </c>
      <c r="AH177" s="1211" t="s">
        <v>2112</v>
      </c>
      <c r="AI177" s="1208" t="s">
        <v>555</v>
      </c>
      <c r="AJ177" s="1257">
        <v>0.25</v>
      </c>
      <c r="AK177" s="1257">
        <v>0.25</v>
      </c>
      <c r="AL177" s="1257">
        <v>0.25</v>
      </c>
      <c r="AM177" s="1257">
        <v>0.25</v>
      </c>
      <c r="AN177" s="1257">
        <v>0.25</v>
      </c>
      <c r="AO177" s="1257">
        <v>0.25</v>
      </c>
      <c r="AP177" s="1257">
        <v>0.25</v>
      </c>
      <c r="AQ177" s="1257">
        <v>0.25</v>
      </c>
      <c r="AR177" s="1257">
        <v>0.25</v>
      </c>
      <c r="AS177" s="1257">
        <v>0.25</v>
      </c>
      <c r="AT177" s="1258"/>
      <c r="AU177" s="1257"/>
      <c r="AV177" s="1257"/>
      <c r="AX177" s="1277" t="s">
        <v>1418</v>
      </c>
      <c r="AY177" s="1211" t="s">
        <v>2112</v>
      </c>
      <c r="AZ177" s="1208" t="s">
        <v>555</v>
      </c>
      <c r="BA177" s="1257">
        <v>0.25</v>
      </c>
      <c r="BB177" s="1257">
        <v>0.25</v>
      </c>
      <c r="BC177" s="1257">
        <v>0.25</v>
      </c>
      <c r="BD177" s="1257">
        <v>0.25</v>
      </c>
      <c r="BE177" s="1257">
        <v>0.25</v>
      </c>
      <c r="BF177" s="1257">
        <v>0.25</v>
      </c>
      <c r="BG177" s="1257">
        <v>0.25</v>
      </c>
      <c r="BH177" s="1257">
        <v>0.25</v>
      </c>
      <c r="BI177" s="1257">
        <v>0.25</v>
      </c>
      <c r="BJ177" s="1257">
        <v>0.25</v>
      </c>
      <c r="BK177" s="1258"/>
      <c r="BL177" s="1257"/>
      <c r="BM177" s="1257"/>
      <c r="BO177" s="1277" t="s">
        <v>1418</v>
      </c>
      <c r="BP177" s="1211" t="s">
        <v>2112</v>
      </c>
      <c r="BQ177" s="1208" t="s">
        <v>555</v>
      </c>
      <c r="BR177" s="1257">
        <v>0.25</v>
      </c>
      <c r="BS177" s="1257">
        <v>0.25</v>
      </c>
      <c r="BT177" s="1257">
        <v>0.25</v>
      </c>
      <c r="BU177" s="1257">
        <v>0.25</v>
      </c>
      <c r="BV177" s="1257">
        <v>0.25</v>
      </c>
      <c r="BW177" s="1257">
        <v>0.25</v>
      </c>
      <c r="BX177" s="1257">
        <v>0.25</v>
      </c>
      <c r="BY177" s="1257">
        <v>0.25</v>
      </c>
      <c r="BZ177" s="1257">
        <v>0.25</v>
      </c>
      <c r="CA177" s="1257">
        <v>0.25</v>
      </c>
      <c r="CB177" s="1258"/>
      <c r="CC177" s="1257"/>
      <c r="CD177" s="1257"/>
      <c r="CE177" s="1472"/>
      <c r="CG177" s="1277" t="s">
        <v>1417</v>
      </c>
      <c r="CH177" s="1211" t="s">
        <v>2112</v>
      </c>
      <c r="CI177" s="1208" t="s">
        <v>555</v>
      </c>
      <c r="CJ177" s="1704">
        <f t="shared" si="167"/>
        <v>0.25</v>
      </c>
      <c r="CK177" s="1704">
        <f t="shared" si="155"/>
        <v>0.25</v>
      </c>
      <c r="CL177" s="1704">
        <f t="shared" si="156"/>
        <v>0.25</v>
      </c>
      <c r="CM177" s="1704">
        <f t="shared" si="157"/>
        <v>0.25</v>
      </c>
      <c r="CN177" s="1704">
        <f t="shared" si="158"/>
        <v>0.25</v>
      </c>
      <c r="CO177" s="1704">
        <f t="shared" si="159"/>
        <v>0.25</v>
      </c>
      <c r="CP177" s="1704">
        <f t="shared" si="160"/>
        <v>0.25</v>
      </c>
      <c r="CQ177" s="1704">
        <f t="shared" si="161"/>
        <v>0.25</v>
      </c>
      <c r="CR177" s="1704">
        <f t="shared" si="162"/>
        <v>0.25</v>
      </c>
      <c r="CS177" s="1704">
        <f t="shared" si="163"/>
        <v>0.25</v>
      </c>
      <c r="CT177" s="1705">
        <f t="shared" si="164"/>
        <v>0</v>
      </c>
      <c r="CU177" s="1704">
        <f t="shared" si="165"/>
        <v>0</v>
      </c>
      <c r="CV177" s="1704">
        <f t="shared" si="166"/>
        <v>0</v>
      </c>
      <c r="CX177" s="1277" t="s">
        <v>1417</v>
      </c>
      <c r="CY177" s="1211" t="s">
        <v>2112</v>
      </c>
      <c r="CZ177" s="1208"/>
      <c r="DA177" s="1814">
        <v>0</v>
      </c>
      <c r="DB177" s="1681"/>
      <c r="DC177" s="1681"/>
      <c r="DD177" s="1681"/>
      <c r="DE177" s="1681"/>
      <c r="DF177" s="1681"/>
      <c r="DG177" s="1681"/>
      <c r="DH177" s="1681"/>
      <c r="DI177" s="1681"/>
      <c r="DJ177" s="1681"/>
      <c r="DK177" s="1805"/>
      <c r="DL177" s="1681"/>
      <c r="DM177" s="1681"/>
    </row>
    <row r="178" spans="2:117">
      <c r="B178" s="1186" t="str">
        <f t="shared" si="180"/>
        <v>2.3.1</v>
      </c>
      <c r="C178" s="1278" t="str">
        <f t="shared" si="147"/>
        <v>雨水排水負荷低減</v>
      </c>
      <c r="D178" s="1205">
        <f t="shared" ref="D178:E181" si="193">IF(I$177=0,0,G178/I$177)</f>
        <v>0.25</v>
      </c>
      <c r="E178" s="1205">
        <f t="shared" si="193"/>
        <v>0</v>
      </c>
      <c r="G178" s="1206">
        <f t="shared" si="168"/>
        <v>0.25</v>
      </c>
      <c r="H178" s="1206">
        <f t="shared" si="169"/>
        <v>0</v>
      </c>
      <c r="I178" s="1206"/>
      <c r="J178" s="1206"/>
      <c r="K178" s="1206">
        <f>IF(スコア!Q178=0,0,1)</f>
        <v>1</v>
      </c>
      <c r="L178" s="1206">
        <f>IF(スコア!S178=0,0,1)</f>
        <v>0</v>
      </c>
      <c r="M178" s="1206">
        <f t="shared" si="170"/>
        <v>0.25</v>
      </c>
      <c r="N178" s="1206">
        <f t="shared" si="182"/>
        <v>0</v>
      </c>
      <c r="P178" s="1277" t="str">
        <f t="shared" si="149"/>
        <v>2.3.1</v>
      </c>
      <c r="Q178" s="1211" t="str">
        <f t="shared" si="150"/>
        <v>LR3 2.3</v>
      </c>
      <c r="R178" s="1278" t="str">
        <f t="shared" si="151"/>
        <v>雨水排水負荷低減</v>
      </c>
      <c r="S178" s="1747">
        <f t="shared" si="133"/>
        <v>0.25</v>
      </c>
      <c r="T178" s="1747">
        <f t="shared" si="134"/>
        <v>0.25</v>
      </c>
      <c r="U178" s="1747">
        <f t="shared" si="135"/>
        <v>0.25</v>
      </c>
      <c r="V178" s="1747">
        <f t="shared" si="136"/>
        <v>0.25</v>
      </c>
      <c r="W178" s="1747">
        <f t="shared" si="137"/>
        <v>0.25</v>
      </c>
      <c r="X178" s="1747">
        <f t="shared" si="138"/>
        <v>0.25</v>
      </c>
      <c r="Y178" s="1747">
        <f t="shared" si="139"/>
        <v>0.25</v>
      </c>
      <c r="Z178" s="1747">
        <f t="shared" si="140"/>
        <v>0.25</v>
      </c>
      <c r="AA178" s="1747">
        <f t="shared" si="141"/>
        <v>0.25</v>
      </c>
      <c r="AB178" s="1747">
        <f t="shared" si="142"/>
        <v>0.25</v>
      </c>
      <c r="AC178" s="1760">
        <f t="shared" si="143"/>
        <v>0</v>
      </c>
      <c r="AD178" s="1759">
        <f t="shared" si="144"/>
        <v>0</v>
      </c>
      <c r="AE178" s="1759">
        <f t="shared" si="145"/>
        <v>0</v>
      </c>
      <c r="AG178" s="1277" t="s">
        <v>1419</v>
      </c>
      <c r="AH178" s="1211" t="s">
        <v>2113</v>
      </c>
      <c r="AI178" s="1278" t="s">
        <v>1615</v>
      </c>
      <c r="AJ178" s="1213">
        <v>0.25</v>
      </c>
      <c r="AK178" s="1213">
        <v>0.25</v>
      </c>
      <c r="AL178" s="1213">
        <v>0.25</v>
      </c>
      <c r="AM178" s="1213">
        <v>0.25</v>
      </c>
      <c r="AN178" s="1213">
        <v>0.25</v>
      </c>
      <c r="AO178" s="1213">
        <v>0.25</v>
      </c>
      <c r="AP178" s="1213">
        <v>0.25</v>
      </c>
      <c r="AQ178" s="1213">
        <v>0.25</v>
      </c>
      <c r="AR178" s="1213">
        <v>0.25</v>
      </c>
      <c r="AS178" s="1213">
        <v>0.25</v>
      </c>
      <c r="AT178" s="1258"/>
      <c r="AU178" s="1257"/>
      <c r="AV178" s="1257"/>
      <c r="AX178" s="1277" t="s">
        <v>1419</v>
      </c>
      <c r="AY178" s="1211" t="s">
        <v>2113</v>
      </c>
      <c r="AZ178" s="1278" t="s">
        <v>1615</v>
      </c>
      <c r="BA178" s="1213">
        <v>0.25</v>
      </c>
      <c r="BB178" s="1213">
        <v>0.25</v>
      </c>
      <c r="BC178" s="1213">
        <v>0.25</v>
      </c>
      <c r="BD178" s="1213">
        <v>0.25</v>
      </c>
      <c r="BE178" s="1213">
        <v>0.25</v>
      </c>
      <c r="BF178" s="1213">
        <v>0.25</v>
      </c>
      <c r="BG178" s="1213">
        <v>0.25</v>
      </c>
      <c r="BH178" s="1213">
        <v>0.25</v>
      </c>
      <c r="BI178" s="1213">
        <v>0.25</v>
      </c>
      <c r="BJ178" s="1213">
        <v>0.25</v>
      </c>
      <c r="BK178" s="1258"/>
      <c r="BL178" s="1257"/>
      <c r="BM178" s="1257"/>
      <c r="BO178" s="1277" t="s">
        <v>1419</v>
      </c>
      <c r="BP178" s="1211" t="s">
        <v>2113</v>
      </c>
      <c r="BQ178" s="1278" t="s">
        <v>1615</v>
      </c>
      <c r="BR178" s="1213">
        <v>0.25</v>
      </c>
      <c r="BS178" s="1213">
        <v>0.25</v>
      </c>
      <c r="BT178" s="1213">
        <v>0.25</v>
      </c>
      <c r="BU178" s="1213">
        <v>0.25</v>
      </c>
      <c r="BV178" s="1213">
        <v>0.25</v>
      </c>
      <c r="BW178" s="1213">
        <v>0.25</v>
      </c>
      <c r="BX178" s="1213">
        <v>0.25</v>
      </c>
      <c r="BY178" s="1213">
        <v>0.25</v>
      </c>
      <c r="BZ178" s="1213">
        <v>0.25</v>
      </c>
      <c r="CA178" s="1213">
        <v>0.25</v>
      </c>
      <c r="CB178" s="1258"/>
      <c r="CC178" s="1257"/>
      <c r="CD178" s="1257"/>
      <c r="CE178" s="1472"/>
      <c r="CG178" s="1277" t="s">
        <v>213</v>
      </c>
      <c r="CH178" s="1211" t="s">
        <v>2113</v>
      </c>
      <c r="CI178" s="1278" t="s">
        <v>1615</v>
      </c>
      <c r="CJ178" s="1689">
        <f t="shared" si="167"/>
        <v>0.25</v>
      </c>
      <c r="CK178" s="1689">
        <f t="shared" si="155"/>
        <v>0.25</v>
      </c>
      <c r="CL178" s="1689">
        <f t="shared" si="156"/>
        <v>0.25</v>
      </c>
      <c r="CM178" s="1689">
        <f t="shared" si="157"/>
        <v>0.25</v>
      </c>
      <c r="CN178" s="1689">
        <f t="shared" si="158"/>
        <v>0.25</v>
      </c>
      <c r="CO178" s="1689">
        <f t="shared" si="159"/>
        <v>0.25</v>
      </c>
      <c r="CP178" s="1689">
        <f t="shared" si="160"/>
        <v>0.25</v>
      </c>
      <c r="CQ178" s="1689">
        <f t="shared" si="161"/>
        <v>0.25</v>
      </c>
      <c r="CR178" s="1689">
        <f t="shared" si="162"/>
        <v>0.25</v>
      </c>
      <c r="CS178" s="1689">
        <f t="shared" si="163"/>
        <v>0.25</v>
      </c>
      <c r="CT178" s="1705">
        <f t="shared" si="164"/>
        <v>0</v>
      </c>
      <c r="CU178" s="1704">
        <f t="shared" si="165"/>
        <v>0</v>
      </c>
      <c r="CV178" s="1704">
        <f t="shared" si="166"/>
        <v>0</v>
      </c>
      <c r="CX178" s="1277" t="s">
        <v>213</v>
      </c>
      <c r="CY178" s="1211" t="s">
        <v>2113</v>
      </c>
      <c r="CZ178" s="1278"/>
      <c r="DA178" s="1814">
        <v>0</v>
      </c>
      <c r="DB178" s="1678"/>
      <c r="DC178" s="1678"/>
      <c r="DD178" s="1678"/>
      <c r="DE178" s="1678"/>
      <c r="DF178" s="1678"/>
      <c r="DG178" s="1678"/>
      <c r="DH178" s="1678"/>
      <c r="DI178" s="1678"/>
      <c r="DJ178" s="1678"/>
      <c r="DK178" s="1805"/>
      <c r="DL178" s="1681"/>
      <c r="DM178" s="1681"/>
    </row>
    <row r="179" spans="2:117">
      <c r="B179" s="1186" t="str">
        <f t="shared" si="180"/>
        <v>2.3.2</v>
      </c>
      <c r="C179" s="1278" t="str">
        <f t="shared" si="147"/>
        <v>汚水処理負荷抑制</v>
      </c>
      <c r="D179" s="1205">
        <f t="shared" si="193"/>
        <v>0.25</v>
      </c>
      <c r="E179" s="1205">
        <f t="shared" si="193"/>
        <v>0</v>
      </c>
      <c r="G179" s="1206">
        <f t="shared" si="168"/>
        <v>0.25</v>
      </c>
      <c r="H179" s="1206">
        <f t="shared" si="169"/>
        <v>0</v>
      </c>
      <c r="I179" s="1206"/>
      <c r="J179" s="1206"/>
      <c r="K179" s="1206">
        <f>IF(スコア!Q179=0,0,1)</f>
        <v>1</v>
      </c>
      <c r="L179" s="1206">
        <f>IF(スコア!S179=0,0,1)</f>
        <v>0</v>
      </c>
      <c r="M179" s="1206">
        <f t="shared" si="170"/>
        <v>0.25</v>
      </c>
      <c r="N179" s="1206">
        <f t="shared" si="182"/>
        <v>0</v>
      </c>
      <c r="P179" s="1277" t="str">
        <f t="shared" si="149"/>
        <v>2.3.2</v>
      </c>
      <c r="Q179" s="1211" t="str">
        <f t="shared" si="150"/>
        <v>LR3 2.3</v>
      </c>
      <c r="R179" s="1278" t="str">
        <f t="shared" si="151"/>
        <v>汚水処理負荷抑制</v>
      </c>
      <c r="S179" s="1747">
        <f t="shared" si="133"/>
        <v>0.25</v>
      </c>
      <c r="T179" s="1747">
        <f t="shared" si="134"/>
        <v>0.25</v>
      </c>
      <c r="U179" s="1747">
        <f t="shared" si="135"/>
        <v>0.25</v>
      </c>
      <c r="V179" s="1747">
        <f t="shared" si="136"/>
        <v>0.25</v>
      </c>
      <c r="W179" s="1747">
        <f t="shared" si="137"/>
        <v>0.25</v>
      </c>
      <c r="X179" s="1747">
        <f t="shared" si="138"/>
        <v>0.25</v>
      </c>
      <c r="Y179" s="1747">
        <f t="shared" si="139"/>
        <v>0.25</v>
      </c>
      <c r="Z179" s="1747">
        <f t="shared" si="140"/>
        <v>0.25</v>
      </c>
      <c r="AA179" s="1747">
        <f t="shared" si="141"/>
        <v>0.25</v>
      </c>
      <c r="AB179" s="1747">
        <f t="shared" si="142"/>
        <v>0.25</v>
      </c>
      <c r="AC179" s="1760">
        <f t="shared" si="143"/>
        <v>0</v>
      </c>
      <c r="AD179" s="1759">
        <f t="shared" si="144"/>
        <v>0</v>
      </c>
      <c r="AE179" s="1759">
        <f t="shared" si="145"/>
        <v>0</v>
      </c>
      <c r="AG179" s="1277" t="s">
        <v>1420</v>
      </c>
      <c r="AH179" s="1211" t="s">
        <v>2113</v>
      </c>
      <c r="AI179" s="1278" t="s">
        <v>1616</v>
      </c>
      <c r="AJ179" s="1213">
        <v>0.25</v>
      </c>
      <c r="AK179" s="1213">
        <v>0.25</v>
      </c>
      <c r="AL179" s="1213">
        <v>0.25</v>
      </c>
      <c r="AM179" s="1213">
        <v>0.25</v>
      </c>
      <c r="AN179" s="1213">
        <v>0.25</v>
      </c>
      <c r="AO179" s="1213">
        <v>0.25</v>
      </c>
      <c r="AP179" s="1213">
        <v>0.25</v>
      </c>
      <c r="AQ179" s="1213">
        <v>0.25</v>
      </c>
      <c r="AR179" s="1213">
        <v>0.25</v>
      </c>
      <c r="AS179" s="1213">
        <v>0.25</v>
      </c>
      <c r="AT179" s="1258"/>
      <c r="AU179" s="1257"/>
      <c r="AV179" s="1257"/>
      <c r="AX179" s="1277" t="s">
        <v>1420</v>
      </c>
      <c r="AY179" s="1211" t="s">
        <v>2113</v>
      </c>
      <c r="AZ179" s="1278" t="s">
        <v>1616</v>
      </c>
      <c r="BA179" s="1213">
        <v>0.25</v>
      </c>
      <c r="BB179" s="1213">
        <v>0.25</v>
      </c>
      <c r="BC179" s="1213">
        <v>0.25</v>
      </c>
      <c r="BD179" s="1213">
        <v>0.25</v>
      </c>
      <c r="BE179" s="1213">
        <v>0.25</v>
      </c>
      <c r="BF179" s="1213">
        <v>0.25</v>
      </c>
      <c r="BG179" s="1213">
        <v>0.25</v>
      </c>
      <c r="BH179" s="1213">
        <v>0.25</v>
      </c>
      <c r="BI179" s="1213">
        <v>0.25</v>
      </c>
      <c r="BJ179" s="1213">
        <v>0.25</v>
      </c>
      <c r="BK179" s="1258"/>
      <c r="BL179" s="1257"/>
      <c r="BM179" s="1257"/>
      <c r="BO179" s="1277" t="s">
        <v>1420</v>
      </c>
      <c r="BP179" s="1211" t="s">
        <v>2113</v>
      </c>
      <c r="BQ179" s="1278" t="s">
        <v>1616</v>
      </c>
      <c r="BR179" s="1213">
        <v>0.25</v>
      </c>
      <c r="BS179" s="1213">
        <v>0.25</v>
      </c>
      <c r="BT179" s="1213">
        <v>0.25</v>
      </c>
      <c r="BU179" s="1213">
        <v>0.25</v>
      </c>
      <c r="BV179" s="1213">
        <v>0.25</v>
      </c>
      <c r="BW179" s="1213">
        <v>0.25</v>
      </c>
      <c r="BX179" s="1213">
        <v>0.25</v>
      </c>
      <c r="BY179" s="1213">
        <v>0.25</v>
      </c>
      <c r="BZ179" s="1213">
        <v>0.25</v>
      </c>
      <c r="CA179" s="1213">
        <v>0.25</v>
      </c>
      <c r="CB179" s="1258"/>
      <c r="CC179" s="1257"/>
      <c r="CD179" s="1257"/>
      <c r="CE179" s="1472"/>
      <c r="CG179" s="1277" t="s">
        <v>215</v>
      </c>
      <c r="CH179" s="1211" t="s">
        <v>2113</v>
      </c>
      <c r="CI179" s="1278" t="s">
        <v>1616</v>
      </c>
      <c r="CJ179" s="1689">
        <f t="shared" si="167"/>
        <v>0.25</v>
      </c>
      <c r="CK179" s="1689">
        <f t="shared" si="155"/>
        <v>0.25</v>
      </c>
      <c r="CL179" s="1689">
        <f t="shared" si="156"/>
        <v>0.25</v>
      </c>
      <c r="CM179" s="1689">
        <f t="shared" si="157"/>
        <v>0.25</v>
      </c>
      <c r="CN179" s="1689">
        <f t="shared" si="158"/>
        <v>0.25</v>
      </c>
      <c r="CO179" s="1689">
        <f t="shared" si="159"/>
        <v>0.25</v>
      </c>
      <c r="CP179" s="1689">
        <f t="shared" si="160"/>
        <v>0.25</v>
      </c>
      <c r="CQ179" s="1689">
        <f t="shared" si="161"/>
        <v>0.25</v>
      </c>
      <c r="CR179" s="1689">
        <f t="shared" si="162"/>
        <v>0.25</v>
      </c>
      <c r="CS179" s="1689">
        <f t="shared" si="163"/>
        <v>0.25</v>
      </c>
      <c r="CT179" s="1705">
        <f t="shared" si="164"/>
        <v>0</v>
      </c>
      <c r="CU179" s="1704">
        <f t="shared" si="165"/>
        <v>0</v>
      </c>
      <c r="CV179" s="1704">
        <f t="shared" si="166"/>
        <v>0</v>
      </c>
      <c r="CX179" s="1277" t="s">
        <v>215</v>
      </c>
      <c r="CY179" s="1211" t="s">
        <v>2113</v>
      </c>
      <c r="CZ179" s="1278"/>
      <c r="DA179" s="1814">
        <v>0</v>
      </c>
      <c r="DB179" s="1678"/>
      <c r="DC179" s="1678"/>
      <c r="DD179" s="1678"/>
      <c r="DE179" s="1678"/>
      <c r="DF179" s="1678"/>
      <c r="DG179" s="1678"/>
      <c r="DH179" s="1678"/>
      <c r="DI179" s="1678"/>
      <c r="DJ179" s="1678"/>
      <c r="DK179" s="1805"/>
      <c r="DL179" s="1681"/>
      <c r="DM179" s="1681"/>
    </row>
    <row r="180" spans="2:117">
      <c r="B180" s="1186" t="str">
        <f t="shared" si="180"/>
        <v>2.3.3</v>
      </c>
      <c r="C180" s="1278" t="str">
        <f t="shared" si="147"/>
        <v>交通負荷抑制</v>
      </c>
      <c r="D180" s="1205">
        <f t="shared" si="193"/>
        <v>0.25</v>
      </c>
      <c r="E180" s="1205">
        <f t="shared" si="193"/>
        <v>0</v>
      </c>
      <c r="G180" s="1206">
        <f t="shared" si="168"/>
        <v>0.25</v>
      </c>
      <c r="H180" s="1206">
        <f t="shared" si="169"/>
        <v>0</v>
      </c>
      <c r="I180" s="1206"/>
      <c r="J180" s="1206"/>
      <c r="K180" s="1206">
        <f>IF(スコア!Q180=0,0,1)</f>
        <v>1</v>
      </c>
      <c r="L180" s="1206">
        <f>IF(スコア!S180=0,0,1)</f>
        <v>0</v>
      </c>
      <c r="M180" s="1206">
        <f t="shared" si="170"/>
        <v>0.25</v>
      </c>
      <c r="N180" s="1206">
        <f t="shared" si="182"/>
        <v>0</v>
      </c>
      <c r="P180" s="1277" t="str">
        <f t="shared" si="149"/>
        <v>2.3.3</v>
      </c>
      <c r="Q180" s="1211" t="str">
        <f t="shared" si="150"/>
        <v>LR3 2.3</v>
      </c>
      <c r="R180" s="1278" t="str">
        <f t="shared" si="151"/>
        <v>交通負荷抑制</v>
      </c>
      <c r="S180" s="1747">
        <f t="shared" si="133"/>
        <v>0.25</v>
      </c>
      <c r="T180" s="1747">
        <f t="shared" si="134"/>
        <v>0.25</v>
      </c>
      <c r="U180" s="1747">
        <f t="shared" si="135"/>
        <v>0.25</v>
      </c>
      <c r="V180" s="1747">
        <f t="shared" si="136"/>
        <v>0.25</v>
      </c>
      <c r="W180" s="1747">
        <f t="shared" si="137"/>
        <v>0.25</v>
      </c>
      <c r="X180" s="1747">
        <f t="shared" si="138"/>
        <v>0.25</v>
      </c>
      <c r="Y180" s="1747">
        <f t="shared" si="139"/>
        <v>0.25</v>
      </c>
      <c r="Z180" s="1747">
        <f t="shared" si="140"/>
        <v>0.25</v>
      </c>
      <c r="AA180" s="1747">
        <f t="shared" si="141"/>
        <v>0.25</v>
      </c>
      <c r="AB180" s="1747">
        <f t="shared" si="142"/>
        <v>0.25</v>
      </c>
      <c r="AC180" s="1760">
        <f t="shared" si="143"/>
        <v>0</v>
      </c>
      <c r="AD180" s="1759">
        <f t="shared" si="144"/>
        <v>0</v>
      </c>
      <c r="AE180" s="1759">
        <f t="shared" si="145"/>
        <v>0</v>
      </c>
      <c r="AG180" s="1277" t="s">
        <v>1421</v>
      </c>
      <c r="AH180" s="1211" t="s">
        <v>2113</v>
      </c>
      <c r="AI180" s="1278" t="s">
        <v>556</v>
      </c>
      <c r="AJ180" s="1213">
        <v>0.25</v>
      </c>
      <c r="AK180" s="1213">
        <v>0.25</v>
      </c>
      <c r="AL180" s="1213">
        <v>0.25</v>
      </c>
      <c r="AM180" s="1213">
        <v>0.25</v>
      </c>
      <c r="AN180" s="1213">
        <v>0.25</v>
      </c>
      <c r="AO180" s="1213">
        <v>0.25</v>
      </c>
      <c r="AP180" s="1213">
        <v>0.25</v>
      </c>
      <c r="AQ180" s="1213">
        <v>0.25</v>
      </c>
      <c r="AR180" s="1213">
        <v>0.25</v>
      </c>
      <c r="AS180" s="1213">
        <v>0.25</v>
      </c>
      <c r="AT180" s="1258"/>
      <c r="AU180" s="1257"/>
      <c r="AV180" s="1257"/>
      <c r="AX180" s="1277" t="s">
        <v>1422</v>
      </c>
      <c r="AY180" s="1211" t="s">
        <v>2113</v>
      </c>
      <c r="AZ180" s="1278" t="s">
        <v>556</v>
      </c>
      <c r="BA180" s="1213">
        <v>0.25</v>
      </c>
      <c r="BB180" s="1213">
        <v>0.25</v>
      </c>
      <c r="BC180" s="1213">
        <v>0.25</v>
      </c>
      <c r="BD180" s="1213">
        <v>0.25</v>
      </c>
      <c r="BE180" s="1213">
        <v>0.25</v>
      </c>
      <c r="BF180" s="1213">
        <v>0.25</v>
      </c>
      <c r="BG180" s="1213">
        <v>0.25</v>
      </c>
      <c r="BH180" s="1213">
        <v>0.25</v>
      </c>
      <c r="BI180" s="1213">
        <v>0.25</v>
      </c>
      <c r="BJ180" s="1213">
        <v>0.25</v>
      </c>
      <c r="BK180" s="1258"/>
      <c r="BL180" s="1257"/>
      <c r="BM180" s="1257"/>
      <c r="BO180" s="1277" t="s">
        <v>1422</v>
      </c>
      <c r="BP180" s="1211" t="s">
        <v>2113</v>
      </c>
      <c r="BQ180" s="1278" t="s">
        <v>556</v>
      </c>
      <c r="BR180" s="1213">
        <v>0.25</v>
      </c>
      <c r="BS180" s="1213">
        <v>0.25</v>
      </c>
      <c r="BT180" s="1213">
        <v>0.25</v>
      </c>
      <c r="BU180" s="1213">
        <v>0.25</v>
      </c>
      <c r="BV180" s="1213">
        <v>0.25</v>
      </c>
      <c r="BW180" s="1213">
        <v>0.25</v>
      </c>
      <c r="BX180" s="1213">
        <v>0.25</v>
      </c>
      <c r="BY180" s="1213">
        <v>0.25</v>
      </c>
      <c r="BZ180" s="1213">
        <v>0.25</v>
      </c>
      <c r="CA180" s="1213">
        <v>0.25</v>
      </c>
      <c r="CB180" s="1258"/>
      <c r="CC180" s="1257"/>
      <c r="CD180" s="1257"/>
      <c r="CE180" s="1472"/>
      <c r="CG180" s="1277" t="s">
        <v>1152</v>
      </c>
      <c r="CH180" s="1211" t="s">
        <v>2113</v>
      </c>
      <c r="CI180" s="1278" t="s">
        <v>556</v>
      </c>
      <c r="CJ180" s="1689">
        <f t="shared" si="167"/>
        <v>0.25</v>
      </c>
      <c r="CK180" s="1689">
        <f t="shared" si="155"/>
        <v>0.25</v>
      </c>
      <c r="CL180" s="1689">
        <f t="shared" si="156"/>
        <v>0.25</v>
      </c>
      <c r="CM180" s="1689">
        <f t="shared" si="157"/>
        <v>0.25</v>
      </c>
      <c r="CN180" s="1689">
        <f t="shared" si="158"/>
        <v>0.25</v>
      </c>
      <c r="CO180" s="1689">
        <f t="shared" si="159"/>
        <v>0.25</v>
      </c>
      <c r="CP180" s="1689">
        <f t="shared" si="160"/>
        <v>0.25</v>
      </c>
      <c r="CQ180" s="1689">
        <f t="shared" si="161"/>
        <v>0.25</v>
      </c>
      <c r="CR180" s="1689">
        <f t="shared" si="162"/>
        <v>0.25</v>
      </c>
      <c r="CS180" s="1689">
        <f t="shared" si="163"/>
        <v>0.25</v>
      </c>
      <c r="CT180" s="1705">
        <f t="shared" si="164"/>
        <v>0</v>
      </c>
      <c r="CU180" s="1704">
        <f t="shared" si="165"/>
        <v>0</v>
      </c>
      <c r="CV180" s="1704">
        <f t="shared" si="166"/>
        <v>0</v>
      </c>
      <c r="CX180" s="1277" t="s">
        <v>1152</v>
      </c>
      <c r="CY180" s="1211" t="s">
        <v>2113</v>
      </c>
      <c r="CZ180" s="1278"/>
      <c r="DA180" s="1814">
        <v>0</v>
      </c>
      <c r="DB180" s="1678"/>
      <c r="DC180" s="1678"/>
      <c r="DD180" s="1678"/>
      <c r="DE180" s="1678"/>
      <c r="DF180" s="1678"/>
      <c r="DG180" s="1678"/>
      <c r="DH180" s="1678"/>
      <c r="DI180" s="1678"/>
      <c r="DJ180" s="1678"/>
      <c r="DK180" s="1805"/>
      <c r="DL180" s="1681"/>
      <c r="DM180" s="1681"/>
    </row>
    <row r="181" spans="2:117">
      <c r="B181" s="1186" t="str">
        <f t="shared" si="180"/>
        <v>2.3.4</v>
      </c>
      <c r="C181" s="469" t="str">
        <f t="shared" si="147"/>
        <v>廃棄物処理負荷抑制</v>
      </c>
      <c r="D181" s="1205">
        <f t="shared" si="193"/>
        <v>0.25</v>
      </c>
      <c r="E181" s="1205">
        <f t="shared" si="193"/>
        <v>0</v>
      </c>
      <c r="G181" s="1206">
        <f t="shared" si="168"/>
        <v>0.25</v>
      </c>
      <c r="H181" s="1206">
        <f t="shared" si="169"/>
        <v>0</v>
      </c>
      <c r="I181" s="1206"/>
      <c r="J181" s="1206"/>
      <c r="K181" s="1206">
        <f>IF(スコア!Q181=0,0,1)</f>
        <v>1</v>
      </c>
      <c r="L181" s="1206">
        <f>IF(スコア!S181=0,0,1)</f>
        <v>0</v>
      </c>
      <c r="M181" s="1206">
        <f t="shared" si="170"/>
        <v>0.25</v>
      </c>
      <c r="N181" s="1206">
        <f t="shared" si="182"/>
        <v>0</v>
      </c>
      <c r="P181" s="1277" t="str">
        <f t="shared" si="149"/>
        <v>2.3.4</v>
      </c>
      <c r="Q181" s="1211" t="str">
        <f t="shared" si="150"/>
        <v>LR3 2.3</v>
      </c>
      <c r="R181" s="469" t="str">
        <f t="shared" si="151"/>
        <v>廃棄物処理負荷抑制</v>
      </c>
      <c r="S181" s="1747">
        <f t="shared" si="133"/>
        <v>0.25</v>
      </c>
      <c r="T181" s="1747">
        <f t="shared" si="134"/>
        <v>0.25</v>
      </c>
      <c r="U181" s="1747">
        <f t="shared" si="135"/>
        <v>0.25</v>
      </c>
      <c r="V181" s="1747">
        <f t="shared" si="136"/>
        <v>0.25</v>
      </c>
      <c r="W181" s="1747">
        <f t="shared" si="137"/>
        <v>0.25</v>
      </c>
      <c r="X181" s="1747">
        <f t="shared" si="138"/>
        <v>0.25</v>
      </c>
      <c r="Y181" s="1747">
        <f t="shared" si="139"/>
        <v>0.25</v>
      </c>
      <c r="Z181" s="1747">
        <f t="shared" si="140"/>
        <v>0.25</v>
      </c>
      <c r="AA181" s="1747">
        <f t="shared" si="141"/>
        <v>0.25</v>
      </c>
      <c r="AB181" s="1747">
        <f t="shared" si="142"/>
        <v>0.25</v>
      </c>
      <c r="AC181" s="1760">
        <f t="shared" si="143"/>
        <v>0</v>
      </c>
      <c r="AD181" s="1759">
        <f t="shared" si="144"/>
        <v>0</v>
      </c>
      <c r="AE181" s="1759">
        <f t="shared" si="145"/>
        <v>0</v>
      </c>
      <c r="AG181" s="1277" t="s">
        <v>1423</v>
      </c>
      <c r="AH181" s="1211" t="s">
        <v>2113</v>
      </c>
      <c r="AI181" s="469" t="s">
        <v>840</v>
      </c>
      <c r="AJ181" s="1213">
        <v>0.25</v>
      </c>
      <c r="AK181" s="1213">
        <v>0.25</v>
      </c>
      <c r="AL181" s="1213">
        <v>0.25</v>
      </c>
      <c r="AM181" s="1213">
        <v>0.25</v>
      </c>
      <c r="AN181" s="1213">
        <v>0.25</v>
      </c>
      <c r="AO181" s="1213">
        <v>0.25</v>
      </c>
      <c r="AP181" s="1213">
        <v>0.25</v>
      </c>
      <c r="AQ181" s="1213">
        <v>0.25</v>
      </c>
      <c r="AR181" s="1213">
        <v>0.25</v>
      </c>
      <c r="AS181" s="1213">
        <v>0.25</v>
      </c>
      <c r="AT181" s="1258"/>
      <c r="AU181" s="1257"/>
      <c r="AV181" s="1257"/>
      <c r="AX181" s="1277" t="s">
        <v>1424</v>
      </c>
      <c r="AY181" s="1211" t="s">
        <v>2113</v>
      </c>
      <c r="AZ181" s="469" t="s">
        <v>840</v>
      </c>
      <c r="BA181" s="1213">
        <v>0.25</v>
      </c>
      <c r="BB181" s="1213">
        <v>0.25</v>
      </c>
      <c r="BC181" s="1213">
        <v>0.25</v>
      </c>
      <c r="BD181" s="1213">
        <v>0.25</v>
      </c>
      <c r="BE181" s="1213">
        <v>0.25</v>
      </c>
      <c r="BF181" s="1213">
        <v>0.25</v>
      </c>
      <c r="BG181" s="1213">
        <v>0.25</v>
      </c>
      <c r="BH181" s="1213">
        <v>0.25</v>
      </c>
      <c r="BI181" s="1213">
        <v>0.25</v>
      </c>
      <c r="BJ181" s="1213">
        <v>0.25</v>
      </c>
      <c r="BK181" s="1258"/>
      <c r="BL181" s="1257"/>
      <c r="BM181" s="1257"/>
      <c r="BO181" s="1277" t="s">
        <v>1424</v>
      </c>
      <c r="BP181" s="1211" t="s">
        <v>2113</v>
      </c>
      <c r="BQ181" s="469" t="s">
        <v>840</v>
      </c>
      <c r="BR181" s="1213">
        <v>0.25</v>
      </c>
      <c r="BS181" s="1213">
        <v>0.25</v>
      </c>
      <c r="BT181" s="1213">
        <v>0.25</v>
      </c>
      <c r="BU181" s="1213">
        <v>0.25</v>
      </c>
      <c r="BV181" s="1213">
        <v>0.25</v>
      </c>
      <c r="BW181" s="1213">
        <v>0.25</v>
      </c>
      <c r="BX181" s="1213">
        <v>0.25</v>
      </c>
      <c r="BY181" s="1213">
        <v>0.25</v>
      </c>
      <c r="BZ181" s="1213">
        <v>0.25</v>
      </c>
      <c r="CA181" s="1213">
        <v>0.25</v>
      </c>
      <c r="CB181" s="1258"/>
      <c r="CC181" s="1257"/>
      <c r="CD181" s="1257"/>
      <c r="CE181" s="1472"/>
      <c r="CG181" s="1277" t="s">
        <v>1423</v>
      </c>
      <c r="CH181" s="1211" t="s">
        <v>2113</v>
      </c>
      <c r="CI181" s="469" t="s">
        <v>840</v>
      </c>
      <c r="CJ181" s="1689">
        <f t="shared" si="167"/>
        <v>0.25</v>
      </c>
      <c r="CK181" s="1689">
        <f t="shared" si="155"/>
        <v>0.25</v>
      </c>
      <c r="CL181" s="1689">
        <f t="shared" si="156"/>
        <v>0.25</v>
      </c>
      <c r="CM181" s="1689">
        <f t="shared" si="157"/>
        <v>0.25</v>
      </c>
      <c r="CN181" s="1689">
        <f t="shared" si="158"/>
        <v>0.25</v>
      </c>
      <c r="CO181" s="1689">
        <f t="shared" si="159"/>
        <v>0.25</v>
      </c>
      <c r="CP181" s="1689">
        <f t="shared" si="160"/>
        <v>0.25</v>
      </c>
      <c r="CQ181" s="1689">
        <f t="shared" si="161"/>
        <v>0.25</v>
      </c>
      <c r="CR181" s="1689">
        <f t="shared" si="162"/>
        <v>0.25</v>
      </c>
      <c r="CS181" s="1689">
        <f t="shared" si="163"/>
        <v>0.25</v>
      </c>
      <c r="CT181" s="1705">
        <f t="shared" si="164"/>
        <v>0</v>
      </c>
      <c r="CU181" s="1704">
        <f t="shared" si="165"/>
        <v>0</v>
      </c>
      <c r="CV181" s="1704">
        <f t="shared" si="166"/>
        <v>0</v>
      </c>
      <c r="CX181" s="1277" t="s">
        <v>1423</v>
      </c>
      <c r="CY181" s="1211" t="s">
        <v>2113</v>
      </c>
      <c r="CZ181" s="469"/>
      <c r="DA181" s="1814">
        <v>0</v>
      </c>
      <c r="DB181" s="1678"/>
      <c r="DC181" s="1678"/>
      <c r="DD181" s="1678"/>
      <c r="DE181" s="1678"/>
      <c r="DF181" s="1678"/>
      <c r="DG181" s="1678"/>
      <c r="DH181" s="1678"/>
      <c r="DI181" s="1678"/>
      <c r="DJ181" s="1678"/>
      <c r="DK181" s="1805"/>
      <c r="DL181" s="1681"/>
      <c r="DM181" s="1681"/>
    </row>
    <row r="182" spans="2:117" hidden="1">
      <c r="B182" s="1186">
        <f t="shared" si="180"/>
        <v>0</v>
      </c>
      <c r="C182" s="469">
        <f t="shared" si="147"/>
        <v>0</v>
      </c>
      <c r="D182" s="1205">
        <f>IF(I$174=0,0,G182/I$174)</f>
        <v>0</v>
      </c>
      <c r="E182" s="1205">
        <f>IF(J$174=0,0,H182/J$174)</f>
        <v>0</v>
      </c>
      <c r="G182" s="1206">
        <f>K182*M182</f>
        <v>0</v>
      </c>
      <c r="H182" s="1206">
        <f t="shared" ref="H182" si="194">L182*N182</f>
        <v>0</v>
      </c>
      <c r="I182" s="1206"/>
      <c r="J182" s="1206"/>
      <c r="K182" s="1206">
        <f>IF(スコア!Q182=0,0,1)</f>
        <v>1</v>
      </c>
      <c r="L182" s="1206">
        <f>IF(スコア!S182=0,0,1)</f>
        <v>0</v>
      </c>
      <c r="M182" s="1206">
        <f t="shared" ref="M182" si="195">SUMPRODUCT($S$7:$AB$7,S182:AB182)</f>
        <v>0</v>
      </c>
      <c r="N182" s="1206">
        <f t="shared" ref="N182" si="196">(AC$7*AC182)+(AD$7*AD182)+(AE$7*AE182)</f>
        <v>0</v>
      </c>
      <c r="P182" s="1277">
        <f>IF($P$3=1,AX182,IF($P$3=2,BO182,IF($P$3=3,CG182,IF($P$3=4,CX182,AG182))))</f>
        <v>0</v>
      </c>
      <c r="Q182" s="1211">
        <f t="shared" si="150"/>
        <v>0</v>
      </c>
      <c r="R182" s="469">
        <f t="shared" si="151"/>
        <v>0</v>
      </c>
      <c r="S182" s="1747">
        <f t="shared" si="133"/>
        <v>0</v>
      </c>
      <c r="T182" s="1747">
        <f t="shared" si="134"/>
        <v>0</v>
      </c>
      <c r="U182" s="1747">
        <f t="shared" si="135"/>
        <v>0</v>
      </c>
      <c r="V182" s="1747">
        <f t="shared" si="136"/>
        <v>0</v>
      </c>
      <c r="W182" s="1747">
        <f t="shared" si="137"/>
        <v>0</v>
      </c>
      <c r="X182" s="1747">
        <f t="shared" si="138"/>
        <v>0</v>
      </c>
      <c r="Y182" s="1747">
        <f t="shared" si="139"/>
        <v>0</v>
      </c>
      <c r="Z182" s="1747">
        <f t="shared" si="140"/>
        <v>0</v>
      </c>
      <c r="AA182" s="1747">
        <f t="shared" si="141"/>
        <v>0</v>
      </c>
      <c r="AB182" s="1747">
        <f t="shared" si="142"/>
        <v>0</v>
      </c>
      <c r="AC182" s="1760">
        <f t="shared" si="143"/>
        <v>0</v>
      </c>
      <c r="AD182" s="1759">
        <f t="shared" si="144"/>
        <v>0</v>
      </c>
      <c r="AE182" s="1759">
        <f t="shared" si="145"/>
        <v>0</v>
      </c>
      <c r="AG182" s="1277"/>
      <c r="AH182" s="1211"/>
      <c r="AI182" s="469"/>
      <c r="AJ182" s="1213"/>
      <c r="AK182" s="1213"/>
      <c r="AL182" s="1213"/>
      <c r="AM182" s="1213"/>
      <c r="AN182" s="1213"/>
      <c r="AO182" s="1213"/>
      <c r="AP182" s="1213"/>
      <c r="AQ182" s="1213"/>
      <c r="AR182" s="1213"/>
      <c r="AS182" s="1213"/>
      <c r="AT182" s="1258"/>
      <c r="AU182" s="1257"/>
      <c r="AV182" s="1257"/>
      <c r="AX182" s="1277"/>
      <c r="AY182" s="1211"/>
      <c r="AZ182" s="469"/>
      <c r="BA182" s="1213"/>
      <c r="BB182" s="1213"/>
      <c r="BC182" s="1213"/>
      <c r="BD182" s="1213"/>
      <c r="BE182" s="1213"/>
      <c r="BF182" s="1213"/>
      <c r="BG182" s="1213"/>
      <c r="BH182" s="1213"/>
      <c r="BI182" s="1213"/>
      <c r="BJ182" s="1213"/>
      <c r="BK182" s="1258"/>
      <c r="BL182" s="1257"/>
      <c r="BM182" s="1257"/>
      <c r="BO182" s="1277"/>
      <c r="BP182" s="1211"/>
      <c r="BQ182" s="469"/>
      <c r="BR182" s="1213"/>
      <c r="BS182" s="1213"/>
      <c r="BT182" s="1213"/>
      <c r="BU182" s="1213"/>
      <c r="BV182" s="1213"/>
      <c r="BW182" s="1213"/>
      <c r="BX182" s="1213"/>
      <c r="BY182" s="1213"/>
      <c r="BZ182" s="1213"/>
      <c r="CA182" s="1213"/>
      <c r="CB182" s="1258"/>
      <c r="CC182" s="1257"/>
      <c r="CD182" s="1257"/>
      <c r="CE182" s="1472"/>
      <c r="CG182" s="1277"/>
      <c r="CH182" s="1211"/>
      <c r="CI182" s="469"/>
      <c r="CJ182" s="1689"/>
      <c r="CK182" s="1689"/>
      <c r="CL182" s="1689"/>
      <c r="CM182" s="1689"/>
      <c r="CN182" s="1689"/>
      <c r="CO182" s="1689"/>
      <c r="CP182" s="1689"/>
      <c r="CQ182" s="1689"/>
      <c r="CR182" s="1689"/>
      <c r="CS182" s="1689"/>
      <c r="CT182" s="1705"/>
      <c r="CU182" s="1704"/>
      <c r="CV182" s="1704"/>
      <c r="CX182" s="1277" t="s">
        <v>2946</v>
      </c>
      <c r="CY182" s="1211" t="s">
        <v>2113</v>
      </c>
      <c r="CZ182" s="1825" t="s">
        <v>840</v>
      </c>
      <c r="DA182" s="1814">
        <v>1</v>
      </c>
      <c r="DB182" s="1678"/>
      <c r="DC182" s="1678"/>
      <c r="DD182" s="1678"/>
      <c r="DE182" s="1678"/>
      <c r="DF182" s="1678"/>
      <c r="DG182" s="1678"/>
      <c r="DH182" s="1678"/>
      <c r="DI182" s="1678"/>
      <c r="DJ182" s="1678"/>
      <c r="DK182" s="1805"/>
      <c r="DL182" s="1681"/>
      <c r="DM182" s="1681"/>
    </row>
    <row r="183" spans="2:117">
      <c r="B183" s="1186">
        <f t="shared" si="180"/>
        <v>3</v>
      </c>
      <c r="C183" s="1198" t="str">
        <f t="shared" si="147"/>
        <v>周辺環境への配慮</v>
      </c>
      <c r="D183" s="1194" t="e">
        <f>IF(I$172=0,0,G183/I$172)</f>
        <v>#VALUE!</v>
      </c>
      <c r="E183" s="1194">
        <f>IF(J$172=0,0,H183/J$172)</f>
        <v>0</v>
      </c>
      <c r="G183" s="1195">
        <f t="shared" si="168"/>
        <v>0.33333333333333331</v>
      </c>
      <c r="H183" s="1195">
        <f t="shared" si="169"/>
        <v>0</v>
      </c>
      <c r="I183" s="1195">
        <f>G184+G188+G192</f>
        <v>1</v>
      </c>
      <c r="J183" s="1195">
        <f>H184+H188+H192</f>
        <v>0</v>
      </c>
      <c r="K183" s="1195">
        <f>IF(スコア!Q183=0,0,1)</f>
        <v>1</v>
      </c>
      <c r="L183" s="1195">
        <f>IF(スコア!S183=0,0,1)</f>
        <v>0</v>
      </c>
      <c r="M183" s="1195">
        <f t="shared" si="170"/>
        <v>0.33333333333333331</v>
      </c>
      <c r="N183" s="1195">
        <f t="shared" si="182"/>
        <v>0</v>
      </c>
      <c r="P183" s="1275">
        <f t="shared" si="149"/>
        <v>3</v>
      </c>
      <c r="Q183" s="1201" t="str">
        <f t="shared" si="150"/>
        <v>LR3</v>
      </c>
      <c r="R183" s="1198" t="str">
        <f t="shared" si="151"/>
        <v>周辺環境への配慮</v>
      </c>
      <c r="S183" s="1744">
        <f t="shared" si="133"/>
        <v>0.33333333333333331</v>
      </c>
      <c r="T183" s="1744">
        <f t="shared" si="134"/>
        <v>0.33333333333333331</v>
      </c>
      <c r="U183" s="1744">
        <f t="shared" si="135"/>
        <v>0.33333333333333331</v>
      </c>
      <c r="V183" s="1744">
        <f t="shared" si="136"/>
        <v>0.33333333333333331</v>
      </c>
      <c r="W183" s="1744">
        <f t="shared" si="137"/>
        <v>0.33333333333333331</v>
      </c>
      <c r="X183" s="1744">
        <f t="shared" si="138"/>
        <v>0.33333333333333331</v>
      </c>
      <c r="Y183" s="1744">
        <f t="shared" si="139"/>
        <v>0.33333333333333331</v>
      </c>
      <c r="Z183" s="1744">
        <f t="shared" si="140"/>
        <v>0.33333333333333331</v>
      </c>
      <c r="AA183" s="1744">
        <f t="shared" si="141"/>
        <v>0.33333333333333331</v>
      </c>
      <c r="AB183" s="1744">
        <f t="shared" si="142"/>
        <v>0.33333333333333331</v>
      </c>
      <c r="AC183" s="1746">
        <f t="shared" si="143"/>
        <v>0</v>
      </c>
      <c r="AD183" s="1744">
        <f t="shared" si="144"/>
        <v>0</v>
      </c>
      <c r="AE183" s="1744">
        <f t="shared" si="145"/>
        <v>0</v>
      </c>
      <c r="AG183" s="1197">
        <v>3</v>
      </c>
      <c r="AH183" s="1201" t="s">
        <v>1322</v>
      </c>
      <c r="AI183" s="1198" t="s">
        <v>841</v>
      </c>
      <c r="AJ183" s="1202">
        <v>0.33333333333333331</v>
      </c>
      <c r="AK183" s="1202">
        <v>0.33333333333333331</v>
      </c>
      <c r="AL183" s="1202">
        <v>0.33333333333333331</v>
      </c>
      <c r="AM183" s="1202">
        <v>0.33333333333333331</v>
      </c>
      <c r="AN183" s="1202">
        <v>0.33333333333333331</v>
      </c>
      <c r="AO183" s="1202">
        <v>0.33333333333333331</v>
      </c>
      <c r="AP183" s="1202">
        <v>0.33333333333333331</v>
      </c>
      <c r="AQ183" s="1202">
        <v>0.33333333333333331</v>
      </c>
      <c r="AR183" s="1202">
        <v>0.33333333333333331</v>
      </c>
      <c r="AS183" s="1202">
        <v>0.33333333333333331</v>
      </c>
      <c r="AT183" s="1203">
        <v>0</v>
      </c>
      <c r="AU183" s="1202">
        <v>0</v>
      </c>
      <c r="AV183" s="1202">
        <v>0</v>
      </c>
      <c r="AX183" s="1197">
        <v>3</v>
      </c>
      <c r="AY183" s="1201" t="s">
        <v>1322</v>
      </c>
      <c r="AZ183" s="1198" t="s">
        <v>841</v>
      </c>
      <c r="BA183" s="1202">
        <f t="shared" ref="BA183:BJ183" si="197">1/3</f>
        <v>0.33333333333333331</v>
      </c>
      <c r="BB183" s="1202">
        <f t="shared" si="197"/>
        <v>0.33333333333333331</v>
      </c>
      <c r="BC183" s="1202">
        <f t="shared" si="197"/>
        <v>0.33333333333333331</v>
      </c>
      <c r="BD183" s="1202">
        <f t="shared" si="197"/>
        <v>0.33333333333333331</v>
      </c>
      <c r="BE183" s="1202">
        <f t="shared" si="197"/>
        <v>0.33333333333333331</v>
      </c>
      <c r="BF183" s="1202">
        <f t="shared" si="197"/>
        <v>0.33333333333333331</v>
      </c>
      <c r="BG183" s="1202">
        <f t="shared" si="197"/>
        <v>0.33333333333333331</v>
      </c>
      <c r="BH183" s="1202">
        <f t="shared" si="197"/>
        <v>0.33333333333333331</v>
      </c>
      <c r="BI183" s="1202">
        <f t="shared" si="197"/>
        <v>0.33333333333333331</v>
      </c>
      <c r="BJ183" s="1202">
        <f t="shared" si="197"/>
        <v>0.33333333333333331</v>
      </c>
      <c r="BK183" s="1203"/>
      <c r="BL183" s="1202"/>
      <c r="BM183" s="1202"/>
      <c r="BO183" s="1197">
        <v>3</v>
      </c>
      <c r="BP183" s="1201" t="s">
        <v>1322</v>
      </c>
      <c r="BQ183" s="1198" t="s">
        <v>841</v>
      </c>
      <c r="BR183" s="1202">
        <f t="shared" ref="BR183:CA183" si="198">1/3</f>
        <v>0.33333333333333331</v>
      </c>
      <c r="BS183" s="1202">
        <f t="shared" si="198"/>
        <v>0.33333333333333331</v>
      </c>
      <c r="BT183" s="1202">
        <f t="shared" si="198"/>
        <v>0.33333333333333331</v>
      </c>
      <c r="BU183" s="1202">
        <f t="shared" si="198"/>
        <v>0.33333333333333331</v>
      </c>
      <c r="BV183" s="1202">
        <f t="shared" si="198"/>
        <v>0.33333333333333331</v>
      </c>
      <c r="BW183" s="1202">
        <f t="shared" si="198"/>
        <v>0.33333333333333331</v>
      </c>
      <c r="BX183" s="1202">
        <f t="shared" si="198"/>
        <v>0.33333333333333331</v>
      </c>
      <c r="BY183" s="1202">
        <f t="shared" si="198"/>
        <v>0.33333333333333331</v>
      </c>
      <c r="BZ183" s="1202">
        <f t="shared" si="198"/>
        <v>0.33333333333333331</v>
      </c>
      <c r="CA183" s="1202">
        <f t="shared" si="198"/>
        <v>0.33333333333333331</v>
      </c>
      <c r="CB183" s="1203"/>
      <c r="CC183" s="1202"/>
      <c r="CD183" s="1202"/>
      <c r="CE183" s="1468"/>
      <c r="CG183" s="1197">
        <v>3</v>
      </c>
      <c r="CH183" s="1201" t="s">
        <v>1322</v>
      </c>
      <c r="CI183" s="1198" t="s">
        <v>841</v>
      </c>
      <c r="CJ183" s="1686">
        <f t="shared" si="167"/>
        <v>0.33333333333333331</v>
      </c>
      <c r="CK183" s="1686">
        <f t="shared" si="155"/>
        <v>0.33333333333333331</v>
      </c>
      <c r="CL183" s="1686">
        <f t="shared" si="156"/>
        <v>0.33333333333333331</v>
      </c>
      <c r="CM183" s="1686">
        <f t="shared" si="157"/>
        <v>0.33333333333333331</v>
      </c>
      <c r="CN183" s="1686">
        <f t="shared" si="158"/>
        <v>0.33333333333333331</v>
      </c>
      <c r="CO183" s="1686">
        <f t="shared" si="159"/>
        <v>0.33333333333333331</v>
      </c>
      <c r="CP183" s="1686">
        <f t="shared" si="160"/>
        <v>0.33333333333333331</v>
      </c>
      <c r="CQ183" s="1686">
        <f t="shared" si="161"/>
        <v>0.33333333333333331</v>
      </c>
      <c r="CR183" s="1686">
        <f t="shared" si="162"/>
        <v>0.33333333333333331</v>
      </c>
      <c r="CS183" s="1686">
        <f t="shared" si="163"/>
        <v>0.33333333333333331</v>
      </c>
      <c r="CT183" s="1688">
        <f t="shared" si="164"/>
        <v>0</v>
      </c>
      <c r="CU183" s="1686">
        <f t="shared" si="165"/>
        <v>0</v>
      </c>
      <c r="CV183" s="1686">
        <f t="shared" si="166"/>
        <v>0</v>
      </c>
      <c r="CX183" s="1197">
        <v>3</v>
      </c>
      <c r="CY183" s="1201" t="s">
        <v>1322</v>
      </c>
      <c r="CZ183" s="1198" t="s">
        <v>841</v>
      </c>
      <c r="DA183" s="1821">
        <v>0</v>
      </c>
      <c r="DB183" s="1676"/>
      <c r="DC183" s="1676"/>
      <c r="DD183" s="1676"/>
      <c r="DE183" s="1676"/>
      <c r="DF183" s="1676"/>
      <c r="DG183" s="1676"/>
      <c r="DH183" s="1676"/>
      <c r="DI183" s="1676"/>
      <c r="DJ183" s="1676"/>
      <c r="DK183" s="1677"/>
      <c r="DL183" s="1676"/>
      <c r="DM183" s="1676"/>
    </row>
    <row r="184" spans="2:117">
      <c r="B184" s="1186" t="str">
        <f t="shared" si="180"/>
        <v>3.1</v>
      </c>
      <c r="C184" s="1208" t="str">
        <f t="shared" si="147"/>
        <v>騒音・振動・悪臭の防止</v>
      </c>
      <c r="D184" s="1205">
        <f>IF(I$183=0,0,G184/I$183)</f>
        <v>0.4</v>
      </c>
      <c r="E184" s="1205">
        <f>IF(J$183=0,0,H184/J$183)</f>
        <v>0</v>
      </c>
      <c r="G184" s="1206">
        <f t="shared" si="168"/>
        <v>0.4</v>
      </c>
      <c r="H184" s="1206">
        <f t="shared" si="169"/>
        <v>0</v>
      </c>
      <c r="I184" s="1206">
        <f>SUM(G185:G187)</f>
        <v>1</v>
      </c>
      <c r="J184" s="1206">
        <f>SUM(H185:H187)</f>
        <v>0</v>
      </c>
      <c r="K184" s="1206">
        <f>IF(スコア!Q184=0,0,1)</f>
        <v>1</v>
      </c>
      <c r="L184" s="1206">
        <f>IF(スコア!S184=0,0,1)</f>
        <v>0</v>
      </c>
      <c r="M184" s="1206">
        <f t="shared" si="170"/>
        <v>0.4</v>
      </c>
      <c r="N184" s="1206">
        <f t="shared" si="182"/>
        <v>0</v>
      </c>
      <c r="P184" s="1276" t="str">
        <f t="shared" si="149"/>
        <v>3.1</v>
      </c>
      <c r="Q184" s="1211" t="str">
        <f t="shared" si="150"/>
        <v>LR3 3</v>
      </c>
      <c r="R184" s="1208" t="str">
        <f t="shared" si="151"/>
        <v>騒音・振動・悪臭の防止</v>
      </c>
      <c r="S184" s="1759">
        <f t="shared" si="133"/>
        <v>0.4</v>
      </c>
      <c r="T184" s="1759">
        <f t="shared" si="134"/>
        <v>0.4</v>
      </c>
      <c r="U184" s="1759">
        <f t="shared" si="135"/>
        <v>0.4</v>
      </c>
      <c r="V184" s="1759">
        <f t="shared" si="136"/>
        <v>0.4</v>
      </c>
      <c r="W184" s="1759">
        <f t="shared" si="137"/>
        <v>0.4</v>
      </c>
      <c r="X184" s="1759">
        <f t="shared" si="138"/>
        <v>0.4</v>
      </c>
      <c r="Y184" s="1759">
        <f t="shared" si="139"/>
        <v>0.4</v>
      </c>
      <c r="Z184" s="1759">
        <f t="shared" si="140"/>
        <v>0.4</v>
      </c>
      <c r="AA184" s="1759">
        <f t="shared" si="141"/>
        <v>0.4</v>
      </c>
      <c r="AB184" s="1759">
        <f t="shared" si="142"/>
        <v>0.4</v>
      </c>
      <c r="AC184" s="1760">
        <f t="shared" si="143"/>
        <v>0</v>
      </c>
      <c r="AD184" s="1759">
        <f t="shared" si="144"/>
        <v>0</v>
      </c>
      <c r="AE184" s="1759">
        <f t="shared" si="145"/>
        <v>0</v>
      </c>
      <c r="AG184" s="1277" t="s">
        <v>1425</v>
      </c>
      <c r="AH184" s="1211" t="s">
        <v>2114</v>
      </c>
      <c r="AI184" s="1208" t="s">
        <v>842</v>
      </c>
      <c r="AJ184" s="1257">
        <v>0.4</v>
      </c>
      <c r="AK184" s="1257">
        <v>0.4</v>
      </c>
      <c r="AL184" s="1257">
        <v>0.4</v>
      </c>
      <c r="AM184" s="1257">
        <v>0.4</v>
      </c>
      <c r="AN184" s="1257">
        <v>0.4</v>
      </c>
      <c r="AO184" s="1257">
        <v>0.4</v>
      </c>
      <c r="AP184" s="1257">
        <v>0.4</v>
      </c>
      <c r="AQ184" s="1257">
        <v>0.4</v>
      </c>
      <c r="AR184" s="1257">
        <v>0.4</v>
      </c>
      <c r="AS184" s="1257">
        <v>0.4</v>
      </c>
      <c r="AT184" s="1258"/>
      <c r="AU184" s="1257"/>
      <c r="AV184" s="1257"/>
      <c r="AX184" s="1277" t="s">
        <v>1426</v>
      </c>
      <c r="AY184" s="1211" t="s">
        <v>2114</v>
      </c>
      <c r="AZ184" s="1208" t="s">
        <v>842</v>
      </c>
      <c r="BA184" s="1257">
        <v>0.4</v>
      </c>
      <c r="BB184" s="1257">
        <v>0.4</v>
      </c>
      <c r="BC184" s="1257">
        <v>0.4</v>
      </c>
      <c r="BD184" s="1257">
        <v>0.4</v>
      </c>
      <c r="BE184" s="1257">
        <v>0.4</v>
      </c>
      <c r="BF184" s="1257">
        <v>0.4</v>
      </c>
      <c r="BG184" s="1257">
        <v>0.4</v>
      </c>
      <c r="BH184" s="1257">
        <v>0.4</v>
      </c>
      <c r="BI184" s="1257">
        <v>0.4</v>
      </c>
      <c r="BJ184" s="1257">
        <v>0.4</v>
      </c>
      <c r="BK184" s="1258"/>
      <c r="BL184" s="1257"/>
      <c r="BM184" s="1257"/>
      <c r="BO184" s="1277" t="s">
        <v>1426</v>
      </c>
      <c r="BP184" s="1211" t="s">
        <v>2114</v>
      </c>
      <c r="BQ184" s="1208" t="s">
        <v>842</v>
      </c>
      <c r="BR184" s="1257">
        <v>0.4</v>
      </c>
      <c r="BS184" s="1257">
        <v>0.4</v>
      </c>
      <c r="BT184" s="1257">
        <v>0.4</v>
      </c>
      <c r="BU184" s="1257">
        <v>0.4</v>
      </c>
      <c r="BV184" s="1257">
        <v>0.4</v>
      </c>
      <c r="BW184" s="1257">
        <v>0.4</v>
      </c>
      <c r="BX184" s="1257">
        <v>0.4</v>
      </c>
      <c r="BY184" s="1257">
        <v>0.4</v>
      </c>
      <c r="BZ184" s="1257">
        <v>0.4</v>
      </c>
      <c r="CA184" s="1257">
        <v>0.4</v>
      </c>
      <c r="CB184" s="1258"/>
      <c r="CC184" s="1257"/>
      <c r="CD184" s="1257"/>
      <c r="CE184" s="1472"/>
      <c r="CG184" s="1277" t="s">
        <v>1168</v>
      </c>
      <c r="CH184" s="1211" t="s">
        <v>2114</v>
      </c>
      <c r="CI184" s="1208" t="s">
        <v>842</v>
      </c>
      <c r="CJ184" s="1704">
        <f t="shared" si="167"/>
        <v>0.4</v>
      </c>
      <c r="CK184" s="1704">
        <f t="shared" si="155"/>
        <v>0.4</v>
      </c>
      <c r="CL184" s="1704">
        <f t="shared" si="156"/>
        <v>0.4</v>
      </c>
      <c r="CM184" s="1704">
        <f t="shared" si="157"/>
        <v>0.4</v>
      </c>
      <c r="CN184" s="1704">
        <f t="shared" si="158"/>
        <v>0.4</v>
      </c>
      <c r="CO184" s="1704">
        <f t="shared" si="159"/>
        <v>0.4</v>
      </c>
      <c r="CP184" s="1704">
        <f t="shared" si="160"/>
        <v>0.4</v>
      </c>
      <c r="CQ184" s="1704">
        <f t="shared" si="161"/>
        <v>0.4</v>
      </c>
      <c r="CR184" s="1704">
        <f t="shared" si="162"/>
        <v>0.4</v>
      </c>
      <c r="CS184" s="1704">
        <f t="shared" si="163"/>
        <v>0.4</v>
      </c>
      <c r="CT184" s="1705">
        <f t="shared" si="164"/>
        <v>0</v>
      </c>
      <c r="CU184" s="1704">
        <f t="shared" si="165"/>
        <v>0</v>
      </c>
      <c r="CV184" s="1704">
        <f t="shared" si="166"/>
        <v>0</v>
      </c>
      <c r="CX184" s="1277" t="s">
        <v>1168</v>
      </c>
      <c r="CY184" s="1211" t="s">
        <v>2114</v>
      </c>
      <c r="CZ184" s="1208"/>
      <c r="DA184" s="1814">
        <v>0</v>
      </c>
      <c r="DB184" s="1681"/>
      <c r="DC184" s="1681"/>
      <c r="DD184" s="1681"/>
      <c r="DE184" s="1681"/>
      <c r="DF184" s="1681"/>
      <c r="DG184" s="1681"/>
      <c r="DH184" s="1681"/>
      <c r="DI184" s="1681"/>
      <c r="DJ184" s="1681"/>
      <c r="DK184" s="1805"/>
      <c r="DL184" s="1681"/>
      <c r="DM184" s="1681"/>
    </row>
    <row r="185" spans="2:117">
      <c r="B185" s="1186" t="str">
        <f t="shared" si="180"/>
        <v>3.1.1</v>
      </c>
      <c r="C185" s="1208" t="str">
        <f t="shared" si="147"/>
        <v>騒音</v>
      </c>
      <c r="D185" s="1205">
        <f t="shared" ref="D185:E187" si="199">IF(I$184=0,0,G185/I$184)</f>
        <v>0.33333333333333331</v>
      </c>
      <c r="E185" s="1205">
        <f t="shared" si="199"/>
        <v>0</v>
      </c>
      <c r="G185" s="1206">
        <f t="shared" si="168"/>
        <v>0.33333333333333331</v>
      </c>
      <c r="H185" s="1206">
        <f t="shared" si="169"/>
        <v>0</v>
      </c>
      <c r="I185" s="1206"/>
      <c r="J185" s="1206"/>
      <c r="K185" s="1206">
        <f>IF(スコア!Q185=0,0,1)</f>
        <v>1</v>
      </c>
      <c r="L185" s="1206">
        <f>IF(スコア!S185=0,0,1)</f>
        <v>0</v>
      </c>
      <c r="M185" s="1206">
        <f t="shared" si="170"/>
        <v>0.33333333333333331</v>
      </c>
      <c r="N185" s="1206">
        <f t="shared" si="182"/>
        <v>0</v>
      </c>
      <c r="P185" s="1277" t="str">
        <f t="shared" si="149"/>
        <v>3.1.1</v>
      </c>
      <c r="Q185" s="1207" t="str">
        <f t="shared" si="150"/>
        <v>LR3 3.1</v>
      </c>
      <c r="R185" s="1208" t="str">
        <f t="shared" si="151"/>
        <v>騒音</v>
      </c>
      <c r="S185" s="1747">
        <f t="shared" si="133"/>
        <v>0.33333333333333331</v>
      </c>
      <c r="T185" s="1747">
        <f t="shared" si="134"/>
        <v>0.33333333333333331</v>
      </c>
      <c r="U185" s="1747">
        <f t="shared" si="135"/>
        <v>0.33333333333333331</v>
      </c>
      <c r="V185" s="1747">
        <f t="shared" si="136"/>
        <v>0.33333333333333331</v>
      </c>
      <c r="W185" s="1747">
        <f t="shared" si="137"/>
        <v>0.33333333333333331</v>
      </c>
      <c r="X185" s="1747">
        <f t="shared" si="138"/>
        <v>0.33333333333333331</v>
      </c>
      <c r="Y185" s="1747">
        <f t="shared" si="139"/>
        <v>0.33333333333333331</v>
      </c>
      <c r="Z185" s="1747">
        <f t="shared" si="140"/>
        <v>0.33333333333333331</v>
      </c>
      <c r="AA185" s="1747">
        <f t="shared" si="141"/>
        <v>0.33333333333333331</v>
      </c>
      <c r="AB185" s="1747">
        <f t="shared" si="142"/>
        <v>0.33333333333333331</v>
      </c>
      <c r="AC185" s="1748">
        <f t="shared" si="143"/>
        <v>0</v>
      </c>
      <c r="AD185" s="1747">
        <f t="shared" si="144"/>
        <v>0</v>
      </c>
      <c r="AE185" s="1747">
        <f t="shared" si="145"/>
        <v>0</v>
      </c>
      <c r="AG185" s="1277" t="s">
        <v>1427</v>
      </c>
      <c r="AH185" s="1207" t="s">
        <v>2115</v>
      </c>
      <c r="AI185" s="1208" t="s">
        <v>843</v>
      </c>
      <c r="AJ185" s="1213">
        <v>0.33333333333333331</v>
      </c>
      <c r="AK185" s="1213">
        <v>0.33333333333333331</v>
      </c>
      <c r="AL185" s="1213">
        <v>0.33333333333333331</v>
      </c>
      <c r="AM185" s="1213">
        <v>0.33333333333333331</v>
      </c>
      <c r="AN185" s="1213">
        <v>0.33333333333333331</v>
      </c>
      <c r="AO185" s="1213">
        <v>0.33333333333333331</v>
      </c>
      <c r="AP185" s="1213">
        <v>0.33333333333333331</v>
      </c>
      <c r="AQ185" s="1213">
        <v>0.33333333333333331</v>
      </c>
      <c r="AR185" s="1213">
        <v>0.33333333333333331</v>
      </c>
      <c r="AS185" s="1213">
        <v>0.33333333333333331</v>
      </c>
      <c r="AT185" s="1214"/>
      <c r="AU185" s="1213"/>
      <c r="AV185" s="1213"/>
      <c r="AX185" s="1277" t="s">
        <v>1428</v>
      </c>
      <c r="AY185" s="1207" t="s">
        <v>2115</v>
      </c>
      <c r="AZ185" s="1208" t="s">
        <v>843</v>
      </c>
      <c r="BA185" s="1213">
        <v>0.33333333333333331</v>
      </c>
      <c r="BB185" s="1213">
        <v>0.33333333333333331</v>
      </c>
      <c r="BC185" s="1213">
        <v>0.33333333333333331</v>
      </c>
      <c r="BD185" s="1213">
        <v>0.33333333333333331</v>
      </c>
      <c r="BE185" s="1213">
        <v>0.33333333333333331</v>
      </c>
      <c r="BF185" s="1213">
        <v>0.33333333333333331</v>
      </c>
      <c r="BG185" s="1213">
        <v>0.33333333333333331</v>
      </c>
      <c r="BH185" s="1213">
        <v>0.33333333333333331</v>
      </c>
      <c r="BI185" s="1213">
        <v>0.33333333333333331</v>
      </c>
      <c r="BJ185" s="1213">
        <v>0.33333333333333331</v>
      </c>
      <c r="BK185" s="1214"/>
      <c r="BL185" s="1213"/>
      <c r="BM185" s="1213"/>
      <c r="BO185" s="1277" t="s">
        <v>1428</v>
      </c>
      <c r="BP185" s="1207" t="s">
        <v>2115</v>
      </c>
      <c r="BQ185" s="1208" t="s">
        <v>843</v>
      </c>
      <c r="BR185" s="1213">
        <v>0.33333333333333331</v>
      </c>
      <c r="BS185" s="1213">
        <v>0.33333333333333331</v>
      </c>
      <c r="BT185" s="1213">
        <v>0.33333333333333331</v>
      </c>
      <c r="BU185" s="1213">
        <v>0.33333333333333331</v>
      </c>
      <c r="BV185" s="1213">
        <v>0.33333333333333331</v>
      </c>
      <c r="BW185" s="1213">
        <v>0.33333333333333331</v>
      </c>
      <c r="BX185" s="1213">
        <v>0.33333333333333331</v>
      </c>
      <c r="BY185" s="1213">
        <v>0.33333333333333331</v>
      </c>
      <c r="BZ185" s="1213">
        <v>0.33333333333333331</v>
      </c>
      <c r="CA185" s="1213">
        <v>0.33333333333333331</v>
      </c>
      <c r="CB185" s="1213"/>
      <c r="CC185" s="1213"/>
      <c r="CD185" s="1213"/>
      <c r="CE185" s="1469"/>
      <c r="CG185" s="1277" t="s">
        <v>942</v>
      </c>
      <c r="CH185" s="1207" t="s">
        <v>2115</v>
      </c>
      <c r="CI185" s="1208" t="s">
        <v>843</v>
      </c>
      <c r="CJ185" s="1689">
        <f t="shared" si="167"/>
        <v>0.33333333333333331</v>
      </c>
      <c r="CK185" s="1689">
        <f t="shared" si="155"/>
        <v>0.33333333333333331</v>
      </c>
      <c r="CL185" s="1689">
        <f t="shared" si="156"/>
        <v>0.33333333333333331</v>
      </c>
      <c r="CM185" s="1689">
        <f t="shared" si="157"/>
        <v>0.33333333333333331</v>
      </c>
      <c r="CN185" s="1689">
        <f t="shared" si="158"/>
        <v>0.33333333333333331</v>
      </c>
      <c r="CO185" s="1689">
        <f t="shared" si="159"/>
        <v>0.33333333333333331</v>
      </c>
      <c r="CP185" s="1689">
        <f t="shared" si="160"/>
        <v>0.33333333333333331</v>
      </c>
      <c r="CQ185" s="1689">
        <f t="shared" si="161"/>
        <v>0.33333333333333331</v>
      </c>
      <c r="CR185" s="1689">
        <f t="shared" si="162"/>
        <v>0.33333333333333331</v>
      </c>
      <c r="CS185" s="1689">
        <f t="shared" si="163"/>
        <v>0.33333333333333331</v>
      </c>
      <c r="CT185" s="1689">
        <f t="shared" si="164"/>
        <v>0</v>
      </c>
      <c r="CU185" s="1689">
        <f t="shared" si="165"/>
        <v>0</v>
      </c>
      <c r="CV185" s="1689">
        <f t="shared" si="166"/>
        <v>0</v>
      </c>
      <c r="CX185" s="1277" t="s">
        <v>942</v>
      </c>
      <c r="CY185" s="1207" t="s">
        <v>2115</v>
      </c>
      <c r="CZ185" s="1208"/>
      <c r="DA185" s="1814">
        <v>0</v>
      </c>
      <c r="DB185" s="1678"/>
      <c r="DC185" s="1678"/>
      <c r="DD185" s="1678"/>
      <c r="DE185" s="1678"/>
      <c r="DF185" s="1678"/>
      <c r="DG185" s="1678"/>
      <c r="DH185" s="1678"/>
      <c r="DI185" s="1678"/>
      <c r="DJ185" s="1678"/>
      <c r="DK185" s="1678"/>
      <c r="DL185" s="1678"/>
      <c r="DM185" s="1678"/>
    </row>
    <row r="186" spans="2:117">
      <c r="B186" s="1186" t="str">
        <f t="shared" si="180"/>
        <v>3.1.2</v>
      </c>
      <c r="C186" s="1208" t="str">
        <f t="shared" si="147"/>
        <v>振動</v>
      </c>
      <c r="D186" s="1205">
        <f t="shared" si="199"/>
        <v>0.33333333333333331</v>
      </c>
      <c r="E186" s="1205">
        <f t="shared" si="199"/>
        <v>0</v>
      </c>
      <c r="G186" s="1206">
        <f t="shared" si="168"/>
        <v>0.33333333333333331</v>
      </c>
      <c r="H186" s="1206">
        <f t="shared" si="169"/>
        <v>0</v>
      </c>
      <c r="I186" s="1206"/>
      <c r="J186" s="1206"/>
      <c r="K186" s="1206">
        <f>IF(スコア!Q186=0,0,1)</f>
        <v>1</v>
      </c>
      <c r="L186" s="1206">
        <f>IF(スコア!S186=0,0,1)</f>
        <v>0</v>
      </c>
      <c r="M186" s="1206">
        <f t="shared" si="170"/>
        <v>0.33333333333333331</v>
      </c>
      <c r="N186" s="1206">
        <f t="shared" si="182"/>
        <v>0</v>
      </c>
      <c r="P186" s="1277" t="str">
        <f t="shared" si="149"/>
        <v>3.1.2</v>
      </c>
      <c r="Q186" s="1207" t="str">
        <f t="shared" si="150"/>
        <v>LR3 3.1</v>
      </c>
      <c r="R186" s="1208" t="str">
        <f t="shared" si="151"/>
        <v>振動</v>
      </c>
      <c r="S186" s="1747">
        <f t="shared" si="133"/>
        <v>0.33333333333333331</v>
      </c>
      <c r="T186" s="1747">
        <f t="shared" si="134"/>
        <v>0.33333333333333331</v>
      </c>
      <c r="U186" s="1747">
        <f t="shared" si="135"/>
        <v>0.33333333333333331</v>
      </c>
      <c r="V186" s="1747">
        <f t="shared" si="136"/>
        <v>0.33333333333333331</v>
      </c>
      <c r="W186" s="1747">
        <f t="shared" si="137"/>
        <v>0.33333333333333331</v>
      </c>
      <c r="X186" s="1747">
        <f t="shared" si="138"/>
        <v>0.33333333333333331</v>
      </c>
      <c r="Y186" s="1747">
        <f t="shared" si="139"/>
        <v>0.33333333333333331</v>
      </c>
      <c r="Z186" s="1747">
        <f t="shared" si="140"/>
        <v>0.33333333333333331</v>
      </c>
      <c r="AA186" s="1747">
        <f t="shared" si="141"/>
        <v>0.33333333333333331</v>
      </c>
      <c r="AB186" s="1747">
        <f t="shared" si="142"/>
        <v>0.33333333333333331</v>
      </c>
      <c r="AC186" s="1748">
        <f t="shared" si="143"/>
        <v>0</v>
      </c>
      <c r="AD186" s="1747">
        <f t="shared" si="144"/>
        <v>0</v>
      </c>
      <c r="AE186" s="1747">
        <f t="shared" si="145"/>
        <v>0</v>
      </c>
      <c r="AG186" s="1277" t="s">
        <v>1429</v>
      </c>
      <c r="AH186" s="1207" t="s">
        <v>2115</v>
      </c>
      <c r="AI186" s="1208" t="s">
        <v>2116</v>
      </c>
      <c r="AJ186" s="1213">
        <v>0.33333333333333331</v>
      </c>
      <c r="AK186" s="1213">
        <v>0.33333333333333331</v>
      </c>
      <c r="AL186" s="1213">
        <v>0.33333333333333331</v>
      </c>
      <c r="AM186" s="1213">
        <v>0.33333333333333331</v>
      </c>
      <c r="AN186" s="1213">
        <v>0.33333333333333331</v>
      </c>
      <c r="AO186" s="1213">
        <v>0.33333333333333331</v>
      </c>
      <c r="AP186" s="1213">
        <v>0.33333333333333331</v>
      </c>
      <c r="AQ186" s="1213">
        <v>0.33333333333333331</v>
      </c>
      <c r="AR186" s="1213">
        <v>0.33333333333333331</v>
      </c>
      <c r="AS186" s="1213">
        <v>0.33333333333333331</v>
      </c>
      <c r="AT186" s="1214"/>
      <c r="AU186" s="1213"/>
      <c r="AV186" s="1213"/>
      <c r="AX186" s="1277" t="s">
        <v>1429</v>
      </c>
      <c r="AY186" s="1207" t="s">
        <v>2115</v>
      </c>
      <c r="AZ186" s="1208" t="s">
        <v>2116</v>
      </c>
      <c r="BA186" s="1213">
        <v>0.33333333333333331</v>
      </c>
      <c r="BB186" s="1213">
        <v>0.33333333333333331</v>
      </c>
      <c r="BC186" s="1213">
        <v>0.33333333333333331</v>
      </c>
      <c r="BD186" s="1213">
        <v>0.33333333333333331</v>
      </c>
      <c r="BE186" s="1213">
        <v>0.33333333333333331</v>
      </c>
      <c r="BF186" s="1213">
        <v>0.33333333333333331</v>
      </c>
      <c r="BG186" s="1213">
        <v>0.33333333333333331</v>
      </c>
      <c r="BH186" s="1213">
        <v>0.33333333333333331</v>
      </c>
      <c r="BI186" s="1213">
        <v>0.33333333333333331</v>
      </c>
      <c r="BJ186" s="1213">
        <v>0.33333333333333331</v>
      </c>
      <c r="BK186" s="1214"/>
      <c r="BL186" s="1213"/>
      <c r="BM186" s="1213"/>
      <c r="BO186" s="1277" t="s">
        <v>1429</v>
      </c>
      <c r="BP186" s="1207" t="s">
        <v>2115</v>
      </c>
      <c r="BQ186" s="1208" t="s">
        <v>2116</v>
      </c>
      <c r="BR186" s="1213">
        <v>0.33333333333333331</v>
      </c>
      <c r="BS186" s="1213">
        <v>0.33333333333333331</v>
      </c>
      <c r="BT186" s="1213">
        <v>0.33333333333333331</v>
      </c>
      <c r="BU186" s="1213">
        <v>0.33333333333333331</v>
      </c>
      <c r="BV186" s="1213">
        <v>0.33333333333333331</v>
      </c>
      <c r="BW186" s="1213">
        <v>0.33333333333333331</v>
      </c>
      <c r="BX186" s="1213">
        <v>0.33333333333333331</v>
      </c>
      <c r="BY186" s="1213">
        <v>0.33333333333333331</v>
      </c>
      <c r="BZ186" s="1213">
        <v>0.33333333333333331</v>
      </c>
      <c r="CA186" s="1213">
        <v>0.33333333333333331</v>
      </c>
      <c r="CB186" s="1213"/>
      <c r="CC186" s="1213"/>
      <c r="CD186" s="1213"/>
      <c r="CE186" s="1469"/>
      <c r="CG186" s="1277" t="s">
        <v>943</v>
      </c>
      <c r="CH186" s="1207" t="s">
        <v>2115</v>
      </c>
      <c r="CI186" s="1208" t="s">
        <v>2116</v>
      </c>
      <c r="CJ186" s="1689">
        <f t="shared" si="167"/>
        <v>0.33333333333333331</v>
      </c>
      <c r="CK186" s="1689">
        <f t="shared" si="155"/>
        <v>0.33333333333333331</v>
      </c>
      <c r="CL186" s="1689">
        <f t="shared" si="156"/>
        <v>0.33333333333333331</v>
      </c>
      <c r="CM186" s="1689">
        <f t="shared" si="157"/>
        <v>0.33333333333333331</v>
      </c>
      <c r="CN186" s="1689">
        <f t="shared" si="158"/>
        <v>0.33333333333333331</v>
      </c>
      <c r="CO186" s="1689">
        <f t="shared" si="159"/>
        <v>0.33333333333333331</v>
      </c>
      <c r="CP186" s="1689">
        <f t="shared" si="160"/>
        <v>0.33333333333333331</v>
      </c>
      <c r="CQ186" s="1689">
        <f t="shared" si="161"/>
        <v>0.33333333333333331</v>
      </c>
      <c r="CR186" s="1689">
        <f t="shared" si="162"/>
        <v>0.33333333333333331</v>
      </c>
      <c r="CS186" s="1689">
        <f t="shared" si="163"/>
        <v>0.33333333333333331</v>
      </c>
      <c r="CT186" s="1689">
        <f t="shared" si="164"/>
        <v>0</v>
      </c>
      <c r="CU186" s="1689">
        <f t="shared" si="165"/>
        <v>0</v>
      </c>
      <c r="CV186" s="1689">
        <f t="shared" si="166"/>
        <v>0</v>
      </c>
      <c r="CX186" s="1277" t="s">
        <v>943</v>
      </c>
      <c r="CY186" s="1207" t="s">
        <v>2115</v>
      </c>
      <c r="CZ186" s="1208"/>
      <c r="DA186" s="1814">
        <v>0</v>
      </c>
      <c r="DB186" s="1678"/>
      <c r="DC186" s="1678"/>
      <c r="DD186" s="1678"/>
      <c r="DE186" s="1678"/>
      <c r="DF186" s="1678"/>
      <c r="DG186" s="1678"/>
      <c r="DH186" s="1678"/>
      <c r="DI186" s="1678"/>
      <c r="DJ186" s="1678"/>
      <c r="DK186" s="1678"/>
      <c r="DL186" s="1678"/>
      <c r="DM186" s="1678"/>
    </row>
    <row r="187" spans="2:117">
      <c r="B187" s="1186" t="str">
        <f t="shared" si="180"/>
        <v>3.1.3</v>
      </c>
      <c r="C187" s="1208" t="str">
        <f t="shared" si="147"/>
        <v>悪臭</v>
      </c>
      <c r="D187" s="1205">
        <f t="shared" si="199"/>
        <v>0.33333333333333331</v>
      </c>
      <c r="E187" s="1205">
        <f t="shared" si="199"/>
        <v>0</v>
      </c>
      <c r="G187" s="1206">
        <f t="shared" ref="G187:G194" si="200">K187*M187</f>
        <v>0.33333333333333331</v>
      </c>
      <c r="H187" s="1206">
        <f t="shared" ref="H187:H194" si="201">L187*N187</f>
        <v>0</v>
      </c>
      <c r="I187" s="1206"/>
      <c r="J187" s="1206"/>
      <c r="K187" s="1206">
        <f>IF(スコア!Q187=0,0,1)</f>
        <v>1</v>
      </c>
      <c r="L187" s="1206">
        <f>IF(スコア!S187=0,0,1)</f>
        <v>0</v>
      </c>
      <c r="M187" s="1206">
        <f t="shared" ref="M187:M194" si="202">SUMPRODUCT($S$7:$AB$7,S187:AB187)</f>
        <v>0.33333333333333331</v>
      </c>
      <c r="N187" s="1206">
        <f t="shared" si="182"/>
        <v>0</v>
      </c>
      <c r="P187" s="1277" t="str">
        <f t="shared" si="149"/>
        <v>3.1.3</v>
      </c>
      <c r="Q187" s="1207" t="str">
        <f t="shared" si="150"/>
        <v>LR3 3.1</v>
      </c>
      <c r="R187" s="1208" t="str">
        <f t="shared" si="151"/>
        <v>悪臭</v>
      </c>
      <c r="S187" s="1747">
        <f t="shared" si="133"/>
        <v>0.33333333333333331</v>
      </c>
      <c r="T187" s="1747">
        <f t="shared" si="134"/>
        <v>0.33333333333333331</v>
      </c>
      <c r="U187" s="1747">
        <f t="shared" si="135"/>
        <v>0.33333333333333331</v>
      </c>
      <c r="V187" s="1747">
        <f t="shared" si="136"/>
        <v>0.33333333333333331</v>
      </c>
      <c r="W187" s="1747">
        <f t="shared" si="137"/>
        <v>0.33333333333333331</v>
      </c>
      <c r="X187" s="1747">
        <f t="shared" si="138"/>
        <v>0.33333333333333331</v>
      </c>
      <c r="Y187" s="1747">
        <f t="shared" si="139"/>
        <v>0.33333333333333331</v>
      </c>
      <c r="Z187" s="1747">
        <f t="shared" si="140"/>
        <v>0.33333333333333331</v>
      </c>
      <c r="AA187" s="1747">
        <f t="shared" si="141"/>
        <v>0.33333333333333331</v>
      </c>
      <c r="AB187" s="1747">
        <f t="shared" si="142"/>
        <v>0.33333333333333331</v>
      </c>
      <c r="AC187" s="1748">
        <f t="shared" si="143"/>
        <v>0</v>
      </c>
      <c r="AD187" s="1747">
        <f t="shared" si="144"/>
        <v>0</v>
      </c>
      <c r="AE187" s="1747">
        <f t="shared" si="145"/>
        <v>0</v>
      </c>
      <c r="AG187" s="1277" t="s">
        <v>1430</v>
      </c>
      <c r="AH187" s="1207" t="s">
        <v>2115</v>
      </c>
      <c r="AI187" s="1208" t="s">
        <v>1836</v>
      </c>
      <c r="AJ187" s="1213">
        <v>0.33333333333333331</v>
      </c>
      <c r="AK187" s="1213">
        <v>0.33333333333333331</v>
      </c>
      <c r="AL187" s="1213">
        <v>0.33333333333333331</v>
      </c>
      <c r="AM187" s="1213">
        <v>0.33333333333333331</v>
      </c>
      <c r="AN187" s="1213">
        <v>0.33333333333333331</v>
      </c>
      <c r="AO187" s="1213">
        <v>0.33333333333333331</v>
      </c>
      <c r="AP187" s="1213">
        <v>0.33333333333333331</v>
      </c>
      <c r="AQ187" s="1213">
        <v>0.33333333333333331</v>
      </c>
      <c r="AR187" s="1213">
        <v>0.33333333333333331</v>
      </c>
      <c r="AS187" s="1213">
        <v>0.33333333333333331</v>
      </c>
      <c r="AT187" s="1214"/>
      <c r="AU187" s="1213"/>
      <c r="AV187" s="1213"/>
      <c r="AX187" s="1277" t="s">
        <v>1430</v>
      </c>
      <c r="AY187" s="1207" t="s">
        <v>2115</v>
      </c>
      <c r="AZ187" s="1208" t="s">
        <v>1836</v>
      </c>
      <c r="BA187" s="1213">
        <v>0.33333333333333331</v>
      </c>
      <c r="BB187" s="1213">
        <v>0.33333333333333331</v>
      </c>
      <c r="BC187" s="1213">
        <v>0.33333333333333331</v>
      </c>
      <c r="BD187" s="1213">
        <v>0.33333333333333331</v>
      </c>
      <c r="BE187" s="1213">
        <v>0.33333333333333331</v>
      </c>
      <c r="BF187" s="1213">
        <v>0.33333333333333331</v>
      </c>
      <c r="BG187" s="1213">
        <v>0.33333333333333331</v>
      </c>
      <c r="BH187" s="1213">
        <v>0.33333333333333331</v>
      </c>
      <c r="BI187" s="1213">
        <v>0.33333333333333331</v>
      </c>
      <c r="BJ187" s="1213">
        <v>0.33333333333333331</v>
      </c>
      <c r="BK187" s="1214"/>
      <c r="BL187" s="1213"/>
      <c r="BM187" s="1213"/>
      <c r="BO187" s="1277" t="s">
        <v>1430</v>
      </c>
      <c r="BP187" s="1207" t="s">
        <v>2115</v>
      </c>
      <c r="BQ187" s="1208" t="s">
        <v>1836</v>
      </c>
      <c r="BR187" s="1213">
        <v>0.33333333333333331</v>
      </c>
      <c r="BS187" s="1213">
        <v>0.33333333333333331</v>
      </c>
      <c r="BT187" s="1213">
        <v>0.33333333333333331</v>
      </c>
      <c r="BU187" s="1213">
        <v>0.33333333333333331</v>
      </c>
      <c r="BV187" s="1213">
        <v>0.33333333333333331</v>
      </c>
      <c r="BW187" s="1213">
        <v>0.33333333333333331</v>
      </c>
      <c r="BX187" s="1213">
        <v>0.33333333333333331</v>
      </c>
      <c r="BY187" s="1213">
        <v>0.33333333333333331</v>
      </c>
      <c r="BZ187" s="1213">
        <v>0.33333333333333331</v>
      </c>
      <c r="CA187" s="1213">
        <v>0.33333333333333331</v>
      </c>
      <c r="CB187" s="1213"/>
      <c r="CC187" s="1213"/>
      <c r="CD187" s="1213"/>
      <c r="CE187" s="1469"/>
      <c r="CG187" s="1277" t="s">
        <v>944</v>
      </c>
      <c r="CH187" s="1207" t="s">
        <v>2115</v>
      </c>
      <c r="CI187" s="1208" t="s">
        <v>1836</v>
      </c>
      <c r="CJ187" s="1689">
        <f t="shared" si="167"/>
        <v>0.33333333333333331</v>
      </c>
      <c r="CK187" s="1689">
        <f t="shared" si="155"/>
        <v>0.33333333333333331</v>
      </c>
      <c r="CL187" s="1689">
        <f t="shared" si="156"/>
        <v>0.33333333333333331</v>
      </c>
      <c r="CM187" s="1689">
        <f t="shared" si="157"/>
        <v>0.33333333333333331</v>
      </c>
      <c r="CN187" s="1689">
        <f t="shared" si="158"/>
        <v>0.33333333333333331</v>
      </c>
      <c r="CO187" s="1689">
        <f t="shared" si="159"/>
        <v>0.33333333333333331</v>
      </c>
      <c r="CP187" s="1689">
        <f t="shared" si="160"/>
        <v>0.33333333333333331</v>
      </c>
      <c r="CQ187" s="1689">
        <f t="shared" si="161"/>
        <v>0.33333333333333331</v>
      </c>
      <c r="CR187" s="1689">
        <f t="shared" si="162"/>
        <v>0.33333333333333331</v>
      </c>
      <c r="CS187" s="1689">
        <f t="shared" si="163"/>
        <v>0.33333333333333331</v>
      </c>
      <c r="CT187" s="1689">
        <f t="shared" si="164"/>
        <v>0</v>
      </c>
      <c r="CU187" s="1689">
        <f t="shared" si="165"/>
        <v>0</v>
      </c>
      <c r="CV187" s="1689">
        <f t="shared" si="166"/>
        <v>0</v>
      </c>
      <c r="CX187" s="1277" t="s">
        <v>944</v>
      </c>
      <c r="CY187" s="1207" t="s">
        <v>2115</v>
      </c>
      <c r="CZ187" s="1208"/>
      <c r="DA187" s="1814">
        <v>0</v>
      </c>
      <c r="DB187" s="1678"/>
      <c r="DC187" s="1678"/>
      <c r="DD187" s="1678"/>
      <c r="DE187" s="1678"/>
      <c r="DF187" s="1678"/>
      <c r="DG187" s="1678"/>
      <c r="DH187" s="1678"/>
      <c r="DI187" s="1678"/>
      <c r="DJ187" s="1678"/>
      <c r="DK187" s="1678"/>
      <c r="DL187" s="1678"/>
      <c r="DM187" s="1678"/>
    </row>
    <row r="188" spans="2:117">
      <c r="B188" s="1186" t="str">
        <f t="shared" si="180"/>
        <v>3.2</v>
      </c>
      <c r="C188" s="1208" t="str">
        <f t="shared" si="147"/>
        <v>風害・砂塵、日照阻害の抑制</v>
      </c>
      <c r="D188" s="1205">
        <f>IF(I$183=0,0,G188/I$183)</f>
        <v>0.4</v>
      </c>
      <c r="E188" s="1205">
        <f>IF(J$183=0,0,H188/J$183)</f>
        <v>0</v>
      </c>
      <c r="G188" s="1206">
        <f t="shared" si="200"/>
        <v>0.4</v>
      </c>
      <c r="H188" s="1206">
        <f t="shared" si="201"/>
        <v>0</v>
      </c>
      <c r="I188" s="1206">
        <f>SUM(G189:G191)</f>
        <v>1</v>
      </c>
      <c r="J188" s="1206">
        <f>SUM(H189:H191)</f>
        <v>0</v>
      </c>
      <c r="K188" s="1206">
        <f>IF(スコア!Q188=0,0,1)</f>
        <v>1</v>
      </c>
      <c r="L188" s="1206">
        <f>IF(スコア!S188=0,0,1)</f>
        <v>0</v>
      </c>
      <c r="M188" s="1206">
        <f t="shared" si="202"/>
        <v>0.4</v>
      </c>
      <c r="N188" s="1206">
        <f t="shared" si="182"/>
        <v>0</v>
      </c>
      <c r="P188" s="1276" t="str">
        <f t="shared" si="149"/>
        <v>3.2</v>
      </c>
      <c r="Q188" s="1211" t="str">
        <f t="shared" si="150"/>
        <v>LR3 3</v>
      </c>
      <c r="R188" s="1208" t="str">
        <f t="shared" si="151"/>
        <v>風害・砂塵、日照阻害の抑制</v>
      </c>
      <c r="S188" s="1759">
        <f t="shared" si="133"/>
        <v>0.4</v>
      </c>
      <c r="T188" s="1759">
        <f t="shared" si="134"/>
        <v>0.4</v>
      </c>
      <c r="U188" s="1759">
        <f t="shared" si="135"/>
        <v>0.4</v>
      </c>
      <c r="V188" s="1759">
        <f t="shared" si="136"/>
        <v>0.4</v>
      </c>
      <c r="W188" s="1759">
        <f t="shared" si="137"/>
        <v>0.4</v>
      </c>
      <c r="X188" s="1759">
        <f t="shared" si="138"/>
        <v>0.4</v>
      </c>
      <c r="Y188" s="1759">
        <f t="shared" si="139"/>
        <v>0.4</v>
      </c>
      <c r="Z188" s="1759">
        <f t="shared" si="140"/>
        <v>0.4</v>
      </c>
      <c r="AA188" s="1759">
        <f t="shared" si="141"/>
        <v>0.4</v>
      </c>
      <c r="AB188" s="1759">
        <f t="shared" si="142"/>
        <v>0.4</v>
      </c>
      <c r="AC188" s="1760">
        <f t="shared" si="143"/>
        <v>0</v>
      </c>
      <c r="AD188" s="1759">
        <f t="shared" si="144"/>
        <v>0</v>
      </c>
      <c r="AE188" s="1759">
        <f t="shared" si="145"/>
        <v>0</v>
      </c>
      <c r="AG188" s="1277" t="s">
        <v>1431</v>
      </c>
      <c r="AH188" s="1211" t="s">
        <v>2114</v>
      </c>
      <c r="AI188" s="1208" t="s">
        <v>1432</v>
      </c>
      <c r="AJ188" s="1257">
        <v>0.4</v>
      </c>
      <c r="AK188" s="1257">
        <v>0.4</v>
      </c>
      <c r="AL188" s="1257">
        <v>0.4</v>
      </c>
      <c r="AM188" s="1257">
        <v>0.4</v>
      </c>
      <c r="AN188" s="1257">
        <v>0.4</v>
      </c>
      <c r="AO188" s="1257">
        <v>0.4</v>
      </c>
      <c r="AP188" s="1257">
        <v>0.4</v>
      </c>
      <c r="AQ188" s="1257">
        <v>0.4</v>
      </c>
      <c r="AR188" s="1257">
        <v>0.4</v>
      </c>
      <c r="AS188" s="1257">
        <v>0.4</v>
      </c>
      <c r="AT188" s="1258"/>
      <c r="AU188" s="1257"/>
      <c r="AV188" s="1257"/>
      <c r="AX188" s="1277" t="s">
        <v>1431</v>
      </c>
      <c r="AY188" s="1211" t="s">
        <v>2114</v>
      </c>
      <c r="AZ188" s="1208" t="s">
        <v>614</v>
      </c>
      <c r="BA188" s="1257">
        <v>0.4</v>
      </c>
      <c r="BB188" s="1257">
        <v>0.4</v>
      </c>
      <c r="BC188" s="1257">
        <v>0.4</v>
      </c>
      <c r="BD188" s="1257">
        <v>0.4</v>
      </c>
      <c r="BE188" s="1257">
        <v>0.4</v>
      </c>
      <c r="BF188" s="1257">
        <v>0.4</v>
      </c>
      <c r="BG188" s="1257">
        <v>0.4</v>
      </c>
      <c r="BH188" s="1257">
        <v>0.4</v>
      </c>
      <c r="BI188" s="1257">
        <v>0.4</v>
      </c>
      <c r="BJ188" s="1257">
        <v>0.4</v>
      </c>
      <c r="BK188" s="1258"/>
      <c r="BL188" s="1257"/>
      <c r="BM188" s="1257"/>
      <c r="BO188" s="1277" t="s">
        <v>1431</v>
      </c>
      <c r="BP188" s="1211" t="s">
        <v>2114</v>
      </c>
      <c r="BQ188" s="1208" t="s">
        <v>613</v>
      </c>
      <c r="BR188" s="1257">
        <v>0.4</v>
      </c>
      <c r="BS188" s="1257">
        <v>0.4</v>
      </c>
      <c r="BT188" s="1257">
        <v>0.4</v>
      </c>
      <c r="BU188" s="1257">
        <v>0.4</v>
      </c>
      <c r="BV188" s="1257">
        <v>0.4</v>
      </c>
      <c r="BW188" s="1257">
        <v>0.4</v>
      </c>
      <c r="BX188" s="1257">
        <v>0.4</v>
      </c>
      <c r="BY188" s="1257">
        <v>0.4</v>
      </c>
      <c r="BZ188" s="1257">
        <v>0.4</v>
      </c>
      <c r="CA188" s="1257">
        <v>0.4</v>
      </c>
      <c r="CB188" s="1258"/>
      <c r="CC188" s="1257"/>
      <c r="CD188" s="1257"/>
      <c r="CE188" s="1472"/>
      <c r="CG188" s="1277" t="s">
        <v>1170</v>
      </c>
      <c r="CH188" s="1211" t="s">
        <v>2114</v>
      </c>
      <c r="CI188" s="1208" t="s">
        <v>613</v>
      </c>
      <c r="CJ188" s="1704">
        <f t="shared" si="167"/>
        <v>0.4</v>
      </c>
      <c r="CK188" s="1704">
        <f t="shared" si="155"/>
        <v>0.4</v>
      </c>
      <c r="CL188" s="1704">
        <f t="shared" si="156"/>
        <v>0.4</v>
      </c>
      <c r="CM188" s="1704">
        <f t="shared" si="157"/>
        <v>0.4</v>
      </c>
      <c r="CN188" s="1704">
        <f t="shared" si="158"/>
        <v>0.4</v>
      </c>
      <c r="CO188" s="1704">
        <f t="shared" si="159"/>
        <v>0.4</v>
      </c>
      <c r="CP188" s="1704">
        <f t="shared" si="160"/>
        <v>0.4</v>
      </c>
      <c r="CQ188" s="1704">
        <f t="shared" si="161"/>
        <v>0.4</v>
      </c>
      <c r="CR188" s="1704">
        <f t="shared" si="162"/>
        <v>0.4</v>
      </c>
      <c r="CS188" s="1704">
        <f t="shared" si="163"/>
        <v>0.4</v>
      </c>
      <c r="CT188" s="1705">
        <f t="shared" si="164"/>
        <v>0</v>
      </c>
      <c r="CU188" s="1704">
        <f t="shared" si="165"/>
        <v>0</v>
      </c>
      <c r="CV188" s="1704">
        <f t="shared" si="166"/>
        <v>0</v>
      </c>
      <c r="CX188" s="1277" t="s">
        <v>1170</v>
      </c>
      <c r="CY188" s="1211" t="s">
        <v>2114</v>
      </c>
      <c r="CZ188" s="1208"/>
      <c r="DA188" s="1814">
        <v>0</v>
      </c>
      <c r="DB188" s="1681"/>
      <c r="DC188" s="1681"/>
      <c r="DD188" s="1681"/>
      <c r="DE188" s="1681"/>
      <c r="DF188" s="1681"/>
      <c r="DG188" s="1681"/>
      <c r="DH188" s="1681"/>
      <c r="DI188" s="1681"/>
      <c r="DJ188" s="1681"/>
      <c r="DK188" s="1805"/>
      <c r="DL188" s="1681"/>
      <c r="DM188" s="1681"/>
    </row>
    <row r="189" spans="2:117">
      <c r="B189" s="1186" t="str">
        <f t="shared" ref="B189:B194" si="203">P189</f>
        <v>3.2.1</v>
      </c>
      <c r="C189" s="1278" t="str">
        <f t="shared" si="147"/>
        <v>風害の抑制</v>
      </c>
      <c r="D189" s="1205">
        <f t="shared" ref="D189:E191" si="204">IF(I$188=0,0,G189/I$188)</f>
        <v>0.7</v>
      </c>
      <c r="E189" s="1205">
        <f t="shared" si="204"/>
        <v>0</v>
      </c>
      <c r="G189" s="1206">
        <f t="shared" si="200"/>
        <v>0.7</v>
      </c>
      <c r="H189" s="1206">
        <f t="shared" si="201"/>
        <v>0</v>
      </c>
      <c r="I189" s="1206"/>
      <c r="J189" s="1206"/>
      <c r="K189" s="1206">
        <f>IF(スコア!Q189=0,0,1)</f>
        <v>1</v>
      </c>
      <c r="L189" s="1206">
        <f>IF(スコア!S189=0,0,1)</f>
        <v>0</v>
      </c>
      <c r="M189" s="1206">
        <f t="shared" si="202"/>
        <v>0.7</v>
      </c>
      <c r="N189" s="1206">
        <f t="shared" si="182"/>
        <v>0</v>
      </c>
      <c r="P189" s="1277" t="str">
        <f t="shared" si="149"/>
        <v>3.2.1</v>
      </c>
      <c r="Q189" s="1211" t="str">
        <f t="shared" si="150"/>
        <v>LR3 3.2</v>
      </c>
      <c r="R189" s="1278" t="str">
        <f t="shared" si="151"/>
        <v>風害の抑制</v>
      </c>
      <c r="S189" s="1747">
        <f t="shared" si="133"/>
        <v>0.7</v>
      </c>
      <c r="T189" s="1747">
        <f t="shared" si="134"/>
        <v>0.7</v>
      </c>
      <c r="U189" s="1747">
        <f t="shared" si="135"/>
        <v>0.7</v>
      </c>
      <c r="V189" s="1747">
        <f t="shared" si="136"/>
        <v>0.7</v>
      </c>
      <c r="W189" s="1747">
        <f t="shared" si="137"/>
        <v>0.7</v>
      </c>
      <c r="X189" s="1747">
        <f t="shared" si="138"/>
        <v>0.7</v>
      </c>
      <c r="Y189" s="1747">
        <f t="shared" si="139"/>
        <v>0.7</v>
      </c>
      <c r="Z189" s="1747">
        <f t="shared" si="140"/>
        <v>0.7</v>
      </c>
      <c r="AA189" s="1747">
        <f t="shared" si="141"/>
        <v>0.7</v>
      </c>
      <c r="AB189" s="1747">
        <f t="shared" si="142"/>
        <v>0.6</v>
      </c>
      <c r="AC189" s="1760">
        <f t="shared" si="143"/>
        <v>0</v>
      </c>
      <c r="AD189" s="1759">
        <f t="shared" si="144"/>
        <v>0</v>
      </c>
      <c r="AE189" s="1759">
        <f t="shared" si="145"/>
        <v>0</v>
      </c>
      <c r="AG189" s="1277" t="s">
        <v>1433</v>
      </c>
      <c r="AH189" s="1211" t="s">
        <v>1837</v>
      </c>
      <c r="AI189" s="1278" t="s">
        <v>1434</v>
      </c>
      <c r="AJ189" s="1213">
        <v>0.7</v>
      </c>
      <c r="AK189" s="1213">
        <v>0.7</v>
      </c>
      <c r="AL189" s="1213">
        <v>0.7</v>
      </c>
      <c r="AM189" s="1213">
        <v>0.7</v>
      </c>
      <c r="AN189" s="1213">
        <v>0.7</v>
      </c>
      <c r="AO189" s="1213">
        <v>0.7</v>
      </c>
      <c r="AP189" s="1213">
        <v>0.7</v>
      </c>
      <c r="AQ189" s="1213">
        <v>0.7</v>
      </c>
      <c r="AR189" s="1213">
        <v>0.7</v>
      </c>
      <c r="AS189" s="1226">
        <v>0.6</v>
      </c>
      <c r="AT189" s="1258"/>
      <c r="AU189" s="1257"/>
      <c r="AV189" s="1257"/>
      <c r="AX189" s="1277" t="s">
        <v>1433</v>
      </c>
      <c r="AY189" s="1211" t="s">
        <v>1837</v>
      </c>
      <c r="AZ189" s="1278" t="s">
        <v>1434</v>
      </c>
      <c r="BA189" s="1213">
        <v>0.7</v>
      </c>
      <c r="BB189" s="1213">
        <v>0.7</v>
      </c>
      <c r="BC189" s="1213">
        <v>0.7</v>
      </c>
      <c r="BD189" s="1213">
        <v>0.7</v>
      </c>
      <c r="BE189" s="1213">
        <v>0.7</v>
      </c>
      <c r="BF189" s="1213">
        <v>0.7</v>
      </c>
      <c r="BG189" s="1213">
        <v>0.7</v>
      </c>
      <c r="BH189" s="1213">
        <v>0.7</v>
      </c>
      <c r="BI189" s="1213">
        <v>0.7</v>
      </c>
      <c r="BJ189" s="1257">
        <v>0.6</v>
      </c>
      <c r="BK189" s="1258"/>
      <c r="BL189" s="1257"/>
      <c r="BM189" s="1257"/>
      <c r="BO189" s="1277" t="s">
        <v>1433</v>
      </c>
      <c r="BP189" s="1211" t="s">
        <v>1837</v>
      </c>
      <c r="BQ189" s="1278" t="s">
        <v>1434</v>
      </c>
      <c r="BR189" s="1213">
        <v>0.7</v>
      </c>
      <c r="BS189" s="1213">
        <v>0.7</v>
      </c>
      <c r="BT189" s="1213">
        <v>0.7</v>
      </c>
      <c r="BU189" s="1213">
        <v>0.7</v>
      </c>
      <c r="BV189" s="1213">
        <v>0.7</v>
      </c>
      <c r="BW189" s="1213">
        <v>0.7</v>
      </c>
      <c r="BX189" s="1213">
        <v>0.7</v>
      </c>
      <c r="BY189" s="1213">
        <v>0.7</v>
      </c>
      <c r="BZ189" s="1213">
        <v>0.7</v>
      </c>
      <c r="CA189" s="1257">
        <v>0.6</v>
      </c>
      <c r="CB189" s="1258"/>
      <c r="CC189" s="1257"/>
      <c r="CD189" s="1257"/>
      <c r="CE189" s="1472"/>
      <c r="CG189" s="1277" t="s">
        <v>945</v>
      </c>
      <c r="CH189" s="1211" t="s">
        <v>1837</v>
      </c>
      <c r="CI189" s="1278" t="s">
        <v>1434</v>
      </c>
      <c r="CJ189" s="1689">
        <f t="shared" si="167"/>
        <v>0.7</v>
      </c>
      <c r="CK189" s="1689">
        <f t="shared" si="155"/>
        <v>0.7</v>
      </c>
      <c r="CL189" s="1689">
        <f t="shared" si="156"/>
        <v>0.7</v>
      </c>
      <c r="CM189" s="1689">
        <f t="shared" si="157"/>
        <v>0.7</v>
      </c>
      <c r="CN189" s="1689">
        <f t="shared" si="158"/>
        <v>0.7</v>
      </c>
      <c r="CO189" s="1689">
        <f t="shared" si="159"/>
        <v>0.7</v>
      </c>
      <c r="CP189" s="1689">
        <f t="shared" si="160"/>
        <v>0.7</v>
      </c>
      <c r="CQ189" s="1689">
        <f t="shared" si="161"/>
        <v>0.7</v>
      </c>
      <c r="CR189" s="1689">
        <f t="shared" si="162"/>
        <v>0.7</v>
      </c>
      <c r="CS189" s="1704">
        <f t="shared" si="163"/>
        <v>0.6</v>
      </c>
      <c r="CT189" s="1705">
        <f t="shared" si="164"/>
        <v>0</v>
      </c>
      <c r="CU189" s="1704">
        <f t="shared" si="165"/>
        <v>0</v>
      </c>
      <c r="CV189" s="1704">
        <f t="shared" si="166"/>
        <v>0</v>
      </c>
      <c r="CX189" s="1277" t="s">
        <v>945</v>
      </c>
      <c r="CY189" s="1211" t="s">
        <v>1837</v>
      </c>
      <c r="CZ189" s="1278"/>
      <c r="DA189" s="1814">
        <v>0</v>
      </c>
      <c r="DB189" s="1678"/>
      <c r="DC189" s="1678"/>
      <c r="DD189" s="1678"/>
      <c r="DE189" s="1678"/>
      <c r="DF189" s="1678"/>
      <c r="DG189" s="1678"/>
      <c r="DH189" s="1678"/>
      <c r="DI189" s="1678"/>
      <c r="DJ189" s="1681"/>
      <c r="DK189" s="1805"/>
      <c r="DL189" s="1681"/>
      <c r="DM189" s="1681"/>
    </row>
    <row r="190" spans="2:117">
      <c r="B190" s="1186" t="str">
        <f t="shared" si="203"/>
        <v>3.2.2</v>
      </c>
      <c r="C190" s="1278" t="str">
        <f t="shared" si="147"/>
        <v>砂塵の抑制</v>
      </c>
      <c r="D190" s="1205">
        <f t="shared" si="204"/>
        <v>0</v>
      </c>
      <c r="E190" s="1205">
        <f t="shared" si="204"/>
        <v>0</v>
      </c>
      <c r="G190" s="1206">
        <f t="shared" si="200"/>
        <v>0</v>
      </c>
      <c r="H190" s="1206">
        <f t="shared" si="201"/>
        <v>0</v>
      </c>
      <c r="I190" s="1206"/>
      <c r="J190" s="1206"/>
      <c r="K190" s="1206">
        <f>IF(スコア!Q190=0,0,1)</f>
        <v>1</v>
      </c>
      <c r="L190" s="1206">
        <f>IF(スコア!S190=0,0,1)</f>
        <v>0</v>
      </c>
      <c r="M190" s="1206">
        <f t="shared" si="202"/>
        <v>0</v>
      </c>
      <c r="N190" s="1206">
        <f t="shared" si="182"/>
        <v>0</v>
      </c>
      <c r="P190" s="1277" t="str">
        <f t="shared" si="149"/>
        <v>3.2.2</v>
      </c>
      <c r="Q190" s="1211" t="str">
        <f t="shared" si="150"/>
        <v>LR3 3.2</v>
      </c>
      <c r="R190" s="1278" t="str">
        <f t="shared" si="151"/>
        <v>砂塵の抑制</v>
      </c>
      <c r="S190" s="1747">
        <f t="shared" si="133"/>
        <v>0</v>
      </c>
      <c r="T190" s="1747">
        <f t="shared" si="134"/>
        <v>0</v>
      </c>
      <c r="U190" s="1747">
        <f t="shared" si="135"/>
        <v>0</v>
      </c>
      <c r="V190" s="1747">
        <f t="shared" si="136"/>
        <v>0</v>
      </c>
      <c r="W190" s="1747">
        <f t="shared" si="137"/>
        <v>0</v>
      </c>
      <c r="X190" s="1747">
        <f t="shared" si="138"/>
        <v>0</v>
      </c>
      <c r="Y190" s="1747">
        <f t="shared" si="139"/>
        <v>0</v>
      </c>
      <c r="Z190" s="1747">
        <f t="shared" si="140"/>
        <v>0</v>
      </c>
      <c r="AA190" s="1747">
        <f t="shared" si="141"/>
        <v>0</v>
      </c>
      <c r="AB190" s="1747">
        <f t="shared" si="142"/>
        <v>0.2</v>
      </c>
      <c r="AC190" s="1760">
        <f t="shared" si="143"/>
        <v>0</v>
      </c>
      <c r="AD190" s="1759">
        <f t="shared" si="144"/>
        <v>0</v>
      </c>
      <c r="AE190" s="1759">
        <f t="shared" si="145"/>
        <v>0</v>
      </c>
      <c r="AG190" s="1277" t="s">
        <v>2138</v>
      </c>
      <c r="AH190" s="1211" t="s">
        <v>1838</v>
      </c>
      <c r="AI190" s="1278" t="s">
        <v>844</v>
      </c>
      <c r="AJ190" s="1213"/>
      <c r="AK190" s="1213"/>
      <c r="AL190" s="1213"/>
      <c r="AM190" s="1213"/>
      <c r="AN190" s="1213"/>
      <c r="AO190" s="1213"/>
      <c r="AP190" s="1213"/>
      <c r="AQ190" s="1213"/>
      <c r="AR190" s="1213"/>
      <c r="AS190" s="1226">
        <v>0.2</v>
      </c>
      <c r="AT190" s="1258"/>
      <c r="AU190" s="1257"/>
      <c r="AV190" s="1257"/>
      <c r="AX190" s="1277" t="s">
        <v>1435</v>
      </c>
      <c r="AY190" s="1211" t="s">
        <v>1436</v>
      </c>
      <c r="AZ190" s="1278" t="s">
        <v>844</v>
      </c>
      <c r="BA190" s="1213"/>
      <c r="BB190" s="1213"/>
      <c r="BC190" s="1213"/>
      <c r="BD190" s="1213"/>
      <c r="BE190" s="1213"/>
      <c r="BF190" s="1213"/>
      <c r="BG190" s="1213"/>
      <c r="BH190" s="1213"/>
      <c r="BI190" s="1213"/>
      <c r="BJ190" s="1257">
        <v>0.2</v>
      </c>
      <c r="BK190" s="1258"/>
      <c r="BL190" s="1257"/>
      <c r="BM190" s="1257"/>
      <c r="BO190" s="1277" t="s">
        <v>1435</v>
      </c>
      <c r="BP190" s="1211" t="s">
        <v>1436</v>
      </c>
      <c r="BQ190" s="1278" t="s">
        <v>844</v>
      </c>
      <c r="BR190" s="1213"/>
      <c r="BS190" s="1213"/>
      <c r="BT190" s="1213"/>
      <c r="BU190" s="1213"/>
      <c r="BV190" s="1213"/>
      <c r="BW190" s="1213"/>
      <c r="BX190" s="1213"/>
      <c r="BY190" s="1213"/>
      <c r="BZ190" s="1213"/>
      <c r="CA190" s="1257">
        <v>0.2</v>
      </c>
      <c r="CB190" s="1258"/>
      <c r="CC190" s="1257"/>
      <c r="CD190" s="1257"/>
      <c r="CE190" s="1472"/>
      <c r="CG190" s="1277" t="s">
        <v>946</v>
      </c>
      <c r="CH190" s="1211" t="s">
        <v>1436</v>
      </c>
      <c r="CI190" s="1278" t="s">
        <v>844</v>
      </c>
      <c r="CJ190" s="1689">
        <f t="shared" si="167"/>
        <v>0</v>
      </c>
      <c r="CK190" s="1689">
        <f t="shared" si="155"/>
        <v>0</v>
      </c>
      <c r="CL190" s="1689">
        <f t="shared" si="156"/>
        <v>0</v>
      </c>
      <c r="CM190" s="1689">
        <f t="shared" si="157"/>
        <v>0</v>
      </c>
      <c r="CN190" s="1689">
        <f t="shared" si="158"/>
        <v>0</v>
      </c>
      <c r="CO190" s="1689">
        <f t="shared" si="159"/>
        <v>0</v>
      </c>
      <c r="CP190" s="1689">
        <f t="shared" si="160"/>
        <v>0</v>
      </c>
      <c r="CQ190" s="1689">
        <f t="shared" si="161"/>
        <v>0</v>
      </c>
      <c r="CR190" s="1689">
        <f t="shared" si="162"/>
        <v>0</v>
      </c>
      <c r="CS190" s="1704">
        <f t="shared" si="163"/>
        <v>0.2</v>
      </c>
      <c r="CT190" s="1705">
        <f t="shared" si="164"/>
        <v>0</v>
      </c>
      <c r="CU190" s="1704">
        <f t="shared" si="165"/>
        <v>0</v>
      </c>
      <c r="CV190" s="1704">
        <f t="shared" si="166"/>
        <v>0</v>
      </c>
      <c r="CX190" s="1277" t="s">
        <v>946</v>
      </c>
      <c r="CY190" s="1211" t="s">
        <v>1436</v>
      </c>
      <c r="CZ190" s="1278"/>
      <c r="DA190" s="1678">
        <f t="shared" si="153"/>
        <v>0</v>
      </c>
      <c r="DB190" s="1678"/>
      <c r="DC190" s="1678"/>
      <c r="DD190" s="1678"/>
      <c r="DE190" s="1678"/>
      <c r="DF190" s="1678"/>
      <c r="DG190" s="1678"/>
      <c r="DH190" s="1678"/>
      <c r="DI190" s="1678"/>
      <c r="DJ190" s="1681"/>
      <c r="DK190" s="1805"/>
      <c r="DL190" s="1681"/>
      <c r="DM190" s="1681"/>
    </row>
    <row r="191" spans="2:117">
      <c r="B191" s="1186" t="str">
        <f t="shared" si="203"/>
        <v>3.2.3</v>
      </c>
      <c r="C191" s="1278" t="str">
        <f t="shared" si="147"/>
        <v>日照阻害の抑制</v>
      </c>
      <c r="D191" s="1205">
        <f t="shared" si="204"/>
        <v>0.3</v>
      </c>
      <c r="E191" s="1205">
        <f t="shared" si="204"/>
        <v>0</v>
      </c>
      <c r="G191" s="1206">
        <f t="shared" si="200"/>
        <v>0.3</v>
      </c>
      <c r="H191" s="1206">
        <f t="shared" si="201"/>
        <v>0</v>
      </c>
      <c r="I191" s="1206"/>
      <c r="J191" s="1206"/>
      <c r="K191" s="1206">
        <f>IF(スコア!Q191=0,0,1)</f>
        <v>1</v>
      </c>
      <c r="L191" s="1206">
        <f>IF(スコア!S191=0,0,1)</f>
        <v>0</v>
      </c>
      <c r="M191" s="1206">
        <f t="shared" si="202"/>
        <v>0.3</v>
      </c>
      <c r="N191" s="1206">
        <f t="shared" si="182"/>
        <v>0</v>
      </c>
      <c r="P191" s="1277" t="str">
        <f t="shared" si="149"/>
        <v>3.2.3</v>
      </c>
      <c r="Q191" s="1211" t="str">
        <f t="shared" si="150"/>
        <v>LR3 3.2</v>
      </c>
      <c r="R191" s="1278" t="str">
        <f t="shared" si="151"/>
        <v>日照阻害の抑制</v>
      </c>
      <c r="S191" s="1747">
        <f t="shared" si="133"/>
        <v>0.3</v>
      </c>
      <c r="T191" s="1747">
        <f t="shared" si="134"/>
        <v>0.3</v>
      </c>
      <c r="U191" s="1747">
        <f t="shared" si="135"/>
        <v>0.3</v>
      </c>
      <c r="V191" s="1747">
        <f t="shared" si="136"/>
        <v>0.3</v>
      </c>
      <c r="W191" s="1747">
        <f t="shared" si="137"/>
        <v>0.3</v>
      </c>
      <c r="X191" s="1747">
        <f t="shared" si="138"/>
        <v>0.3</v>
      </c>
      <c r="Y191" s="1747">
        <f t="shared" si="139"/>
        <v>0.3</v>
      </c>
      <c r="Z191" s="1747">
        <f t="shared" si="140"/>
        <v>0.3</v>
      </c>
      <c r="AA191" s="1747">
        <f t="shared" si="141"/>
        <v>0.3</v>
      </c>
      <c r="AB191" s="1747">
        <f t="shared" si="142"/>
        <v>0.2</v>
      </c>
      <c r="AC191" s="1760">
        <f t="shared" si="143"/>
        <v>0</v>
      </c>
      <c r="AD191" s="1759">
        <f t="shared" si="144"/>
        <v>0</v>
      </c>
      <c r="AE191" s="1759">
        <f t="shared" si="145"/>
        <v>0</v>
      </c>
      <c r="AG191" s="1277" t="s">
        <v>1435</v>
      </c>
      <c r="AH191" s="1211" t="s">
        <v>1837</v>
      </c>
      <c r="AI191" s="1278" t="s">
        <v>1620</v>
      </c>
      <c r="AJ191" s="1213">
        <v>0.3</v>
      </c>
      <c r="AK191" s="1213">
        <v>0.3</v>
      </c>
      <c r="AL191" s="1213">
        <v>0.3</v>
      </c>
      <c r="AM191" s="1213">
        <v>0.3</v>
      </c>
      <c r="AN191" s="1213">
        <v>0.3</v>
      </c>
      <c r="AO191" s="1213">
        <v>0.3</v>
      </c>
      <c r="AP191" s="1213">
        <v>0.3</v>
      </c>
      <c r="AQ191" s="1213">
        <v>0.3</v>
      </c>
      <c r="AR191" s="1213">
        <v>0.3</v>
      </c>
      <c r="AS191" s="1226">
        <v>0.2</v>
      </c>
      <c r="AT191" s="1258"/>
      <c r="AU191" s="1257"/>
      <c r="AV191" s="1257"/>
      <c r="AX191" s="1277" t="s">
        <v>1437</v>
      </c>
      <c r="AY191" s="1211" t="s">
        <v>1837</v>
      </c>
      <c r="AZ191" s="1278" t="s">
        <v>1620</v>
      </c>
      <c r="BA191" s="1213">
        <v>0.3</v>
      </c>
      <c r="BB191" s="1213">
        <v>0.3</v>
      </c>
      <c r="BC191" s="1213">
        <v>0.3</v>
      </c>
      <c r="BD191" s="1213">
        <v>0.3</v>
      </c>
      <c r="BE191" s="1213">
        <v>0.3</v>
      </c>
      <c r="BF191" s="1213">
        <v>0.3</v>
      </c>
      <c r="BG191" s="1213">
        <v>0.3</v>
      </c>
      <c r="BH191" s="1213">
        <v>0.3</v>
      </c>
      <c r="BI191" s="1213">
        <v>0.3</v>
      </c>
      <c r="BJ191" s="1257">
        <v>0.2</v>
      </c>
      <c r="BK191" s="1258"/>
      <c r="BL191" s="1257"/>
      <c r="BM191" s="1257"/>
      <c r="BO191" s="1277" t="s">
        <v>1437</v>
      </c>
      <c r="BP191" s="1211" t="s">
        <v>1837</v>
      </c>
      <c r="BQ191" s="1278" t="s">
        <v>1620</v>
      </c>
      <c r="BR191" s="1213">
        <v>0.3</v>
      </c>
      <c r="BS191" s="1213">
        <v>0.3</v>
      </c>
      <c r="BT191" s="1213">
        <v>0.3</v>
      </c>
      <c r="BU191" s="1213">
        <v>0.3</v>
      </c>
      <c r="BV191" s="1213">
        <v>0.3</v>
      </c>
      <c r="BW191" s="1213">
        <v>0.3</v>
      </c>
      <c r="BX191" s="1213">
        <v>0.3</v>
      </c>
      <c r="BY191" s="1213">
        <v>0.3</v>
      </c>
      <c r="BZ191" s="1213">
        <v>0.3</v>
      </c>
      <c r="CA191" s="1257">
        <v>0.2</v>
      </c>
      <c r="CB191" s="1258"/>
      <c r="CC191" s="1257"/>
      <c r="CD191" s="1257"/>
      <c r="CE191" s="1472"/>
      <c r="CG191" s="1277" t="s">
        <v>947</v>
      </c>
      <c r="CH191" s="1211" t="s">
        <v>1837</v>
      </c>
      <c r="CI191" s="1278" t="s">
        <v>1620</v>
      </c>
      <c r="CJ191" s="1689">
        <f t="shared" si="167"/>
        <v>0.3</v>
      </c>
      <c r="CK191" s="1689">
        <f t="shared" si="155"/>
        <v>0.3</v>
      </c>
      <c r="CL191" s="1689">
        <f t="shared" si="156"/>
        <v>0.3</v>
      </c>
      <c r="CM191" s="1689">
        <f t="shared" si="157"/>
        <v>0.3</v>
      </c>
      <c r="CN191" s="1689">
        <f t="shared" si="158"/>
        <v>0.3</v>
      </c>
      <c r="CO191" s="1689">
        <f t="shared" si="159"/>
        <v>0.3</v>
      </c>
      <c r="CP191" s="1689">
        <f t="shared" si="160"/>
        <v>0.3</v>
      </c>
      <c r="CQ191" s="1689">
        <f t="shared" si="161"/>
        <v>0.3</v>
      </c>
      <c r="CR191" s="1689">
        <f t="shared" si="162"/>
        <v>0.3</v>
      </c>
      <c r="CS191" s="1704">
        <f t="shared" si="163"/>
        <v>0.2</v>
      </c>
      <c r="CT191" s="1705">
        <f t="shared" si="164"/>
        <v>0</v>
      </c>
      <c r="CU191" s="1704">
        <f t="shared" si="165"/>
        <v>0</v>
      </c>
      <c r="CV191" s="1704">
        <f t="shared" si="166"/>
        <v>0</v>
      </c>
      <c r="CX191" s="1277" t="s">
        <v>947</v>
      </c>
      <c r="CY191" s="1211" t="s">
        <v>1837</v>
      </c>
      <c r="CZ191" s="1278"/>
      <c r="DA191" s="1814">
        <v>0</v>
      </c>
      <c r="DB191" s="1678"/>
      <c r="DC191" s="1678"/>
      <c r="DD191" s="1678"/>
      <c r="DE191" s="1678"/>
      <c r="DF191" s="1678"/>
      <c r="DG191" s="1678"/>
      <c r="DH191" s="1678"/>
      <c r="DI191" s="1678"/>
      <c r="DJ191" s="1681"/>
      <c r="DK191" s="1805"/>
      <c r="DL191" s="1681"/>
      <c r="DM191" s="1681"/>
    </row>
    <row r="192" spans="2:117">
      <c r="B192" s="1186" t="str">
        <f t="shared" si="203"/>
        <v>3.3</v>
      </c>
      <c r="C192" s="1208" t="str">
        <f t="shared" si="147"/>
        <v>光害の抑制</v>
      </c>
      <c r="D192" s="1205">
        <f>IF(I$183=0,0,G192/I$183)</f>
        <v>0.2</v>
      </c>
      <c r="E192" s="1205">
        <f>IF(J$183=0,0,H192/J$183)</f>
        <v>0</v>
      </c>
      <c r="G192" s="1206">
        <f t="shared" si="200"/>
        <v>0.2</v>
      </c>
      <c r="H192" s="1206">
        <f t="shared" si="201"/>
        <v>0</v>
      </c>
      <c r="I192" s="1206">
        <f>SUM(G193:G194)</f>
        <v>1</v>
      </c>
      <c r="J192" s="1206">
        <f>SUM(H193:H194)</f>
        <v>0</v>
      </c>
      <c r="K192" s="1206">
        <f>IF(スコア!Q192=0,0,1)</f>
        <v>1</v>
      </c>
      <c r="L192" s="1206">
        <f>IF(スコア!S192=0,0,1)</f>
        <v>0</v>
      </c>
      <c r="M192" s="1206">
        <f t="shared" si="202"/>
        <v>0.2</v>
      </c>
      <c r="N192" s="1206">
        <f t="shared" si="182"/>
        <v>0</v>
      </c>
      <c r="P192" s="1276" t="str">
        <f t="shared" si="149"/>
        <v>3.3</v>
      </c>
      <c r="Q192" s="1211" t="str">
        <f t="shared" si="150"/>
        <v>LR3 3</v>
      </c>
      <c r="R192" s="1208" t="str">
        <f t="shared" si="151"/>
        <v>光害の抑制</v>
      </c>
      <c r="S192" s="1759">
        <f t="shared" ref="S192:S194" si="205">IF($P$3=1,BA192,IF($P$3=2,BR192,IF($P$3=3,CJ192,IF($P$3=4,DA192,AJ192))))</f>
        <v>0.2</v>
      </c>
      <c r="T192" s="1759">
        <f t="shared" ref="T192:T194" si="206">IF($P$3=1,BB192,IF($P$3=2,BS192,IF($P$3=3,CK192,IF($P$3=4,DB192,AK192))))</f>
        <v>0.2</v>
      </c>
      <c r="U192" s="1759">
        <f t="shared" ref="U192:U194" si="207">IF($P$3=1,BC192,IF($P$3=2,BT192,IF($P$3=3,CL192,IF($P$3=4,DC192,AL192))))</f>
        <v>0.2</v>
      </c>
      <c r="V192" s="1759">
        <f t="shared" ref="V192:V194" si="208">IF($P$3=1,BD192,IF($P$3=2,BU192,IF($P$3=3,CM192,IF($P$3=4,DD192,AM192))))</f>
        <v>0.2</v>
      </c>
      <c r="W192" s="1759">
        <f t="shared" ref="W192:W194" si="209">IF($P$3=1,BE192,IF($P$3=2,BV192,IF($P$3=3,CN192,IF($P$3=4,DE192,AN192))))</f>
        <v>0.2</v>
      </c>
      <c r="X192" s="1759">
        <f t="shared" ref="X192:X194" si="210">IF($P$3=1,BF192,IF($P$3=2,BW192,IF($P$3=3,CO192,IF($P$3=4,DF192,AO192))))</f>
        <v>0.2</v>
      </c>
      <c r="Y192" s="1759">
        <f t="shared" ref="Y192:Y194" si="211">IF($P$3=1,BG192,IF($P$3=2,BX192,IF($P$3=3,CP192,IF($P$3=4,DG192,AP192))))</f>
        <v>0.2</v>
      </c>
      <c r="Z192" s="1759">
        <f t="shared" ref="Z192:Z194" si="212">IF($P$3=1,BH192,IF($P$3=2,BY192,IF($P$3=3,CQ192,IF($P$3=4,DH192,AQ192))))</f>
        <v>0.2</v>
      </c>
      <c r="AA192" s="1759">
        <f t="shared" ref="AA192:AA194" si="213">IF($P$3=1,BI192,IF($P$3=2,BZ192,IF($P$3=3,CR192,IF($P$3=4,DI192,AR192))))</f>
        <v>0.2</v>
      </c>
      <c r="AB192" s="1759">
        <f t="shared" ref="AB192:AB194" si="214">IF($P$3=1,BJ192,IF($P$3=2,CA192,IF($P$3=3,CS192,IF($P$3=4,DJ192,AS192))))</f>
        <v>0.2</v>
      </c>
      <c r="AC192" s="1760">
        <f t="shared" ref="AC192:AC194" si="215">IF($P$3=1,BK192,IF($P$3=2,CB192,IF($P$3=3,CT192,IF($P$3=4,DK192,AT192))))</f>
        <v>0</v>
      </c>
      <c r="AD192" s="1759">
        <f t="shared" ref="AD192:AD194" si="216">IF($P$3=1,BL192,IF($P$3=2,CC192,IF($P$3=3,CU192,IF($P$3=4,DL192,AU192))))</f>
        <v>0</v>
      </c>
      <c r="AE192" s="1759">
        <f t="shared" ref="AE192:AE194" si="217">IF($P$3=1,BM192,IF($P$3=2,CD192,IF($P$3=3,CV192,IF($P$3=4,DM192,AV192))))</f>
        <v>0</v>
      </c>
      <c r="AG192" s="1277" t="s">
        <v>1438</v>
      </c>
      <c r="AH192" s="1211" t="s">
        <v>2114</v>
      </c>
      <c r="AI192" s="1278" t="s">
        <v>1839</v>
      </c>
      <c r="AJ192" s="1213">
        <v>0.2</v>
      </c>
      <c r="AK192" s="1213">
        <v>0.2</v>
      </c>
      <c r="AL192" s="1213">
        <v>0.2</v>
      </c>
      <c r="AM192" s="1213">
        <v>0.2</v>
      </c>
      <c r="AN192" s="1213">
        <v>0.2</v>
      </c>
      <c r="AO192" s="1213">
        <v>0.2</v>
      </c>
      <c r="AP192" s="1213">
        <v>0.2</v>
      </c>
      <c r="AQ192" s="1213">
        <v>0.2</v>
      </c>
      <c r="AR192" s="1213">
        <v>0.2</v>
      </c>
      <c r="AS192" s="1257">
        <v>0.2</v>
      </c>
      <c r="AT192" s="1258"/>
      <c r="AU192" s="1257"/>
      <c r="AV192" s="1257"/>
      <c r="AX192" s="1277" t="s">
        <v>1438</v>
      </c>
      <c r="AY192" s="1211" t="s">
        <v>2114</v>
      </c>
      <c r="AZ192" s="1278" t="s">
        <v>1839</v>
      </c>
      <c r="BA192" s="1257">
        <v>0.2</v>
      </c>
      <c r="BB192" s="1257">
        <v>0.2</v>
      </c>
      <c r="BC192" s="1257">
        <v>0.2</v>
      </c>
      <c r="BD192" s="1257">
        <v>0.2</v>
      </c>
      <c r="BE192" s="1257">
        <v>0.2</v>
      </c>
      <c r="BF192" s="1257">
        <v>0.2</v>
      </c>
      <c r="BG192" s="1257">
        <v>0.2</v>
      </c>
      <c r="BH192" s="1257">
        <v>0.2</v>
      </c>
      <c r="BI192" s="1257">
        <v>0.2</v>
      </c>
      <c r="BJ192" s="1257">
        <v>0.2</v>
      </c>
      <c r="BK192" s="1258"/>
      <c r="BL192" s="1257"/>
      <c r="BM192" s="1257"/>
      <c r="BO192" s="1277" t="s">
        <v>1438</v>
      </c>
      <c r="BP192" s="1211" t="s">
        <v>2114</v>
      </c>
      <c r="BQ192" s="1278" t="s">
        <v>1839</v>
      </c>
      <c r="BR192" s="1257">
        <v>0.2</v>
      </c>
      <c r="BS192" s="1257">
        <v>0.2</v>
      </c>
      <c r="BT192" s="1257">
        <v>0.2</v>
      </c>
      <c r="BU192" s="1257">
        <v>0.2</v>
      </c>
      <c r="BV192" s="1257">
        <v>0.2</v>
      </c>
      <c r="BW192" s="1257">
        <v>0.2</v>
      </c>
      <c r="BX192" s="1257">
        <v>0.2</v>
      </c>
      <c r="BY192" s="1257">
        <v>0.2</v>
      </c>
      <c r="BZ192" s="1257">
        <v>0.2</v>
      </c>
      <c r="CA192" s="1257">
        <v>0.2</v>
      </c>
      <c r="CB192" s="1258"/>
      <c r="CC192" s="1257"/>
      <c r="CD192" s="1257"/>
      <c r="CE192" s="1472"/>
      <c r="CG192" s="1277" t="s">
        <v>1438</v>
      </c>
      <c r="CH192" s="1211" t="s">
        <v>2114</v>
      </c>
      <c r="CI192" s="1278" t="s">
        <v>1839</v>
      </c>
      <c r="CJ192" s="1704">
        <f t="shared" si="167"/>
        <v>0.2</v>
      </c>
      <c r="CK192" s="1704">
        <f t="shared" si="155"/>
        <v>0.2</v>
      </c>
      <c r="CL192" s="1704">
        <f t="shared" si="156"/>
        <v>0.2</v>
      </c>
      <c r="CM192" s="1704">
        <f t="shared" si="157"/>
        <v>0.2</v>
      </c>
      <c r="CN192" s="1704">
        <f t="shared" si="158"/>
        <v>0.2</v>
      </c>
      <c r="CO192" s="1704">
        <f t="shared" si="159"/>
        <v>0.2</v>
      </c>
      <c r="CP192" s="1704">
        <f t="shared" si="160"/>
        <v>0.2</v>
      </c>
      <c r="CQ192" s="1704">
        <f t="shared" si="161"/>
        <v>0.2</v>
      </c>
      <c r="CR192" s="1704">
        <f t="shared" si="162"/>
        <v>0.2</v>
      </c>
      <c r="CS192" s="1704">
        <f t="shared" si="163"/>
        <v>0.2</v>
      </c>
      <c r="CT192" s="1705">
        <f t="shared" si="164"/>
        <v>0</v>
      </c>
      <c r="CU192" s="1704">
        <f t="shared" si="165"/>
        <v>0</v>
      </c>
      <c r="CV192" s="1704">
        <f t="shared" si="166"/>
        <v>0</v>
      </c>
      <c r="CX192" s="1277" t="s">
        <v>1438</v>
      </c>
      <c r="CY192" s="1211" t="s">
        <v>2114</v>
      </c>
      <c r="CZ192" s="1278"/>
      <c r="DA192" s="1814">
        <v>0</v>
      </c>
      <c r="DB192" s="1681"/>
      <c r="DC192" s="1681"/>
      <c r="DD192" s="1681"/>
      <c r="DE192" s="1681"/>
      <c r="DF192" s="1681"/>
      <c r="DG192" s="1681"/>
      <c r="DH192" s="1681"/>
      <c r="DI192" s="1681"/>
      <c r="DJ192" s="1681"/>
      <c r="DK192" s="1805"/>
      <c r="DL192" s="1681"/>
      <c r="DM192" s="1681"/>
    </row>
    <row r="193" spans="2:117">
      <c r="B193" s="1186" t="str">
        <f t="shared" si="203"/>
        <v>3.3.1</v>
      </c>
      <c r="C193" s="1278" t="str">
        <f t="shared" si="147"/>
        <v>屋外照明及び屋内照明のうち外に漏れる光への対策</v>
      </c>
      <c r="D193" s="1205">
        <f>IF(I$192=0,0,G193/I$192)</f>
        <v>0.7</v>
      </c>
      <c r="E193" s="1205">
        <f>IF(J$192=0,0,H193/J$192)</f>
        <v>0</v>
      </c>
      <c r="G193" s="1206">
        <f t="shared" si="200"/>
        <v>0.7</v>
      </c>
      <c r="H193" s="1206">
        <f t="shared" si="201"/>
        <v>0</v>
      </c>
      <c r="I193" s="1206"/>
      <c r="J193" s="1206"/>
      <c r="K193" s="1206">
        <f>IF(スコア!Q193=0,0,1)</f>
        <v>1</v>
      </c>
      <c r="L193" s="1206">
        <f>IF(スコア!S193=0,0,1)</f>
        <v>0</v>
      </c>
      <c r="M193" s="1206">
        <f t="shared" si="202"/>
        <v>0.7</v>
      </c>
      <c r="N193" s="1206">
        <f t="shared" si="182"/>
        <v>0</v>
      </c>
      <c r="P193" s="1277" t="str">
        <f t="shared" si="149"/>
        <v>3.3.1</v>
      </c>
      <c r="Q193" s="1211" t="str">
        <f t="shared" si="150"/>
        <v>LR3 3.3</v>
      </c>
      <c r="R193" s="1278" t="str">
        <f t="shared" si="151"/>
        <v>屋外照明及び屋内照明のうち外に漏れる光への対策</v>
      </c>
      <c r="S193" s="1747">
        <f t="shared" si="205"/>
        <v>0.7</v>
      </c>
      <c r="T193" s="1747">
        <f t="shared" si="206"/>
        <v>0.7</v>
      </c>
      <c r="U193" s="1747">
        <f t="shared" si="207"/>
        <v>0.7</v>
      </c>
      <c r="V193" s="1747">
        <f t="shared" si="208"/>
        <v>0.7</v>
      </c>
      <c r="W193" s="1747">
        <f t="shared" si="209"/>
        <v>0.7</v>
      </c>
      <c r="X193" s="1747">
        <f t="shared" si="210"/>
        <v>0.7</v>
      </c>
      <c r="Y193" s="1747">
        <f t="shared" si="211"/>
        <v>0.7</v>
      </c>
      <c r="Z193" s="1747">
        <f t="shared" si="212"/>
        <v>0.7</v>
      </c>
      <c r="AA193" s="1747">
        <f t="shared" si="213"/>
        <v>0.7</v>
      </c>
      <c r="AB193" s="1747">
        <f t="shared" si="214"/>
        <v>0.7</v>
      </c>
      <c r="AC193" s="1760">
        <f t="shared" si="215"/>
        <v>0</v>
      </c>
      <c r="AD193" s="1759">
        <f t="shared" si="216"/>
        <v>0</v>
      </c>
      <c r="AE193" s="1759">
        <f t="shared" si="217"/>
        <v>0</v>
      </c>
      <c r="AG193" s="1277" t="s">
        <v>1439</v>
      </c>
      <c r="AH193" s="1211" t="s">
        <v>1838</v>
      </c>
      <c r="AI193" s="1278" t="s">
        <v>1440</v>
      </c>
      <c r="AJ193" s="1257">
        <v>0.7</v>
      </c>
      <c r="AK193" s="1257">
        <v>0.7</v>
      </c>
      <c r="AL193" s="1257">
        <v>0.7</v>
      </c>
      <c r="AM193" s="1257">
        <v>0.7</v>
      </c>
      <c r="AN193" s="1257">
        <v>0.7</v>
      </c>
      <c r="AO193" s="1257">
        <v>0.7</v>
      </c>
      <c r="AP193" s="1257">
        <v>0.7</v>
      </c>
      <c r="AQ193" s="1257">
        <v>0.7</v>
      </c>
      <c r="AR193" s="1257">
        <v>0.7</v>
      </c>
      <c r="AS193" s="1213">
        <v>0.7</v>
      </c>
      <c r="AT193" s="1258"/>
      <c r="AU193" s="1257"/>
      <c r="AV193" s="1257"/>
      <c r="AX193" s="1277" t="s">
        <v>1439</v>
      </c>
      <c r="AY193" s="1211" t="s">
        <v>1838</v>
      </c>
      <c r="AZ193" s="1278" t="s">
        <v>1440</v>
      </c>
      <c r="BA193" s="1213">
        <v>0.7</v>
      </c>
      <c r="BB193" s="1213">
        <v>0.7</v>
      </c>
      <c r="BC193" s="1213">
        <v>0.7</v>
      </c>
      <c r="BD193" s="1213">
        <v>0.7</v>
      </c>
      <c r="BE193" s="1213">
        <v>0.7</v>
      </c>
      <c r="BF193" s="1213">
        <v>0.7</v>
      </c>
      <c r="BG193" s="1213">
        <v>0.7</v>
      </c>
      <c r="BH193" s="1213">
        <v>0.7</v>
      </c>
      <c r="BI193" s="1213">
        <v>0.7</v>
      </c>
      <c r="BJ193" s="1213">
        <v>0.7</v>
      </c>
      <c r="BK193" s="1258"/>
      <c r="BL193" s="1257"/>
      <c r="BM193" s="1257"/>
      <c r="BO193" s="1277" t="s">
        <v>1439</v>
      </c>
      <c r="BP193" s="1211" t="s">
        <v>1838</v>
      </c>
      <c r="BQ193" s="1278" t="s">
        <v>1440</v>
      </c>
      <c r="BR193" s="1213">
        <v>0.7</v>
      </c>
      <c r="BS193" s="1213">
        <v>0.7</v>
      </c>
      <c r="BT193" s="1213">
        <v>0.7</v>
      </c>
      <c r="BU193" s="1213">
        <v>0.7</v>
      </c>
      <c r="BV193" s="1213">
        <v>0.7</v>
      </c>
      <c r="BW193" s="1213">
        <v>0.7</v>
      </c>
      <c r="BX193" s="1213">
        <v>0.7</v>
      </c>
      <c r="BY193" s="1213">
        <v>0.7</v>
      </c>
      <c r="BZ193" s="1213">
        <v>0.7</v>
      </c>
      <c r="CA193" s="1213">
        <v>0.7</v>
      </c>
      <c r="CB193" s="1258"/>
      <c r="CC193" s="1257"/>
      <c r="CD193" s="1257"/>
      <c r="CE193" s="1472"/>
      <c r="CG193" s="1277" t="s">
        <v>1158</v>
      </c>
      <c r="CH193" s="1211" t="s">
        <v>1838</v>
      </c>
      <c r="CI193" s="1278" t="s">
        <v>1440</v>
      </c>
      <c r="CJ193" s="1689">
        <f t="shared" si="167"/>
        <v>0.7</v>
      </c>
      <c r="CK193" s="1689">
        <f t="shared" si="155"/>
        <v>0.7</v>
      </c>
      <c r="CL193" s="1689">
        <f t="shared" si="156"/>
        <v>0.7</v>
      </c>
      <c r="CM193" s="1689">
        <f t="shared" si="157"/>
        <v>0.7</v>
      </c>
      <c r="CN193" s="1689">
        <f t="shared" si="158"/>
        <v>0.7</v>
      </c>
      <c r="CO193" s="1689">
        <f t="shared" si="159"/>
        <v>0.7</v>
      </c>
      <c r="CP193" s="1689">
        <f t="shared" si="160"/>
        <v>0.7</v>
      </c>
      <c r="CQ193" s="1689">
        <f t="shared" si="161"/>
        <v>0.7</v>
      </c>
      <c r="CR193" s="1689">
        <f t="shared" si="162"/>
        <v>0.7</v>
      </c>
      <c r="CS193" s="1689">
        <f t="shared" si="163"/>
        <v>0.7</v>
      </c>
      <c r="CT193" s="1705">
        <f t="shared" si="164"/>
        <v>0</v>
      </c>
      <c r="CU193" s="1704">
        <f t="shared" si="165"/>
        <v>0</v>
      </c>
      <c r="CV193" s="1704">
        <f t="shared" si="166"/>
        <v>0</v>
      </c>
      <c r="CX193" s="1277" t="s">
        <v>1158</v>
      </c>
      <c r="CY193" s="1211" t="s">
        <v>1838</v>
      </c>
      <c r="CZ193" s="1278"/>
      <c r="DA193" s="1814">
        <v>0</v>
      </c>
      <c r="DB193" s="1678"/>
      <c r="DC193" s="1678"/>
      <c r="DD193" s="1678"/>
      <c r="DE193" s="1678"/>
      <c r="DF193" s="1678"/>
      <c r="DG193" s="1678"/>
      <c r="DH193" s="1678"/>
      <c r="DI193" s="1678"/>
      <c r="DJ193" s="1678"/>
      <c r="DK193" s="1805"/>
      <c r="DL193" s="1681"/>
      <c r="DM193" s="1681"/>
    </row>
    <row r="194" spans="2:117">
      <c r="B194" s="1186" t="str">
        <f t="shared" si="203"/>
        <v>3.3.2</v>
      </c>
      <c r="C194" s="1278" t="str">
        <f t="shared" si="147"/>
        <v>昼光の建物外壁による反射光（グレア）への対策</v>
      </c>
      <c r="D194" s="1205">
        <f>IF(I$192=0,0,G194/I$192)</f>
        <v>0.3</v>
      </c>
      <c r="E194" s="1205">
        <f>IF(J$192=0,0,H194/J$192)</f>
        <v>0</v>
      </c>
      <c r="G194" s="1206">
        <f t="shared" si="200"/>
        <v>0.3</v>
      </c>
      <c r="H194" s="1206">
        <f t="shared" si="201"/>
        <v>0</v>
      </c>
      <c r="I194" s="1206"/>
      <c r="J194" s="1206"/>
      <c r="K194" s="1206">
        <f>IF(スコア!Q194=0,0,1)</f>
        <v>1</v>
      </c>
      <c r="L194" s="1206">
        <f>IF(スコア!S194=0,0,1)</f>
        <v>0</v>
      </c>
      <c r="M194" s="1206">
        <f t="shared" si="202"/>
        <v>0.3</v>
      </c>
      <c r="N194" s="1206">
        <f t="shared" si="182"/>
        <v>0</v>
      </c>
      <c r="P194" s="1277" t="str">
        <f t="shared" si="149"/>
        <v>3.3.2</v>
      </c>
      <c r="Q194" s="1211" t="str">
        <f t="shared" si="150"/>
        <v>LR3 3.3</v>
      </c>
      <c r="R194" s="1278" t="str">
        <f t="shared" si="151"/>
        <v>昼光の建物外壁による反射光（グレア）への対策</v>
      </c>
      <c r="S194" s="1747">
        <f t="shared" si="205"/>
        <v>0.3</v>
      </c>
      <c r="T194" s="1747">
        <f t="shared" si="206"/>
        <v>0.3</v>
      </c>
      <c r="U194" s="1747">
        <f t="shared" si="207"/>
        <v>0.3</v>
      </c>
      <c r="V194" s="1747">
        <f t="shared" si="208"/>
        <v>0.3</v>
      </c>
      <c r="W194" s="1747">
        <f t="shared" si="209"/>
        <v>0.3</v>
      </c>
      <c r="X194" s="1747">
        <f t="shared" si="210"/>
        <v>0.3</v>
      </c>
      <c r="Y194" s="1747">
        <f t="shared" si="211"/>
        <v>0.3</v>
      </c>
      <c r="Z194" s="1747">
        <f t="shared" si="212"/>
        <v>0.3</v>
      </c>
      <c r="AA194" s="1747">
        <f t="shared" si="213"/>
        <v>0.3</v>
      </c>
      <c r="AB194" s="1747">
        <f t="shared" si="214"/>
        <v>0.3</v>
      </c>
      <c r="AC194" s="1760">
        <f t="shared" si="215"/>
        <v>0</v>
      </c>
      <c r="AD194" s="1759">
        <f t="shared" si="216"/>
        <v>0</v>
      </c>
      <c r="AE194" s="1759">
        <f t="shared" si="217"/>
        <v>0</v>
      </c>
      <c r="AG194" s="1277" t="s">
        <v>2463</v>
      </c>
      <c r="AH194" s="1211" t="s">
        <v>1838</v>
      </c>
      <c r="AI194" s="1278" t="s">
        <v>2464</v>
      </c>
      <c r="AJ194" s="1213">
        <v>0.3</v>
      </c>
      <c r="AK194" s="1213">
        <v>0.3</v>
      </c>
      <c r="AL194" s="1213">
        <v>0.3</v>
      </c>
      <c r="AM194" s="1213">
        <v>0.3</v>
      </c>
      <c r="AN194" s="1213">
        <v>0.3</v>
      </c>
      <c r="AO194" s="1213">
        <v>0.3</v>
      </c>
      <c r="AP194" s="1213">
        <v>0.3</v>
      </c>
      <c r="AQ194" s="1213">
        <v>0.3</v>
      </c>
      <c r="AR194" s="1213">
        <v>0.3</v>
      </c>
      <c r="AS194" s="1213">
        <v>0.3</v>
      </c>
      <c r="AT194" s="1258"/>
      <c r="AU194" s="1257"/>
      <c r="AV194" s="1257"/>
      <c r="AX194" s="1277" t="s">
        <v>2463</v>
      </c>
      <c r="AY194" s="1211" t="s">
        <v>1838</v>
      </c>
      <c r="AZ194" s="1278" t="s">
        <v>2464</v>
      </c>
      <c r="BA194" s="1213">
        <v>0.3</v>
      </c>
      <c r="BB194" s="1213">
        <v>0.3</v>
      </c>
      <c r="BC194" s="1213">
        <v>0.3</v>
      </c>
      <c r="BD194" s="1213">
        <v>0.3</v>
      </c>
      <c r="BE194" s="1213">
        <v>0.3</v>
      </c>
      <c r="BF194" s="1213">
        <v>0.3</v>
      </c>
      <c r="BG194" s="1213">
        <v>0.3</v>
      </c>
      <c r="BH194" s="1213">
        <v>0.3</v>
      </c>
      <c r="BI194" s="1213">
        <v>0.3</v>
      </c>
      <c r="BJ194" s="1213">
        <v>0.3</v>
      </c>
      <c r="BK194" s="1258"/>
      <c r="BL194" s="1257"/>
      <c r="BM194" s="1257"/>
      <c r="BO194" s="1277" t="s">
        <v>2463</v>
      </c>
      <c r="BP194" s="1211" t="s">
        <v>1838</v>
      </c>
      <c r="BQ194" s="1278" t="s">
        <v>2464</v>
      </c>
      <c r="BR194" s="1213">
        <v>0.3</v>
      </c>
      <c r="BS194" s="1213">
        <v>0.3</v>
      </c>
      <c r="BT194" s="1213">
        <v>0.3</v>
      </c>
      <c r="BU194" s="1213">
        <v>0.3</v>
      </c>
      <c r="BV194" s="1213">
        <v>0.3</v>
      </c>
      <c r="BW194" s="1213">
        <v>0.3</v>
      </c>
      <c r="BX194" s="1213">
        <v>0.3</v>
      </c>
      <c r="BY194" s="1213">
        <v>0.3</v>
      </c>
      <c r="BZ194" s="1213">
        <v>0.3</v>
      </c>
      <c r="CA194" s="1213">
        <v>0.3</v>
      </c>
      <c r="CB194" s="1258"/>
      <c r="CC194" s="1257"/>
      <c r="CD194" s="1257"/>
      <c r="CE194" s="1472"/>
      <c r="CG194" s="1277" t="s">
        <v>1159</v>
      </c>
      <c r="CH194" s="1211" t="s">
        <v>1838</v>
      </c>
      <c r="CI194" s="1278" t="s">
        <v>2464</v>
      </c>
      <c r="CJ194" s="1689">
        <f t="shared" si="167"/>
        <v>0.3</v>
      </c>
      <c r="CK194" s="1689">
        <f t="shared" si="155"/>
        <v>0.3</v>
      </c>
      <c r="CL194" s="1689">
        <f t="shared" si="156"/>
        <v>0.3</v>
      </c>
      <c r="CM194" s="1689">
        <f t="shared" si="157"/>
        <v>0.3</v>
      </c>
      <c r="CN194" s="1689">
        <f t="shared" si="158"/>
        <v>0.3</v>
      </c>
      <c r="CO194" s="1689">
        <f t="shared" si="159"/>
        <v>0.3</v>
      </c>
      <c r="CP194" s="1689">
        <f t="shared" si="160"/>
        <v>0.3</v>
      </c>
      <c r="CQ194" s="1689">
        <f t="shared" si="161"/>
        <v>0.3</v>
      </c>
      <c r="CR194" s="1689">
        <f t="shared" si="162"/>
        <v>0.3</v>
      </c>
      <c r="CS194" s="1689">
        <f t="shared" si="163"/>
        <v>0.3</v>
      </c>
      <c r="CT194" s="1705">
        <f t="shared" si="164"/>
        <v>0</v>
      </c>
      <c r="CU194" s="1704">
        <f t="shared" si="165"/>
        <v>0</v>
      </c>
      <c r="CV194" s="1704">
        <f t="shared" si="166"/>
        <v>0</v>
      </c>
      <c r="CX194" s="1277" t="s">
        <v>1159</v>
      </c>
      <c r="CY194" s="1211" t="s">
        <v>1838</v>
      </c>
      <c r="CZ194" s="1278"/>
      <c r="DA194" s="1814">
        <v>0</v>
      </c>
      <c r="DB194" s="1678"/>
      <c r="DC194" s="1678"/>
      <c r="DD194" s="1678"/>
      <c r="DE194" s="1678"/>
      <c r="DF194" s="1678"/>
      <c r="DG194" s="1678"/>
      <c r="DH194" s="1678"/>
      <c r="DI194" s="1678"/>
      <c r="DJ194" s="1678"/>
      <c r="DK194" s="1805"/>
      <c r="DL194" s="1681"/>
      <c r="DM194" s="1681"/>
    </row>
    <row r="195" spans="2:117"/>
    <row r="234"/>
  </sheetData>
  <sheetProtection algorithmName="SHA-512" hashValue="YevGRaD8ocYrF9l74kNuCw86FY7KSCA7v+vYl8/L61798Ce4onl2VrDjtk9lM/obouQ5O93zpIQdRUIoqWL4kA==" saltValue="1/kJEQ3qMowfvoiWCai70g==" spinCount="100000" sheet="1" objects="1" scenarios="1"/>
  <mergeCells count="12">
    <mergeCell ref="S5:AA5"/>
    <mergeCell ref="AC5:AE5"/>
    <mergeCell ref="BA5:BI5"/>
    <mergeCell ref="BK5:BM5"/>
    <mergeCell ref="AJ5:AR5"/>
    <mergeCell ref="AT5:AV5"/>
    <mergeCell ref="DA5:DI5"/>
    <mergeCell ref="DK5:DM5"/>
    <mergeCell ref="CJ5:CR5"/>
    <mergeCell ref="CT5:CV5"/>
    <mergeCell ref="BR5:BZ5"/>
    <mergeCell ref="CB5:CD5"/>
  </mergeCells>
  <phoneticPr fontId="22"/>
  <printOptions horizontalCentered="1"/>
  <pageMargins left="0.59055118110236227" right="0.59055118110236227" top="0.78740157480314965" bottom="0.59055118110236227" header="0.51181102362204722" footer="0.51181102362204722"/>
  <pageSetup paperSize="9" scale="65" fitToWidth="2" fitToHeight="0" orientation="portrait" verticalDpi="4294967293" r:id="rId1"/>
  <headerFooter alignWithMargins="0">
    <oddHeader>&amp;L&amp;F&amp;R&amp;A</oddHeader>
    <oddFooter>&amp;C&amp;P/&amp;N</oddFooter>
  </headerFooter>
  <rowBreaks count="1" manualBreakCount="1">
    <brk id="111" max="30" man="1"/>
  </rowBreaks>
  <colBreaks count="1" manualBreakCount="1">
    <brk id="15" max="193" man="1"/>
  </colBreaks>
  <ignoredErrors>
    <ignoredError sqref="AG152:AG195" numberStoredAsText="1"/>
    <ignoredError sqref="AA9 AA63" 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pageSetUpPr fitToPage="1"/>
  </sheetPr>
  <dimension ref="A1:AA317"/>
  <sheetViews>
    <sheetView showGridLines="0" workbookViewId="0"/>
  </sheetViews>
  <sheetFormatPr defaultColWidth="0" defaultRowHeight="13.5" zeroHeight="1"/>
  <cols>
    <col min="1" max="2" width="1.5" customWidth="1"/>
    <col min="3" max="3" width="5.375" customWidth="1"/>
    <col min="4" max="4" width="11" customWidth="1"/>
    <col min="5" max="5" width="12.875" customWidth="1"/>
    <col min="6" max="6" width="10.75" customWidth="1"/>
    <col min="7" max="7" width="22.375" hidden="1" customWidth="1"/>
    <col min="8" max="8" width="8" hidden="1" customWidth="1"/>
    <col min="9" max="9" width="12.375" customWidth="1"/>
    <col min="10" max="18" width="11.25" customWidth="1"/>
    <col min="19" max="19" width="10" hidden="1" customWidth="1"/>
    <col min="20" max="20" width="20" hidden="1" customWidth="1"/>
    <col min="21" max="26" width="12.75" hidden="1" customWidth="1"/>
    <col min="27" max="27" width="0" hidden="1" customWidth="1"/>
    <col min="28" max="16384" width="9" hidden="1"/>
  </cols>
  <sheetData>
    <row r="1" spans="2:17" ht="18.75">
      <c r="B1" s="922" t="s">
        <v>2972</v>
      </c>
    </row>
    <row r="2" spans="2:17" ht="4.5" customHeight="1"/>
    <row r="3" spans="2:17" ht="16.5">
      <c r="C3" s="923" t="s">
        <v>2971</v>
      </c>
      <c r="D3" s="924"/>
      <c r="E3" s="925"/>
      <c r="F3" s="925"/>
      <c r="G3" s="925"/>
      <c r="H3" s="925"/>
      <c r="I3" s="926" t="s">
        <v>275</v>
      </c>
      <c r="J3" s="927"/>
      <c r="K3" s="927"/>
      <c r="L3" s="928"/>
      <c r="M3" s="928"/>
      <c r="N3" s="928"/>
      <c r="O3" s="928"/>
      <c r="P3" s="928"/>
      <c r="Q3" s="929"/>
    </row>
    <row r="4" spans="2:17" ht="14.25">
      <c r="C4" s="930"/>
      <c r="D4" s="931" t="s">
        <v>1622</v>
      </c>
      <c r="E4" s="930"/>
      <c r="F4" s="930"/>
      <c r="G4" s="930"/>
      <c r="H4" s="930"/>
      <c r="I4" s="932" t="s">
        <v>2377</v>
      </c>
      <c r="J4" s="928" t="s">
        <v>639</v>
      </c>
      <c r="K4" s="933"/>
      <c r="L4" s="932" t="s">
        <v>636</v>
      </c>
      <c r="M4" s="928"/>
      <c r="N4" s="933"/>
      <c r="O4" s="932" t="s">
        <v>638</v>
      </c>
      <c r="P4" s="928"/>
      <c r="Q4" s="933"/>
    </row>
    <row r="5" spans="2:17">
      <c r="C5" s="934" t="s">
        <v>345</v>
      </c>
      <c r="D5" s="935"/>
      <c r="E5" s="936"/>
      <c r="F5" s="937"/>
      <c r="G5" s="938"/>
      <c r="H5" s="938"/>
      <c r="I5" s="939" t="s">
        <v>1924</v>
      </c>
      <c r="J5" s="939" t="s">
        <v>1925</v>
      </c>
      <c r="K5" s="939" t="s">
        <v>1926</v>
      </c>
      <c r="L5" s="939" t="s">
        <v>1924</v>
      </c>
      <c r="M5" s="939" t="s">
        <v>1925</v>
      </c>
      <c r="N5" s="939" t="s">
        <v>1926</v>
      </c>
      <c r="O5" s="939" t="s">
        <v>1924</v>
      </c>
      <c r="P5" s="939" t="s">
        <v>1925</v>
      </c>
      <c r="Q5" s="939" t="s">
        <v>1926</v>
      </c>
    </row>
    <row r="6" spans="2:17" hidden="1">
      <c r="C6" s="940"/>
      <c r="D6" s="941"/>
      <c r="E6" s="940"/>
      <c r="F6" s="940"/>
      <c r="G6" s="942">
        <v>1</v>
      </c>
      <c r="H6" s="942"/>
      <c r="I6" s="938">
        <v>3</v>
      </c>
      <c r="J6" s="938">
        <v>4</v>
      </c>
      <c r="K6" s="938">
        <v>5</v>
      </c>
      <c r="L6" s="938">
        <v>6</v>
      </c>
      <c r="M6" s="938">
        <v>7</v>
      </c>
      <c r="N6" s="938">
        <v>8</v>
      </c>
      <c r="O6" s="938">
        <v>9</v>
      </c>
      <c r="P6" s="938">
        <v>10</v>
      </c>
      <c r="Q6" s="938">
        <v>11</v>
      </c>
    </row>
    <row r="7" spans="2:17">
      <c r="C7" s="943" t="s">
        <v>377</v>
      </c>
      <c r="D7" s="944"/>
      <c r="E7" s="936"/>
      <c r="F7" s="937"/>
      <c r="G7" s="942">
        <v>10</v>
      </c>
      <c r="H7" s="942"/>
      <c r="I7" s="945">
        <v>14.004999999999999</v>
      </c>
      <c r="J7" s="945">
        <v>14.004999999999999</v>
      </c>
      <c r="K7" s="945">
        <v>14.004999999999999</v>
      </c>
      <c r="L7" s="945">
        <v>13.23</v>
      </c>
      <c r="M7" s="945">
        <v>13.23</v>
      </c>
      <c r="N7" s="945">
        <v>13.23</v>
      </c>
      <c r="O7" s="945">
        <v>13.998000000000001</v>
      </c>
      <c r="P7" s="945">
        <v>13.998000000000001</v>
      </c>
      <c r="Q7" s="945">
        <v>13.998000000000001</v>
      </c>
    </row>
    <row r="8" spans="2:17">
      <c r="C8" s="946"/>
      <c r="D8" s="507" t="s">
        <v>2008</v>
      </c>
      <c r="E8" s="507"/>
      <c r="F8" s="947">
        <v>1</v>
      </c>
      <c r="G8" s="942">
        <v>11</v>
      </c>
      <c r="H8" s="942"/>
      <c r="I8" s="948">
        <v>6.4519999999999991</v>
      </c>
      <c r="J8" s="948">
        <v>6.4519999999999991</v>
      </c>
      <c r="K8" s="948">
        <v>6.4519999999999991</v>
      </c>
      <c r="L8" s="948">
        <v>6.6009999999999991</v>
      </c>
      <c r="M8" s="948">
        <v>6.6009999999999991</v>
      </c>
      <c r="N8" s="948">
        <v>6.6009999999999991</v>
      </c>
      <c r="O8" s="948">
        <v>6.5150000000000006</v>
      </c>
      <c r="P8" s="948">
        <v>6.5150000000000006</v>
      </c>
      <c r="Q8" s="948">
        <v>6.5150000000000006</v>
      </c>
    </row>
    <row r="9" spans="2:17">
      <c r="C9" s="946"/>
      <c r="D9" s="507" t="s">
        <v>2009</v>
      </c>
      <c r="E9" s="507"/>
      <c r="F9" s="947">
        <v>1</v>
      </c>
      <c r="G9" s="949">
        <v>12</v>
      </c>
      <c r="H9" s="949"/>
      <c r="I9" s="948">
        <v>13.42</v>
      </c>
      <c r="J9" s="948">
        <v>13.42</v>
      </c>
      <c r="K9" s="948">
        <v>13.42</v>
      </c>
      <c r="L9" s="948">
        <v>12.416</v>
      </c>
      <c r="M9" s="948">
        <v>12.416</v>
      </c>
      <c r="N9" s="948">
        <v>12.416</v>
      </c>
      <c r="O9" s="948">
        <v>13.272</v>
      </c>
      <c r="P9" s="948">
        <v>13.272</v>
      </c>
      <c r="Q9" s="948">
        <v>13.272</v>
      </c>
    </row>
    <row r="10" spans="2:17" hidden="1">
      <c r="C10" s="950"/>
      <c r="D10" s="952" t="s">
        <v>2378</v>
      </c>
      <c r="E10" s="952"/>
      <c r="F10" s="953"/>
      <c r="G10" s="954">
        <v>13</v>
      </c>
      <c r="H10" s="954">
        <f>CO2計算!$F$21</f>
        <v>0</v>
      </c>
      <c r="I10" s="948">
        <f>(I7-I8)*$H10</f>
        <v>0</v>
      </c>
      <c r="J10" s="948">
        <f t="shared" ref="J10:Q10" si="0">(J7-J8)*$H10</f>
        <v>0</v>
      </c>
      <c r="K10" s="948">
        <f t="shared" si="0"/>
        <v>0</v>
      </c>
      <c r="L10" s="948">
        <f t="shared" si="0"/>
        <v>0</v>
      </c>
      <c r="M10" s="948">
        <f t="shared" si="0"/>
        <v>0</v>
      </c>
      <c r="N10" s="948">
        <f t="shared" si="0"/>
        <v>0</v>
      </c>
      <c r="O10" s="948">
        <f t="shared" si="0"/>
        <v>0</v>
      </c>
      <c r="P10" s="948">
        <f t="shared" si="0"/>
        <v>0</v>
      </c>
      <c r="Q10" s="948">
        <f t="shared" si="0"/>
        <v>0</v>
      </c>
    </row>
    <row r="11" spans="2:17" hidden="1">
      <c r="C11" s="950"/>
      <c r="D11" s="952" t="s">
        <v>2379</v>
      </c>
      <c r="E11" s="952"/>
      <c r="F11" s="953"/>
      <c r="G11" s="955">
        <v>14</v>
      </c>
      <c r="H11" s="954">
        <f>CO2計算!$F$22</f>
        <v>0</v>
      </c>
      <c r="I11" s="948">
        <f t="shared" ref="I11:Q11" si="1">(I7-I9)*$H11</f>
        <v>0</v>
      </c>
      <c r="J11" s="948">
        <f t="shared" si="1"/>
        <v>0</v>
      </c>
      <c r="K11" s="948">
        <f t="shared" si="1"/>
        <v>0</v>
      </c>
      <c r="L11" s="948">
        <f t="shared" si="1"/>
        <v>0</v>
      </c>
      <c r="M11" s="948">
        <f t="shared" si="1"/>
        <v>0</v>
      </c>
      <c r="N11" s="948">
        <f t="shared" si="1"/>
        <v>0</v>
      </c>
      <c r="O11" s="948">
        <f t="shared" si="1"/>
        <v>0</v>
      </c>
      <c r="P11" s="948">
        <f t="shared" si="1"/>
        <v>0</v>
      </c>
      <c r="Q11" s="948">
        <f t="shared" si="1"/>
        <v>0</v>
      </c>
    </row>
    <row r="12" spans="2:17" hidden="1">
      <c r="C12" s="956"/>
      <c r="D12" s="952" t="s">
        <v>386</v>
      </c>
      <c r="E12" s="952"/>
      <c r="F12" s="953"/>
      <c r="G12" s="958">
        <v>15</v>
      </c>
      <c r="H12" s="958"/>
      <c r="I12" s="948">
        <f t="shared" ref="I12:Q12" si="2">I7-I10-I11</f>
        <v>14.004999999999999</v>
      </c>
      <c r="J12" s="948">
        <f t="shared" si="2"/>
        <v>14.004999999999999</v>
      </c>
      <c r="K12" s="948">
        <f t="shared" si="2"/>
        <v>14.004999999999999</v>
      </c>
      <c r="L12" s="948">
        <f t="shared" si="2"/>
        <v>13.23</v>
      </c>
      <c r="M12" s="948">
        <f t="shared" si="2"/>
        <v>13.23</v>
      </c>
      <c r="N12" s="948">
        <f t="shared" si="2"/>
        <v>13.23</v>
      </c>
      <c r="O12" s="948">
        <f t="shared" si="2"/>
        <v>13.998000000000001</v>
      </c>
      <c r="P12" s="948">
        <f t="shared" si="2"/>
        <v>13.998000000000001</v>
      </c>
      <c r="Q12" s="948">
        <f t="shared" si="2"/>
        <v>13.998000000000001</v>
      </c>
    </row>
    <row r="13" spans="2:17">
      <c r="C13" s="943" t="s">
        <v>1487</v>
      </c>
      <c r="D13" s="936"/>
      <c r="E13" s="936"/>
      <c r="F13" s="937"/>
      <c r="G13" s="942">
        <f t="shared" ref="G13:G60" si="3">G7+10</f>
        <v>20</v>
      </c>
      <c r="H13" s="942"/>
      <c r="I13" s="945">
        <v>10.473000000000001</v>
      </c>
      <c r="J13" s="945">
        <v>10.473000000000001</v>
      </c>
      <c r="K13" s="945">
        <v>10.473000000000001</v>
      </c>
      <c r="L13" s="945">
        <v>11.762999999999998</v>
      </c>
      <c r="M13" s="945">
        <v>11.762999999999998</v>
      </c>
      <c r="N13" s="945">
        <v>11.762999999999998</v>
      </c>
      <c r="O13" s="945">
        <v>14.002000000000002</v>
      </c>
      <c r="P13" s="945">
        <v>14.002000000000002</v>
      </c>
      <c r="Q13" s="945">
        <v>14.002000000000002</v>
      </c>
    </row>
    <row r="14" spans="2:17">
      <c r="C14" s="946"/>
      <c r="D14" s="507" t="s">
        <v>2008</v>
      </c>
      <c r="E14" s="507"/>
      <c r="F14" s="947">
        <v>1</v>
      </c>
      <c r="G14" s="942">
        <f t="shared" si="3"/>
        <v>21</v>
      </c>
      <c r="H14" s="942"/>
      <c r="I14" s="948">
        <v>5.2279999999999998</v>
      </c>
      <c r="J14" s="948">
        <v>5.2279999999999998</v>
      </c>
      <c r="K14" s="948">
        <v>5.2279999999999998</v>
      </c>
      <c r="L14" s="948">
        <v>5.3689999999999998</v>
      </c>
      <c r="M14" s="948">
        <v>5.3689999999999998</v>
      </c>
      <c r="N14" s="948">
        <v>5.3689999999999998</v>
      </c>
      <c r="O14" s="948">
        <v>5.2780000000000005</v>
      </c>
      <c r="P14" s="948">
        <v>5.2780000000000005</v>
      </c>
      <c r="Q14" s="948">
        <v>5.2780000000000005</v>
      </c>
    </row>
    <row r="15" spans="2:17">
      <c r="C15" s="946"/>
      <c r="D15" s="507" t="s">
        <v>2009</v>
      </c>
      <c r="E15" s="507"/>
      <c r="F15" s="947">
        <v>1</v>
      </c>
      <c r="G15" s="942">
        <f t="shared" si="3"/>
        <v>22</v>
      </c>
      <c r="H15" s="949"/>
      <c r="I15" s="948">
        <v>10.11</v>
      </c>
      <c r="J15" s="948">
        <v>10.11</v>
      </c>
      <c r="K15" s="948">
        <v>10.11</v>
      </c>
      <c r="L15" s="948">
        <v>10.846</v>
      </c>
      <c r="M15" s="948">
        <v>10.846</v>
      </c>
      <c r="N15" s="948">
        <v>10.846</v>
      </c>
      <c r="O15" s="948">
        <v>13.005000000000001</v>
      </c>
      <c r="P15" s="948">
        <v>13.005000000000001</v>
      </c>
      <c r="Q15" s="948">
        <v>13.005000000000001</v>
      </c>
    </row>
    <row r="16" spans="2:17" hidden="1">
      <c r="C16" s="950"/>
      <c r="D16" s="952" t="s">
        <v>2378</v>
      </c>
      <c r="E16" s="952"/>
      <c r="F16" s="953"/>
      <c r="G16" s="942">
        <f t="shared" si="3"/>
        <v>23</v>
      </c>
      <c r="H16" s="954">
        <f>CO2計算!$F$21</f>
        <v>0</v>
      </c>
      <c r="I16" s="948">
        <f>(I13-I14)*$H16</f>
        <v>0</v>
      </c>
      <c r="J16" s="948">
        <f t="shared" ref="J16:Q16" si="4">(J13-J14)*$H16</f>
        <v>0</v>
      </c>
      <c r="K16" s="948">
        <f t="shared" si="4"/>
        <v>0</v>
      </c>
      <c r="L16" s="948">
        <f t="shared" si="4"/>
        <v>0</v>
      </c>
      <c r="M16" s="948">
        <f t="shared" si="4"/>
        <v>0</v>
      </c>
      <c r="N16" s="948">
        <f t="shared" si="4"/>
        <v>0</v>
      </c>
      <c r="O16" s="948">
        <f t="shared" si="4"/>
        <v>0</v>
      </c>
      <c r="P16" s="948">
        <f t="shared" si="4"/>
        <v>0</v>
      </c>
      <c r="Q16" s="948">
        <f t="shared" si="4"/>
        <v>0</v>
      </c>
    </row>
    <row r="17" spans="3:17" hidden="1">
      <c r="C17" s="950"/>
      <c r="D17" s="952" t="s">
        <v>2379</v>
      </c>
      <c r="E17" s="952"/>
      <c r="F17" s="953"/>
      <c r="G17" s="942">
        <f t="shared" si="3"/>
        <v>24</v>
      </c>
      <c r="H17" s="954">
        <f>CO2計算!$F$22</f>
        <v>0</v>
      </c>
      <c r="I17" s="948">
        <f t="shared" ref="I17:Q17" si="5">(I13-I15)*$H17</f>
        <v>0</v>
      </c>
      <c r="J17" s="948">
        <f t="shared" si="5"/>
        <v>0</v>
      </c>
      <c r="K17" s="948">
        <f t="shared" si="5"/>
        <v>0</v>
      </c>
      <c r="L17" s="948">
        <f t="shared" si="5"/>
        <v>0</v>
      </c>
      <c r="M17" s="948">
        <f t="shared" si="5"/>
        <v>0</v>
      </c>
      <c r="N17" s="948">
        <f t="shared" si="5"/>
        <v>0</v>
      </c>
      <c r="O17" s="948">
        <f t="shared" si="5"/>
        <v>0</v>
      </c>
      <c r="P17" s="948">
        <f t="shared" si="5"/>
        <v>0</v>
      </c>
      <c r="Q17" s="948">
        <f t="shared" si="5"/>
        <v>0</v>
      </c>
    </row>
    <row r="18" spans="3:17" hidden="1">
      <c r="C18" s="956"/>
      <c r="D18" s="952" t="s">
        <v>386</v>
      </c>
      <c r="E18" s="952"/>
      <c r="F18" s="953"/>
      <c r="G18" s="942">
        <f t="shared" si="3"/>
        <v>25</v>
      </c>
      <c r="H18" s="958"/>
      <c r="I18" s="948">
        <f t="shared" ref="I18:Q18" si="6">I13-I16-I17</f>
        <v>10.473000000000001</v>
      </c>
      <c r="J18" s="948">
        <f t="shared" si="6"/>
        <v>10.473000000000001</v>
      </c>
      <c r="K18" s="948">
        <f t="shared" si="6"/>
        <v>10.473000000000001</v>
      </c>
      <c r="L18" s="948">
        <f t="shared" si="6"/>
        <v>11.762999999999998</v>
      </c>
      <c r="M18" s="948">
        <f t="shared" si="6"/>
        <v>11.762999999999998</v>
      </c>
      <c r="N18" s="948">
        <f t="shared" si="6"/>
        <v>11.762999999999998</v>
      </c>
      <c r="O18" s="948">
        <f t="shared" si="6"/>
        <v>14.002000000000002</v>
      </c>
      <c r="P18" s="948">
        <f t="shared" si="6"/>
        <v>14.002000000000002</v>
      </c>
      <c r="Q18" s="948">
        <f t="shared" si="6"/>
        <v>14.002000000000002</v>
      </c>
    </row>
    <row r="19" spans="3:17">
      <c r="C19" s="943" t="s">
        <v>1640</v>
      </c>
      <c r="D19" s="936"/>
      <c r="E19" s="936"/>
      <c r="F19" s="937"/>
      <c r="G19" s="942">
        <f t="shared" si="3"/>
        <v>30</v>
      </c>
      <c r="H19" s="942"/>
      <c r="I19" s="945">
        <v>16.572000000000003</v>
      </c>
      <c r="J19" s="945">
        <v>16.572000000000003</v>
      </c>
      <c r="K19" s="945">
        <v>16.572000000000003</v>
      </c>
      <c r="L19" s="945">
        <v>22.385999999999999</v>
      </c>
      <c r="M19" s="945">
        <v>22.385999999999999</v>
      </c>
      <c r="N19" s="945">
        <v>22.385999999999999</v>
      </c>
      <c r="O19" s="945">
        <v>16.960999999999999</v>
      </c>
      <c r="P19" s="945">
        <v>16.960999999999999</v>
      </c>
      <c r="Q19" s="945">
        <v>16.960999999999999</v>
      </c>
    </row>
    <row r="20" spans="3:17">
      <c r="C20" s="946"/>
      <c r="D20" s="507" t="s">
        <v>2008</v>
      </c>
      <c r="E20" s="507"/>
      <c r="F20" s="947">
        <v>1</v>
      </c>
      <c r="G20" s="942">
        <f t="shared" si="3"/>
        <v>31</v>
      </c>
      <c r="H20" s="942"/>
      <c r="I20" s="948">
        <v>8.4039999999999999</v>
      </c>
      <c r="J20" s="948">
        <v>8.4039999999999999</v>
      </c>
      <c r="K20" s="948">
        <v>8.4039999999999999</v>
      </c>
      <c r="L20" s="948">
        <v>8.5990000000000002</v>
      </c>
      <c r="M20" s="948">
        <v>8.5990000000000002</v>
      </c>
      <c r="N20" s="948">
        <v>8.5990000000000002</v>
      </c>
      <c r="O20" s="948">
        <v>8.4849999999999994</v>
      </c>
      <c r="P20" s="948">
        <v>8.4849999999999994</v>
      </c>
      <c r="Q20" s="948">
        <v>8.4849999999999994</v>
      </c>
    </row>
    <row r="21" spans="3:17">
      <c r="C21" s="946"/>
      <c r="D21" s="507" t="s">
        <v>2009</v>
      </c>
      <c r="E21" s="507"/>
      <c r="F21" s="947">
        <v>1</v>
      </c>
      <c r="G21" s="942">
        <f t="shared" si="3"/>
        <v>32</v>
      </c>
      <c r="H21" s="949"/>
      <c r="I21" s="948">
        <v>15.867000000000001</v>
      </c>
      <c r="J21" s="948">
        <v>15.867000000000001</v>
      </c>
      <c r="K21" s="948">
        <v>15.867000000000001</v>
      </c>
      <c r="L21" s="948">
        <v>20.512</v>
      </c>
      <c r="M21" s="948">
        <v>20.512</v>
      </c>
      <c r="N21" s="948">
        <v>20.512</v>
      </c>
      <c r="O21" s="948">
        <v>16.321999999999999</v>
      </c>
      <c r="P21" s="948">
        <v>16.321999999999999</v>
      </c>
      <c r="Q21" s="948">
        <v>16.321999999999999</v>
      </c>
    </row>
    <row r="22" spans="3:17" hidden="1">
      <c r="C22" s="950"/>
      <c r="D22" s="952" t="s">
        <v>2378</v>
      </c>
      <c r="E22" s="952"/>
      <c r="F22" s="953"/>
      <c r="G22" s="942">
        <f t="shared" si="3"/>
        <v>33</v>
      </c>
      <c r="H22" s="954">
        <f>CO2計算!$F$21</f>
        <v>0</v>
      </c>
      <c r="I22" s="948">
        <f>(I19-I20)*$H22</f>
        <v>0</v>
      </c>
      <c r="J22" s="948">
        <f t="shared" ref="J22:Q22" si="7">(J19-J20)*$H22</f>
        <v>0</v>
      </c>
      <c r="K22" s="948">
        <f t="shared" si="7"/>
        <v>0</v>
      </c>
      <c r="L22" s="948">
        <f t="shared" si="7"/>
        <v>0</v>
      </c>
      <c r="M22" s="948">
        <f t="shared" si="7"/>
        <v>0</v>
      </c>
      <c r="N22" s="948">
        <f t="shared" si="7"/>
        <v>0</v>
      </c>
      <c r="O22" s="948">
        <f t="shared" si="7"/>
        <v>0</v>
      </c>
      <c r="P22" s="948">
        <f t="shared" si="7"/>
        <v>0</v>
      </c>
      <c r="Q22" s="948">
        <f t="shared" si="7"/>
        <v>0</v>
      </c>
    </row>
    <row r="23" spans="3:17" hidden="1">
      <c r="C23" s="950"/>
      <c r="D23" s="952" t="s">
        <v>2379</v>
      </c>
      <c r="E23" s="952"/>
      <c r="F23" s="953"/>
      <c r="G23" s="942">
        <f t="shared" si="3"/>
        <v>34</v>
      </c>
      <c r="H23" s="954">
        <f>CO2計算!$F$22</f>
        <v>0</v>
      </c>
      <c r="I23" s="948">
        <f t="shared" ref="I23:Q23" si="8">(I19-I21)*$H23</f>
        <v>0</v>
      </c>
      <c r="J23" s="948">
        <f t="shared" si="8"/>
        <v>0</v>
      </c>
      <c r="K23" s="948">
        <f t="shared" si="8"/>
        <v>0</v>
      </c>
      <c r="L23" s="948">
        <f t="shared" si="8"/>
        <v>0</v>
      </c>
      <c r="M23" s="948">
        <f t="shared" si="8"/>
        <v>0</v>
      </c>
      <c r="N23" s="948">
        <f t="shared" si="8"/>
        <v>0</v>
      </c>
      <c r="O23" s="948">
        <f t="shared" si="8"/>
        <v>0</v>
      </c>
      <c r="P23" s="948">
        <f t="shared" si="8"/>
        <v>0</v>
      </c>
      <c r="Q23" s="948">
        <f t="shared" si="8"/>
        <v>0</v>
      </c>
    </row>
    <row r="24" spans="3:17" hidden="1">
      <c r="C24" s="956"/>
      <c r="D24" s="952" t="s">
        <v>386</v>
      </c>
      <c r="E24" s="952"/>
      <c r="F24" s="953"/>
      <c r="G24" s="942">
        <f t="shared" si="3"/>
        <v>35</v>
      </c>
      <c r="H24" s="958"/>
      <c r="I24" s="948">
        <f t="shared" ref="I24:Q24" si="9">I19-I22-I23</f>
        <v>16.572000000000003</v>
      </c>
      <c r="J24" s="948">
        <f t="shared" si="9"/>
        <v>16.572000000000003</v>
      </c>
      <c r="K24" s="948">
        <f t="shared" si="9"/>
        <v>16.572000000000003</v>
      </c>
      <c r="L24" s="948">
        <f t="shared" si="9"/>
        <v>22.385999999999999</v>
      </c>
      <c r="M24" s="948">
        <f t="shared" si="9"/>
        <v>22.385999999999999</v>
      </c>
      <c r="N24" s="948">
        <f t="shared" si="9"/>
        <v>22.385999999999999</v>
      </c>
      <c r="O24" s="948">
        <f t="shared" si="9"/>
        <v>16.960999999999999</v>
      </c>
      <c r="P24" s="948">
        <f t="shared" si="9"/>
        <v>16.960999999999999</v>
      </c>
      <c r="Q24" s="948">
        <f t="shared" si="9"/>
        <v>16.960999999999999</v>
      </c>
    </row>
    <row r="25" spans="3:17">
      <c r="C25" s="943" t="s">
        <v>1745</v>
      </c>
      <c r="D25" s="936"/>
      <c r="E25" s="936"/>
      <c r="F25" s="937"/>
      <c r="G25" s="942">
        <f t="shared" si="3"/>
        <v>40</v>
      </c>
      <c r="H25" s="942"/>
      <c r="I25" s="945">
        <v>16.571999999999999</v>
      </c>
      <c r="J25" s="945">
        <v>16.572000000000003</v>
      </c>
      <c r="K25" s="945">
        <v>16.572000000000003</v>
      </c>
      <c r="L25" s="945">
        <v>22.385999999999999</v>
      </c>
      <c r="M25" s="945">
        <v>22.385999999999999</v>
      </c>
      <c r="N25" s="945">
        <v>22.385999999999999</v>
      </c>
      <c r="O25" s="945">
        <v>16.960999999999999</v>
      </c>
      <c r="P25" s="945">
        <v>16.960999999999999</v>
      </c>
      <c r="Q25" s="945">
        <v>16.960999999999999</v>
      </c>
    </row>
    <row r="26" spans="3:17">
      <c r="C26" s="946"/>
      <c r="D26" s="507" t="s">
        <v>2008</v>
      </c>
      <c r="E26" s="507"/>
      <c r="F26" s="947">
        <v>1</v>
      </c>
      <c r="G26" s="942">
        <f t="shared" si="3"/>
        <v>41</v>
      </c>
      <c r="H26" s="942"/>
      <c r="I26" s="948">
        <v>8.4039999999999999</v>
      </c>
      <c r="J26" s="948">
        <v>8.4039999999999999</v>
      </c>
      <c r="K26" s="948">
        <v>8.4039999999999999</v>
      </c>
      <c r="L26" s="948">
        <v>8.5990000000000002</v>
      </c>
      <c r="M26" s="948">
        <v>8.5990000000000002</v>
      </c>
      <c r="N26" s="948">
        <v>8.5990000000000002</v>
      </c>
      <c r="O26" s="948">
        <v>8.4849999999999994</v>
      </c>
      <c r="P26" s="948">
        <v>8.4849999999999994</v>
      </c>
      <c r="Q26" s="948">
        <v>8.4849999999999994</v>
      </c>
    </row>
    <row r="27" spans="3:17">
      <c r="C27" s="946"/>
      <c r="D27" s="507" t="s">
        <v>2009</v>
      </c>
      <c r="E27" s="507"/>
      <c r="F27" s="947">
        <v>1</v>
      </c>
      <c r="G27" s="942">
        <f t="shared" si="3"/>
        <v>42</v>
      </c>
      <c r="H27" s="949"/>
      <c r="I27" s="948">
        <v>15.867000000000001</v>
      </c>
      <c r="J27" s="948">
        <v>15.867000000000001</v>
      </c>
      <c r="K27" s="948">
        <v>15.867000000000001</v>
      </c>
      <c r="L27" s="948">
        <v>20.512</v>
      </c>
      <c r="M27" s="948">
        <v>20.512</v>
      </c>
      <c r="N27" s="948">
        <v>20.512</v>
      </c>
      <c r="O27" s="948">
        <v>16.321999999999999</v>
      </c>
      <c r="P27" s="948">
        <v>16.321999999999999</v>
      </c>
      <c r="Q27" s="948">
        <v>16.321999999999999</v>
      </c>
    </row>
    <row r="28" spans="3:17" hidden="1">
      <c r="C28" s="950"/>
      <c r="D28" s="952" t="s">
        <v>2378</v>
      </c>
      <c r="E28" s="952"/>
      <c r="F28" s="953"/>
      <c r="G28" s="942">
        <f t="shared" si="3"/>
        <v>43</v>
      </c>
      <c r="H28" s="954">
        <f>CO2計算!$F$21</f>
        <v>0</v>
      </c>
      <c r="I28" s="948">
        <f>(I25-I26)*$H28</f>
        <v>0</v>
      </c>
      <c r="J28" s="948">
        <f t="shared" ref="J28:Q28" si="10">(J25-J26)*$H28</f>
        <v>0</v>
      </c>
      <c r="K28" s="948">
        <f t="shared" si="10"/>
        <v>0</v>
      </c>
      <c r="L28" s="948">
        <f t="shared" si="10"/>
        <v>0</v>
      </c>
      <c r="M28" s="948">
        <f t="shared" si="10"/>
        <v>0</v>
      </c>
      <c r="N28" s="948">
        <f t="shared" si="10"/>
        <v>0</v>
      </c>
      <c r="O28" s="948">
        <f t="shared" si="10"/>
        <v>0</v>
      </c>
      <c r="P28" s="948">
        <f t="shared" si="10"/>
        <v>0</v>
      </c>
      <c r="Q28" s="948">
        <f t="shared" si="10"/>
        <v>0</v>
      </c>
    </row>
    <row r="29" spans="3:17" hidden="1">
      <c r="C29" s="950"/>
      <c r="D29" s="952" t="s">
        <v>2379</v>
      </c>
      <c r="E29" s="952"/>
      <c r="F29" s="953"/>
      <c r="G29" s="942">
        <f t="shared" si="3"/>
        <v>44</v>
      </c>
      <c r="H29" s="954">
        <f>CO2計算!$F$22</f>
        <v>0</v>
      </c>
      <c r="I29" s="948">
        <f t="shared" ref="I29:Q29" si="11">(I25-I27)*$H29</f>
        <v>0</v>
      </c>
      <c r="J29" s="948">
        <f t="shared" si="11"/>
        <v>0</v>
      </c>
      <c r="K29" s="948">
        <f t="shared" si="11"/>
        <v>0</v>
      </c>
      <c r="L29" s="948">
        <f t="shared" si="11"/>
        <v>0</v>
      </c>
      <c r="M29" s="948">
        <f t="shared" si="11"/>
        <v>0</v>
      </c>
      <c r="N29" s="948">
        <f t="shared" si="11"/>
        <v>0</v>
      </c>
      <c r="O29" s="948">
        <f t="shared" si="11"/>
        <v>0</v>
      </c>
      <c r="P29" s="948">
        <f t="shared" si="11"/>
        <v>0</v>
      </c>
      <c r="Q29" s="948">
        <f t="shared" si="11"/>
        <v>0</v>
      </c>
    </row>
    <row r="30" spans="3:17" hidden="1">
      <c r="C30" s="956"/>
      <c r="D30" s="952" t="s">
        <v>386</v>
      </c>
      <c r="E30" s="952"/>
      <c r="F30" s="953"/>
      <c r="G30" s="942">
        <f t="shared" si="3"/>
        <v>45</v>
      </c>
      <c r="H30" s="958"/>
      <c r="I30" s="948">
        <f t="shared" ref="I30:Q30" si="12">I25-I28-I29</f>
        <v>16.571999999999999</v>
      </c>
      <c r="J30" s="948">
        <f t="shared" si="12"/>
        <v>16.572000000000003</v>
      </c>
      <c r="K30" s="948">
        <f t="shared" si="12"/>
        <v>16.572000000000003</v>
      </c>
      <c r="L30" s="948">
        <f t="shared" si="12"/>
        <v>22.385999999999999</v>
      </c>
      <c r="M30" s="948">
        <f t="shared" si="12"/>
        <v>22.385999999999999</v>
      </c>
      <c r="N30" s="948">
        <f t="shared" si="12"/>
        <v>22.385999999999999</v>
      </c>
      <c r="O30" s="948">
        <f t="shared" si="12"/>
        <v>16.960999999999999</v>
      </c>
      <c r="P30" s="948">
        <f t="shared" si="12"/>
        <v>16.960999999999999</v>
      </c>
      <c r="Q30" s="948">
        <f t="shared" si="12"/>
        <v>16.960999999999999</v>
      </c>
    </row>
    <row r="31" spans="3:17">
      <c r="C31" s="943" t="s">
        <v>1642</v>
      </c>
      <c r="D31" s="936"/>
      <c r="E31" s="936"/>
      <c r="F31" s="937"/>
      <c r="G31" s="942">
        <f t="shared" si="3"/>
        <v>50</v>
      </c>
      <c r="H31" s="942"/>
      <c r="I31" s="945">
        <v>11.535</v>
      </c>
      <c r="J31" s="945">
        <v>11.535</v>
      </c>
      <c r="K31" s="945">
        <v>11.535</v>
      </c>
      <c r="L31" s="945">
        <v>12.471</v>
      </c>
      <c r="M31" s="945">
        <v>12.471</v>
      </c>
      <c r="N31" s="945">
        <v>12.471</v>
      </c>
      <c r="O31" s="945">
        <v>13.079000000000001</v>
      </c>
      <c r="P31" s="945">
        <v>13.079000000000001</v>
      </c>
      <c r="Q31" s="945">
        <v>13.079000000000001</v>
      </c>
    </row>
    <row r="32" spans="3:17">
      <c r="C32" s="946"/>
      <c r="D32" s="507" t="s">
        <v>2008</v>
      </c>
      <c r="E32" s="507"/>
      <c r="F32" s="947">
        <v>1</v>
      </c>
      <c r="G32" s="942">
        <f t="shared" si="3"/>
        <v>51</v>
      </c>
      <c r="H32" s="942"/>
      <c r="I32" s="948">
        <v>5.452</v>
      </c>
      <c r="J32" s="948">
        <v>5.452</v>
      </c>
      <c r="K32" s="948">
        <v>5.452</v>
      </c>
      <c r="L32" s="948">
        <v>5.5779999999999994</v>
      </c>
      <c r="M32" s="948">
        <v>5.5779999999999994</v>
      </c>
      <c r="N32" s="948">
        <v>5.5779999999999994</v>
      </c>
      <c r="O32" s="948">
        <v>5.5039999999999996</v>
      </c>
      <c r="P32" s="948">
        <v>5.5039999999999996</v>
      </c>
      <c r="Q32" s="948">
        <v>5.5039999999999996</v>
      </c>
    </row>
    <row r="33" spans="3:17">
      <c r="C33" s="946"/>
      <c r="D33" s="507" t="s">
        <v>2009</v>
      </c>
      <c r="E33" s="507"/>
      <c r="F33" s="947">
        <v>1</v>
      </c>
      <c r="G33" s="942">
        <f t="shared" si="3"/>
        <v>52</v>
      </c>
      <c r="H33" s="949"/>
      <c r="I33" s="948">
        <v>11.178000000000001</v>
      </c>
      <c r="J33" s="948">
        <v>11.178000000000001</v>
      </c>
      <c r="K33" s="948">
        <v>11.178000000000001</v>
      </c>
      <c r="L33" s="948">
        <v>11.533999999999999</v>
      </c>
      <c r="M33" s="948">
        <v>11.533999999999999</v>
      </c>
      <c r="N33" s="948">
        <v>11.533999999999999</v>
      </c>
      <c r="O33" s="948">
        <v>12.182</v>
      </c>
      <c r="P33" s="948">
        <v>12.182</v>
      </c>
      <c r="Q33" s="948">
        <v>12.182</v>
      </c>
    </row>
    <row r="34" spans="3:17" hidden="1">
      <c r="C34" s="950"/>
      <c r="D34" s="952" t="s">
        <v>2378</v>
      </c>
      <c r="E34" s="952"/>
      <c r="F34" s="953"/>
      <c r="G34" s="942">
        <f t="shared" si="3"/>
        <v>53</v>
      </c>
      <c r="H34" s="954">
        <f>CO2計算!$F$21</f>
        <v>0</v>
      </c>
      <c r="I34" s="948">
        <f>(I31-I32)*$H34</f>
        <v>0</v>
      </c>
      <c r="J34" s="948">
        <f t="shared" ref="J34:Q34" si="13">(J31-J32)*$H34</f>
        <v>0</v>
      </c>
      <c r="K34" s="948">
        <f t="shared" si="13"/>
        <v>0</v>
      </c>
      <c r="L34" s="948">
        <f t="shared" si="13"/>
        <v>0</v>
      </c>
      <c r="M34" s="948">
        <f t="shared" si="13"/>
        <v>0</v>
      </c>
      <c r="N34" s="948">
        <f t="shared" si="13"/>
        <v>0</v>
      </c>
      <c r="O34" s="948">
        <f t="shared" si="13"/>
        <v>0</v>
      </c>
      <c r="P34" s="948">
        <f t="shared" si="13"/>
        <v>0</v>
      </c>
      <c r="Q34" s="948">
        <f t="shared" si="13"/>
        <v>0</v>
      </c>
    </row>
    <row r="35" spans="3:17" hidden="1">
      <c r="C35" s="950"/>
      <c r="D35" s="952" t="s">
        <v>2379</v>
      </c>
      <c r="E35" s="952"/>
      <c r="F35" s="953"/>
      <c r="G35" s="942">
        <f t="shared" si="3"/>
        <v>54</v>
      </c>
      <c r="H35" s="954">
        <f>CO2計算!$F$22</f>
        <v>0</v>
      </c>
      <c r="I35" s="948">
        <f t="shared" ref="I35:Q35" si="14">(I31-I33)*$H35</f>
        <v>0</v>
      </c>
      <c r="J35" s="948">
        <f t="shared" si="14"/>
        <v>0</v>
      </c>
      <c r="K35" s="948">
        <f t="shared" si="14"/>
        <v>0</v>
      </c>
      <c r="L35" s="948">
        <f t="shared" si="14"/>
        <v>0</v>
      </c>
      <c r="M35" s="948">
        <f t="shared" si="14"/>
        <v>0</v>
      </c>
      <c r="N35" s="948">
        <f t="shared" si="14"/>
        <v>0</v>
      </c>
      <c r="O35" s="948">
        <f t="shared" si="14"/>
        <v>0</v>
      </c>
      <c r="P35" s="948">
        <f t="shared" si="14"/>
        <v>0</v>
      </c>
      <c r="Q35" s="948">
        <f t="shared" si="14"/>
        <v>0</v>
      </c>
    </row>
    <row r="36" spans="3:17" hidden="1">
      <c r="C36" s="956"/>
      <c r="D36" s="952" t="s">
        <v>386</v>
      </c>
      <c r="E36" s="952"/>
      <c r="F36" s="953"/>
      <c r="G36" s="942">
        <f t="shared" si="3"/>
        <v>55</v>
      </c>
      <c r="H36" s="958"/>
      <c r="I36" s="948">
        <f t="shared" ref="I36:Q36" si="15">I31-I34-I35</f>
        <v>11.535</v>
      </c>
      <c r="J36" s="948">
        <f t="shared" si="15"/>
        <v>11.535</v>
      </c>
      <c r="K36" s="948">
        <f t="shared" si="15"/>
        <v>11.535</v>
      </c>
      <c r="L36" s="948">
        <f t="shared" si="15"/>
        <v>12.471</v>
      </c>
      <c r="M36" s="948">
        <f t="shared" si="15"/>
        <v>12.471</v>
      </c>
      <c r="N36" s="948">
        <f t="shared" si="15"/>
        <v>12.471</v>
      </c>
      <c r="O36" s="948">
        <f t="shared" si="15"/>
        <v>13.079000000000001</v>
      </c>
      <c r="P36" s="948">
        <f t="shared" si="15"/>
        <v>13.079000000000001</v>
      </c>
      <c r="Q36" s="948">
        <f t="shared" si="15"/>
        <v>13.079000000000001</v>
      </c>
    </row>
    <row r="37" spans="3:17">
      <c r="C37" s="943" t="s">
        <v>385</v>
      </c>
      <c r="D37" s="936"/>
      <c r="E37" s="936"/>
      <c r="F37" s="937"/>
      <c r="G37" s="942">
        <f t="shared" si="3"/>
        <v>60</v>
      </c>
      <c r="H37" s="942"/>
      <c r="I37" s="945">
        <v>19.561999999999998</v>
      </c>
      <c r="J37" s="945">
        <v>19.561999999999998</v>
      </c>
      <c r="K37" s="945">
        <v>19.561999999999998</v>
      </c>
      <c r="L37" s="945">
        <v>22.5</v>
      </c>
      <c r="M37" s="945">
        <v>22.5</v>
      </c>
      <c r="N37" s="945">
        <v>22.5</v>
      </c>
      <c r="O37" s="945">
        <v>23.650000000000002</v>
      </c>
      <c r="P37" s="945">
        <v>23.650000000000002</v>
      </c>
      <c r="Q37" s="945">
        <v>23.650000000000002</v>
      </c>
    </row>
    <row r="38" spans="3:17">
      <c r="C38" s="946"/>
      <c r="D38" s="507" t="s">
        <v>2008</v>
      </c>
      <c r="E38" s="507"/>
      <c r="F38" s="947">
        <v>1</v>
      </c>
      <c r="G38" s="942">
        <f t="shared" si="3"/>
        <v>61</v>
      </c>
      <c r="H38" s="942"/>
      <c r="I38" s="948">
        <v>9.9849999999999994</v>
      </c>
      <c r="J38" s="948">
        <v>9.9849999999999994</v>
      </c>
      <c r="K38" s="948">
        <v>9.9849999999999994</v>
      </c>
      <c r="L38" s="948">
        <v>10.302</v>
      </c>
      <c r="M38" s="948">
        <v>10.302</v>
      </c>
      <c r="N38" s="948">
        <v>10.302</v>
      </c>
      <c r="O38" s="948">
        <v>9.9700000000000006</v>
      </c>
      <c r="P38" s="948">
        <v>9.9700000000000006</v>
      </c>
      <c r="Q38" s="948">
        <v>9.9700000000000006</v>
      </c>
    </row>
    <row r="39" spans="3:17">
      <c r="C39" s="946"/>
      <c r="D39" s="507" t="s">
        <v>2009</v>
      </c>
      <c r="E39" s="507"/>
      <c r="F39" s="947">
        <v>1</v>
      </c>
      <c r="G39" s="942">
        <f t="shared" si="3"/>
        <v>62</v>
      </c>
      <c r="H39" s="949"/>
      <c r="I39" s="948">
        <v>18.811</v>
      </c>
      <c r="J39" s="948">
        <v>18.811</v>
      </c>
      <c r="K39" s="948">
        <v>18.811</v>
      </c>
      <c r="L39" s="948">
        <v>20.811999999999998</v>
      </c>
      <c r="M39" s="948">
        <v>20.811999999999998</v>
      </c>
      <c r="N39" s="948">
        <v>20.811999999999998</v>
      </c>
      <c r="O39" s="948">
        <v>22.231999999999999</v>
      </c>
      <c r="P39" s="948">
        <v>22.231999999999999</v>
      </c>
      <c r="Q39" s="948">
        <v>22.231999999999999</v>
      </c>
    </row>
    <row r="40" spans="3:17" hidden="1">
      <c r="C40" s="950"/>
      <c r="D40" s="952" t="s">
        <v>2378</v>
      </c>
      <c r="E40" s="952"/>
      <c r="F40" s="953"/>
      <c r="G40" s="942">
        <f t="shared" si="3"/>
        <v>63</v>
      </c>
      <c r="H40" s="954">
        <f>CO2計算!$F$21</f>
        <v>0</v>
      </c>
      <c r="I40" s="948">
        <f>(I37-I38)*$H40</f>
        <v>0</v>
      </c>
      <c r="J40" s="948">
        <f t="shared" ref="J40:Q40" si="16">(J37-J38)*$H40</f>
        <v>0</v>
      </c>
      <c r="K40" s="948">
        <f t="shared" si="16"/>
        <v>0</v>
      </c>
      <c r="L40" s="948">
        <f t="shared" si="16"/>
        <v>0</v>
      </c>
      <c r="M40" s="948">
        <f t="shared" si="16"/>
        <v>0</v>
      </c>
      <c r="N40" s="948">
        <f t="shared" si="16"/>
        <v>0</v>
      </c>
      <c r="O40" s="948">
        <f t="shared" si="16"/>
        <v>0</v>
      </c>
      <c r="P40" s="948">
        <f t="shared" si="16"/>
        <v>0</v>
      </c>
      <c r="Q40" s="948">
        <f t="shared" si="16"/>
        <v>0</v>
      </c>
    </row>
    <row r="41" spans="3:17" hidden="1">
      <c r="C41" s="950"/>
      <c r="D41" s="952" t="s">
        <v>2379</v>
      </c>
      <c r="E41" s="952"/>
      <c r="F41" s="953"/>
      <c r="G41" s="942">
        <f t="shared" si="3"/>
        <v>64</v>
      </c>
      <c r="H41" s="954">
        <f>CO2計算!$F$22</f>
        <v>0</v>
      </c>
      <c r="I41" s="948">
        <f t="shared" ref="I41:Q41" si="17">(I37-I39)*$H41</f>
        <v>0</v>
      </c>
      <c r="J41" s="948">
        <f t="shared" si="17"/>
        <v>0</v>
      </c>
      <c r="K41" s="948">
        <f t="shared" si="17"/>
        <v>0</v>
      </c>
      <c r="L41" s="948">
        <f t="shared" si="17"/>
        <v>0</v>
      </c>
      <c r="M41" s="948">
        <f t="shared" si="17"/>
        <v>0</v>
      </c>
      <c r="N41" s="948">
        <f t="shared" si="17"/>
        <v>0</v>
      </c>
      <c r="O41" s="948">
        <f t="shared" si="17"/>
        <v>0</v>
      </c>
      <c r="P41" s="948">
        <f t="shared" si="17"/>
        <v>0</v>
      </c>
      <c r="Q41" s="948">
        <f t="shared" si="17"/>
        <v>0</v>
      </c>
    </row>
    <row r="42" spans="3:17" hidden="1">
      <c r="C42" s="956"/>
      <c r="D42" s="952" t="s">
        <v>386</v>
      </c>
      <c r="E42" s="952"/>
      <c r="F42" s="953"/>
      <c r="G42" s="942">
        <f t="shared" si="3"/>
        <v>65</v>
      </c>
      <c r="H42" s="958"/>
      <c r="I42" s="948">
        <f t="shared" ref="I42:Q42" si="18">I37-I40-I41</f>
        <v>19.561999999999998</v>
      </c>
      <c r="J42" s="948">
        <f t="shared" si="18"/>
        <v>19.561999999999998</v>
      </c>
      <c r="K42" s="948">
        <f t="shared" si="18"/>
        <v>19.561999999999998</v>
      </c>
      <c r="L42" s="948">
        <f t="shared" si="18"/>
        <v>22.5</v>
      </c>
      <c r="M42" s="948">
        <f t="shared" si="18"/>
        <v>22.5</v>
      </c>
      <c r="N42" s="948">
        <f t="shared" si="18"/>
        <v>22.5</v>
      </c>
      <c r="O42" s="948">
        <f t="shared" si="18"/>
        <v>23.650000000000002</v>
      </c>
      <c r="P42" s="948">
        <f t="shared" si="18"/>
        <v>23.650000000000002</v>
      </c>
      <c r="Q42" s="948">
        <f t="shared" si="18"/>
        <v>23.650000000000002</v>
      </c>
    </row>
    <row r="43" spans="3:17">
      <c r="C43" s="943" t="s">
        <v>1644</v>
      </c>
      <c r="D43" s="936"/>
      <c r="E43" s="936"/>
      <c r="F43" s="937"/>
      <c r="G43" s="942">
        <f t="shared" si="3"/>
        <v>70</v>
      </c>
      <c r="H43" s="942"/>
      <c r="I43" s="945">
        <v>10.405000000000001</v>
      </c>
      <c r="J43" s="945">
        <v>10.405000000000001</v>
      </c>
      <c r="K43" s="945">
        <v>10.405000000000001</v>
      </c>
      <c r="L43" s="945">
        <v>12.261000000000001</v>
      </c>
      <c r="M43" s="945">
        <v>12.261000000000001</v>
      </c>
      <c r="N43" s="945">
        <v>12.261000000000001</v>
      </c>
      <c r="O43" s="945">
        <v>13.704000000000001</v>
      </c>
      <c r="P43" s="945">
        <v>13.704000000000001</v>
      </c>
      <c r="Q43" s="945">
        <v>13.704000000000001</v>
      </c>
    </row>
    <row r="44" spans="3:17">
      <c r="C44" s="946"/>
      <c r="D44" s="507" t="s">
        <v>2008</v>
      </c>
      <c r="E44" s="507"/>
      <c r="F44" s="947">
        <v>1</v>
      </c>
      <c r="G44" s="942">
        <f t="shared" si="3"/>
        <v>71</v>
      </c>
      <c r="H44" s="942"/>
      <c r="I44" s="948">
        <v>6.2990000000000004</v>
      </c>
      <c r="J44" s="948">
        <v>6.2990000000000004</v>
      </c>
      <c r="K44" s="948">
        <v>6.2990000000000004</v>
      </c>
      <c r="L44" s="948">
        <v>6.4450000000000003</v>
      </c>
      <c r="M44" s="948">
        <v>6.4450000000000003</v>
      </c>
      <c r="N44" s="948">
        <v>6.4450000000000003</v>
      </c>
      <c r="O44" s="948">
        <v>6.36</v>
      </c>
      <c r="P44" s="948">
        <v>6.36</v>
      </c>
      <c r="Q44" s="948">
        <v>6.36</v>
      </c>
    </row>
    <row r="45" spans="3:17">
      <c r="C45" s="946"/>
      <c r="D45" s="507" t="s">
        <v>2009</v>
      </c>
      <c r="E45" s="507"/>
      <c r="F45" s="947">
        <v>1</v>
      </c>
      <c r="G45" s="942">
        <f t="shared" si="3"/>
        <v>72</v>
      </c>
      <c r="H45" s="949"/>
      <c r="I45" s="948">
        <v>10.077999999999999</v>
      </c>
      <c r="J45" s="948">
        <v>10.077999999999999</v>
      </c>
      <c r="K45" s="948">
        <v>10.077999999999999</v>
      </c>
      <c r="L45" s="948">
        <v>11.452000000000002</v>
      </c>
      <c r="M45" s="948">
        <v>11.452000000000002</v>
      </c>
      <c r="N45" s="948">
        <v>11.452000000000002</v>
      </c>
      <c r="O45" s="948">
        <v>12.857999999999999</v>
      </c>
      <c r="P45" s="948">
        <v>12.857999999999999</v>
      </c>
      <c r="Q45" s="948">
        <v>12.857999999999999</v>
      </c>
    </row>
    <row r="46" spans="3:17" hidden="1">
      <c r="C46" s="950"/>
      <c r="D46" s="952" t="s">
        <v>2378</v>
      </c>
      <c r="E46" s="952"/>
      <c r="F46" s="953"/>
      <c r="G46" s="942">
        <f t="shared" si="3"/>
        <v>73</v>
      </c>
      <c r="H46" s="954">
        <f>CO2計算!$F$21</f>
        <v>0</v>
      </c>
      <c r="I46" s="948">
        <f>(I43-I44)*$H46</f>
        <v>0</v>
      </c>
      <c r="J46" s="948">
        <f t="shared" ref="J46:Q46" si="19">(J43-J44)*$H46</f>
        <v>0</v>
      </c>
      <c r="K46" s="948">
        <f t="shared" si="19"/>
        <v>0</v>
      </c>
      <c r="L46" s="948">
        <f t="shared" si="19"/>
        <v>0</v>
      </c>
      <c r="M46" s="948">
        <f t="shared" si="19"/>
        <v>0</v>
      </c>
      <c r="N46" s="948">
        <f t="shared" si="19"/>
        <v>0</v>
      </c>
      <c r="O46" s="948">
        <f t="shared" si="19"/>
        <v>0</v>
      </c>
      <c r="P46" s="948">
        <f t="shared" si="19"/>
        <v>0</v>
      </c>
      <c r="Q46" s="948">
        <f t="shared" si="19"/>
        <v>0</v>
      </c>
    </row>
    <row r="47" spans="3:17" hidden="1">
      <c r="C47" s="950"/>
      <c r="D47" s="952" t="s">
        <v>2379</v>
      </c>
      <c r="E47" s="952"/>
      <c r="F47" s="953"/>
      <c r="G47" s="942">
        <f t="shared" si="3"/>
        <v>74</v>
      </c>
      <c r="H47" s="954">
        <f>CO2計算!$F$22</f>
        <v>0</v>
      </c>
      <c r="I47" s="948">
        <f t="shared" ref="I47:Q47" si="20">(I43-I45)*$H47</f>
        <v>0</v>
      </c>
      <c r="J47" s="948">
        <f t="shared" si="20"/>
        <v>0</v>
      </c>
      <c r="K47" s="948">
        <f t="shared" si="20"/>
        <v>0</v>
      </c>
      <c r="L47" s="948">
        <f t="shared" si="20"/>
        <v>0</v>
      </c>
      <c r="M47" s="948">
        <f t="shared" si="20"/>
        <v>0</v>
      </c>
      <c r="N47" s="948">
        <f t="shared" si="20"/>
        <v>0</v>
      </c>
      <c r="O47" s="948">
        <f t="shared" si="20"/>
        <v>0</v>
      </c>
      <c r="P47" s="948">
        <f t="shared" si="20"/>
        <v>0</v>
      </c>
      <c r="Q47" s="948">
        <f t="shared" si="20"/>
        <v>0</v>
      </c>
    </row>
    <row r="48" spans="3:17" hidden="1">
      <c r="C48" s="956"/>
      <c r="D48" s="952" t="s">
        <v>386</v>
      </c>
      <c r="E48" s="952"/>
      <c r="F48" s="953"/>
      <c r="G48" s="942">
        <f t="shared" si="3"/>
        <v>75</v>
      </c>
      <c r="H48" s="958"/>
      <c r="I48" s="948">
        <f t="shared" ref="I48:Q48" si="21">I43-I46-I47</f>
        <v>10.405000000000001</v>
      </c>
      <c r="J48" s="948">
        <f t="shared" si="21"/>
        <v>10.405000000000001</v>
      </c>
      <c r="K48" s="948">
        <f t="shared" si="21"/>
        <v>10.405000000000001</v>
      </c>
      <c r="L48" s="948">
        <f t="shared" si="21"/>
        <v>12.261000000000001</v>
      </c>
      <c r="M48" s="948">
        <f t="shared" si="21"/>
        <v>12.261000000000001</v>
      </c>
      <c r="N48" s="948">
        <f t="shared" si="21"/>
        <v>12.261000000000001</v>
      </c>
      <c r="O48" s="948">
        <f t="shared" si="21"/>
        <v>13.704000000000001</v>
      </c>
      <c r="P48" s="948">
        <f t="shared" si="21"/>
        <v>13.704000000000001</v>
      </c>
      <c r="Q48" s="948">
        <f t="shared" si="21"/>
        <v>13.704000000000001</v>
      </c>
    </row>
    <row r="49" spans="3:17">
      <c r="C49" s="943" t="s">
        <v>423</v>
      </c>
      <c r="D49" s="936"/>
      <c r="E49" s="936"/>
      <c r="F49" s="937"/>
      <c r="G49" s="942">
        <f t="shared" si="3"/>
        <v>80</v>
      </c>
      <c r="H49" s="942"/>
      <c r="I49" s="945">
        <v>11.119000000000002</v>
      </c>
      <c r="J49" s="945">
        <v>11.119000000000002</v>
      </c>
      <c r="K49" s="945">
        <v>11.119000000000002</v>
      </c>
      <c r="L49" s="945">
        <v>12.770000000000001</v>
      </c>
      <c r="M49" s="945">
        <v>12.770000000000001</v>
      </c>
      <c r="N49" s="945">
        <v>12.770000000000001</v>
      </c>
      <c r="O49" s="945">
        <v>13.53</v>
      </c>
      <c r="P49" s="945">
        <v>13.53</v>
      </c>
      <c r="Q49" s="945">
        <v>13.53</v>
      </c>
    </row>
    <row r="50" spans="3:17">
      <c r="C50" s="946"/>
      <c r="D50" s="507" t="s">
        <v>2008</v>
      </c>
      <c r="E50" s="507"/>
      <c r="F50" s="947">
        <v>1</v>
      </c>
      <c r="G50" s="942">
        <f t="shared" si="3"/>
        <v>81</v>
      </c>
      <c r="H50" s="942"/>
      <c r="I50" s="948">
        <v>5.5570000000000004</v>
      </c>
      <c r="J50" s="948">
        <v>5.5570000000000004</v>
      </c>
      <c r="K50" s="948">
        <v>5.5570000000000004</v>
      </c>
      <c r="L50" s="948">
        <v>5.6859999999999999</v>
      </c>
      <c r="M50" s="948">
        <v>5.6859999999999999</v>
      </c>
      <c r="N50" s="948">
        <v>5.6859999999999999</v>
      </c>
      <c r="O50" s="948">
        <v>5.61</v>
      </c>
      <c r="P50" s="948">
        <v>5.61</v>
      </c>
      <c r="Q50" s="948">
        <v>5.61</v>
      </c>
    </row>
    <row r="51" spans="3:17">
      <c r="C51" s="946"/>
      <c r="D51" s="507" t="s">
        <v>2009</v>
      </c>
      <c r="E51" s="507"/>
      <c r="F51" s="947">
        <v>1</v>
      </c>
      <c r="G51" s="942">
        <f t="shared" si="3"/>
        <v>82</v>
      </c>
      <c r="H51" s="949"/>
      <c r="I51" s="948">
        <v>10.67</v>
      </c>
      <c r="J51" s="948">
        <v>10.67</v>
      </c>
      <c r="K51" s="948">
        <v>10.67</v>
      </c>
      <c r="L51" s="948">
        <v>11.715999999999999</v>
      </c>
      <c r="M51" s="948">
        <v>11.715999999999999</v>
      </c>
      <c r="N51" s="948">
        <v>11.715999999999999</v>
      </c>
      <c r="O51" s="948">
        <v>12.681000000000001</v>
      </c>
      <c r="P51" s="948">
        <v>12.681000000000001</v>
      </c>
      <c r="Q51" s="948">
        <v>12.681000000000001</v>
      </c>
    </row>
    <row r="52" spans="3:17" hidden="1">
      <c r="C52" s="950"/>
      <c r="D52" s="952" t="s">
        <v>2378</v>
      </c>
      <c r="E52" s="952"/>
      <c r="F52" s="953"/>
      <c r="G52" s="942">
        <f t="shared" si="3"/>
        <v>83</v>
      </c>
      <c r="H52" s="954">
        <f>CO2計算!$F$21</f>
        <v>0</v>
      </c>
      <c r="I52" s="948">
        <f>(I49-I50)*$H52</f>
        <v>0</v>
      </c>
      <c r="J52" s="948">
        <f t="shared" ref="J52:Q52" si="22">(J49-J50)*$H52</f>
        <v>0</v>
      </c>
      <c r="K52" s="948">
        <f t="shared" si="22"/>
        <v>0</v>
      </c>
      <c r="L52" s="948">
        <f t="shared" si="22"/>
        <v>0</v>
      </c>
      <c r="M52" s="948">
        <f t="shared" si="22"/>
        <v>0</v>
      </c>
      <c r="N52" s="948">
        <f t="shared" si="22"/>
        <v>0</v>
      </c>
      <c r="O52" s="948">
        <f t="shared" si="22"/>
        <v>0</v>
      </c>
      <c r="P52" s="948">
        <f t="shared" si="22"/>
        <v>0</v>
      </c>
      <c r="Q52" s="948">
        <f t="shared" si="22"/>
        <v>0</v>
      </c>
    </row>
    <row r="53" spans="3:17" hidden="1">
      <c r="C53" s="950"/>
      <c r="D53" s="952" t="s">
        <v>2379</v>
      </c>
      <c r="E53" s="952"/>
      <c r="F53" s="953"/>
      <c r="G53" s="942">
        <f t="shared" si="3"/>
        <v>84</v>
      </c>
      <c r="H53" s="954">
        <f>CO2計算!$F$22</f>
        <v>0</v>
      </c>
      <c r="I53" s="948">
        <f t="shared" ref="I53:Q53" si="23">(I49-I51)*$H53</f>
        <v>0</v>
      </c>
      <c r="J53" s="948">
        <f t="shared" si="23"/>
        <v>0</v>
      </c>
      <c r="K53" s="948">
        <f t="shared" si="23"/>
        <v>0</v>
      </c>
      <c r="L53" s="948">
        <f t="shared" si="23"/>
        <v>0</v>
      </c>
      <c r="M53" s="948">
        <f t="shared" si="23"/>
        <v>0</v>
      </c>
      <c r="N53" s="948">
        <f t="shared" si="23"/>
        <v>0</v>
      </c>
      <c r="O53" s="948">
        <f t="shared" si="23"/>
        <v>0</v>
      </c>
      <c r="P53" s="948">
        <f t="shared" si="23"/>
        <v>0</v>
      </c>
      <c r="Q53" s="948">
        <f t="shared" si="23"/>
        <v>0</v>
      </c>
    </row>
    <row r="54" spans="3:17" hidden="1">
      <c r="C54" s="956"/>
      <c r="D54" s="952" t="s">
        <v>386</v>
      </c>
      <c r="E54" s="952"/>
      <c r="F54" s="953"/>
      <c r="G54" s="942">
        <f t="shared" si="3"/>
        <v>85</v>
      </c>
      <c r="H54" s="958"/>
      <c r="I54" s="948">
        <f t="shared" ref="I54:Q54" si="24">I49-I52-I53</f>
        <v>11.119000000000002</v>
      </c>
      <c r="J54" s="948">
        <f t="shared" si="24"/>
        <v>11.119000000000002</v>
      </c>
      <c r="K54" s="948">
        <f t="shared" si="24"/>
        <v>11.119000000000002</v>
      </c>
      <c r="L54" s="948">
        <f t="shared" si="24"/>
        <v>12.770000000000001</v>
      </c>
      <c r="M54" s="948">
        <f t="shared" si="24"/>
        <v>12.770000000000001</v>
      </c>
      <c r="N54" s="948">
        <f t="shared" si="24"/>
        <v>12.770000000000001</v>
      </c>
      <c r="O54" s="948">
        <f t="shared" si="24"/>
        <v>13.53</v>
      </c>
      <c r="P54" s="948">
        <f t="shared" si="24"/>
        <v>13.53</v>
      </c>
      <c r="Q54" s="948">
        <f t="shared" si="24"/>
        <v>13.53</v>
      </c>
    </row>
    <row r="55" spans="3:17">
      <c r="C55" s="943" t="s">
        <v>1746</v>
      </c>
      <c r="D55" s="936"/>
      <c r="E55" s="936"/>
      <c r="F55" s="937"/>
      <c r="G55" s="942">
        <f t="shared" si="3"/>
        <v>90</v>
      </c>
      <c r="H55" s="942"/>
      <c r="I55" s="945">
        <v>15.641</v>
      </c>
      <c r="J55" s="945">
        <v>7.8210000000000006</v>
      </c>
      <c r="K55" s="945">
        <v>5.2140000000000004</v>
      </c>
      <c r="L55" s="945">
        <v>19.619999999999997</v>
      </c>
      <c r="M55" s="945">
        <v>9.8079999999999998</v>
      </c>
      <c r="N55" s="945">
        <v>6.5390000000000006</v>
      </c>
      <c r="O55" s="945">
        <v>22.378</v>
      </c>
      <c r="P55" s="945">
        <v>11.187999999999999</v>
      </c>
      <c r="Q55" s="945">
        <v>7.4590000000000005</v>
      </c>
    </row>
    <row r="56" spans="3:17">
      <c r="C56" s="946"/>
      <c r="D56" s="507" t="s">
        <v>2008</v>
      </c>
      <c r="E56" s="507"/>
      <c r="F56" s="947">
        <v>1</v>
      </c>
      <c r="G56" s="942">
        <f t="shared" si="3"/>
        <v>91</v>
      </c>
      <c r="H56" s="942"/>
      <c r="I56" s="948">
        <v>9.0940000000000012</v>
      </c>
      <c r="J56" s="948">
        <v>4.5460000000000003</v>
      </c>
      <c r="K56" s="948">
        <v>3.0309999999999997</v>
      </c>
      <c r="L56" s="948">
        <v>8.8330000000000002</v>
      </c>
      <c r="M56" s="948">
        <v>4.4160000000000004</v>
      </c>
      <c r="N56" s="948">
        <v>2.9430000000000001</v>
      </c>
      <c r="O56" s="948">
        <v>8.7469999999999999</v>
      </c>
      <c r="P56" s="948">
        <v>4.3730000000000002</v>
      </c>
      <c r="Q56" s="948">
        <v>2.915</v>
      </c>
    </row>
    <row r="57" spans="3:17">
      <c r="C57" s="946"/>
      <c r="D57" s="507" t="s">
        <v>2009</v>
      </c>
      <c r="E57" s="507"/>
      <c r="F57" s="947">
        <v>1</v>
      </c>
      <c r="G57" s="942">
        <f t="shared" si="3"/>
        <v>92</v>
      </c>
      <c r="H57" s="949"/>
      <c r="I57" s="948">
        <v>14.974</v>
      </c>
      <c r="J57" s="948">
        <v>7.4880000000000004</v>
      </c>
      <c r="K57" s="948">
        <v>4.9910000000000005</v>
      </c>
      <c r="L57" s="948">
        <v>18.148999999999997</v>
      </c>
      <c r="M57" s="948">
        <v>9.0730000000000004</v>
      </c>
      <c r="N57" s="948">
        <v>6.0490000000000004</v>
      </c>
      <c r="O57" s="948">
        <v>20.89</v>
      </c>
      <c r="P57" s="948">
        <v>10.443999999999999</v>
      </c>
      <c r="Q57" s="948">
        <v>6.9620000000000006</v>
      </c>
    </row>
    <row r="58" spans="3:17" ht="13.5" hidden="1" customHeight="1">
      <c r="C58" s="950"/>
      <c r="D58" s="951"/>
      <c r="E58" s="952" t="s">
        <v>2378</v>
      </c>
      <c r="F58" s="953"/>
      <c r="G58" s="942">
        <f t="shared" si="3"/>
        <v>93</v>
      </c>
      <c r="H58" s="954">
        <f>CO2計算!$F$21</f>
        <v>0</v>
      </c>
      <c r="I58" s="948">
        <f>(I55-I56)*$H58</f>
        <v>0</v>
      </c>
      <c r="J58" s="948">
        <f t="shared" ref="J58:Q58" si="25">(J55-J56)*$H58</f>
        <v>0</v>
      </c>
      <c r="K58" s="948">
        <f t="shared" si="25"/>
        <v>0</v>
      </c>
      <c r="L58" s="948">
        <f t="shared" si="25"/>
        <v>0</v>
      </c>
      <c r="M58" s="948">
        <f t="shared" si="25"/>
        <v>0</v>
      </c>
      <c r="N58" s="948">
        <f t="shared" si="25"/>
        <v>0</v>
      </c>
      <c r="O58" s="948">
        <f t="shared" si="25"/>
        <v>0</v>
      </c>
      <c r="P58" s="948">
        <f t="shared" si="25"/>
        <v>0</v>
      </c>
      <c r="Q58" s="948">
        <f t="shared" si="25"/>
        <v>0</v>
      </c>
    </row>
    <row r="59" spans="3:17" ht="13.5" hidden="1" customHeight="1">
      <c r="C59" s="950"/>
      <c r="D59" s="940"/>
      <c r="E59" s="952" t="s">
        <v>2379</v>
      </c>
      <c r="F59" s="953"/>
      <c r="G59" s="942">
        <f t="shared" si="3"/>
        <v>94</v>
      </c>
      <c r="H59" s="954">
        <f>CO2計算!$F$22</f>
        <v>0</v>
      </c>
      <c r="I59" s="948">
        <f t="shared" ref="I59:Q59" si="26">(I55-I57)*$H59</f>
        <v>0</v>
      </c>
      <c r="J59" s="948">
        <f t="shared" si="26"/>
        <v>0</v>
      </c>
      <c r="K59" s="948">
        <f t="shared" si="26"/>
        <v>0</v>
      </c>
      <c r="L59" s="948">
        <f t="shared" si="26"/>
        <v>0</v>
      </c>
      <c r="M59" s="948">
        <f t="shared" si="26"/>
        <v>0</v>
      </c>
      <c r="N59" s="948">
        <f t="shared" si="26"/>
        <v>0</v>
      </c>
      <c r="O59" s="948">
        <f t="shared" si="26"/>
        <v>0</v>
      </c>
      <c r="P59" s="948">
        <f t="shared" si="26"/>
        <v>0</v>
      </c>
      <c r="Q59" s="948">
        <f t="shared" si="26"/>
        <v>0</v>
      </c>
    </row>
    <row r="60" spans="3:17" ht="13.5" hidden="1" customHeight="1">
      <c r="C60" s="956"/>
      <c r="D60" s="957"/>
      <c r="E60" s="952" t="s">
        <v>386</v>
      </c>
      <c r="F60" s="953"/>
      <c r="G60" s="942">
        <f t="shared" si="3"/>
        <v>95</v>
      </c>
      <c r="H60" s="958"/>
      <c r="I60" s="948">
        <f t="shared" ref="I60:Q60" si="27">I55-I58-I59</f>
        <v>15.641</v>
      </c>
      <c r="J60" s="948">
        <f t="shared" si="27"/>
        <v>7.8210000000000006</v>
      </c>
      <c r="K60" s="948">
        <f t="shared" si="27"/>
        <v>5.2140000000000004</v>
      </c>
      <c r="L60" s="948">
        <f t="shared" si="27"/>
        <v>19.619999999999997</v>
      </c>
      <c r="M60" s="948">
        <f t="shared" si="27"/>
        <v>9.8079999999999998</v>
      </c>
      <c r="N60" s="948">
        <f t="shared" si="27"/>
        <v>6.5390000000000006</v>
      </c>
      <c r="O60" s="948">
        <f t="shared" si="27"/>
        <v>22.378</v>
      </c>
      <c r="P60" s="948">
        <f t="shared" si="27"/>
        <v>11.187999999999999</v>
      </c>
      <c r="Q60" s="948">
        <f t="shared" si="27"/>
        <v>7.4590000000000005</v>
      </c>
    </row>
    <row r="61" spans="3:17">
      <c r="C61" s="959"/>
      <c r="D61" s="959"/>
      <c r="E61" s="925"/>
      <c r="F61" s="925"/>
      <c r="G61" s="925"/>
      <c r="H61" s="925"/>
      <c r="I61" s="925"/>
      <c r="J61" s="925"/>
      <c r="K61" s="925"/>
      <c r="L61" s="925"/>
      <c r="M61" s="925"/>
      <c r="N61" s="925"/>
      <c r="O61" s="925"/>
      <c r="P61" s="925"/>
      <c r="Q61" s="925"/>
    </row>
    <row r="62" spans="3:17" ht="16.5">
      <c r="C62" s="923" t="s">
        <v>2970</v>
      </c>
      <c r="D62" s="924"/>
      <c r="E62" s="925"/>
      <c r="F62" s="925"/>
      <c r="G62" s="925"/>
      <c r="H62" s="925"/>
      <c r="I62" s="926" t="s">
        <v>275</v>
      </c>
      <c r="J62" s="927"/>
      <c r="K62" s="927"/>
      <c r="L62" s="928"/>
      <c r="M62" s="928"/>
      <c r="N62" s="928"/>
      <c r="O62" s="928"/>
      <c r="P62" s="928"/>
      <c r="Q62" s="929"/>
    </row>
    <row r="63" spans="3:17" ht="14.25">
      <c r="C63" s="930"/>
      <c r="D63" s="931" t="s">
        <v>1622</v>
      </c>
      <c r="E63" s="930"/>
      <c r="F63" s="930"/>
      <c r="G63" s="930"/>
      <c r="H63" s="930"/>
      <c r="I63" s="932" t="s">
        <v>637</v>
      </c>
      <c r="J63" s="928" t="s">
        <v>639</v>
      </c>
      <c r="K63" s="933"/>
      <c r="L63" s="932" t="s">
        <v>636</v>
      </c>
      <c r="M63" s="928"/>
      <c r="N63" s="933"/>
      <c r="O63" s="932" t="s">
        <v>638</v>
      </c>
      <c r="P63" s="928"/>
      <c r="Q63" s="933"/>
    </row>
    <row r="64" spans="3:17">
      <c r="C64" s="934" t="s">
        <v>345</v>
      </c>
      <c r="D64" s="935"/>
      <c r="E64" s="936"/>
      <c r="F64" s="937"/>
      <c r="G64" s="960"/>
      <c r="H64" s="960"/>
      <c r="I64" s="939" t="s">
        <v>420</v>
      </c>
      <c r="J64" s="939" t="s">
        <v>421</v>
      </c>
      <c r="K64" s="939" t="s">
        <v>422</v>
      </c>
      <c r="L64" s="939" t="s">
        <v>420</v>
      </c>
      <c r="M64" s="939" t="s">
        <v>421</v>
      </c>
      <c r="N64" s="939" t="s">
        <v>422</v>
      </c>
      <c r="O64" s="939" t="s">
        <v>420</v>
      </c>
      <c r="P64" s="939" t="s">
        <v>421</v>
      </c>
      <c r="Q64" s="939" t="s">
        <v>422</v>
      </c>
    </row>
    <row r="65" spans="3:17">
      <c r="C65" s="943" t="s">
        <v>377</v>
      </c>
      <c r="D65" s="944"/>
      <c r="E65" s="961"/>
      <c r="F65" s="962"/>
      <c r="G65" s="963">
        <v>1</v>
      </c>
      <c r="H65" s="963"/>
      <c r="I65" s="964">
        <v>15.990999999999998</v>
      </c>
      <c r="J65" s="964">
        <v>15.990999999999998</v>
      </c>
      <c r="K65" s="964">
        <v>15.990999999999998</v>
      </c>
      <c r="L65" s="964">
        <v>16.456</v>
      </c>
      <c r="M65" s="964">
        <v>16.456</v>
      </c>
      <c r="N65" s="964">
        <v>16.456</v>
      </c>
      <c r="O65" s="964">
        <v>16.21</v>
      </c>
      <c r="P65" s="964">
        <v>16.21</v>
      </c>
      <c r="Q65" s="964">
        <v>16.21</v>
      </c>
    </row>
    <row r="66" spans="3:17" ht="13.5" hidden="1" customHeight="1">
      <c r="C66" s="946"/>
      <c r="D66" s="507" t="s">
        <v>2008</v>
      </c>
      <c r="E66" s="507"/>
      <c r="F66" s="947">
        <v>1</v>
      </c>
      <c r="G66" s="963"/>
      <c r="H66" s="963"/>
      <c r="I66" s="964"/>
      <c r="J66" s="964"/>
      <c r="K66" s="964"/>
      <c r="L66" s="964"/>
      <c r="M66" s="964"/>
      <c r="N66" s="964"/>
      <c r="O66" s="964"/>
      <c r="P66" s="964"/>
      <c r="Q66" s="964"/>
    </row>
    <row r="67" spans="3:17" ht="13.5" hidden="1" customHeight="1">
      <c r="C67" s="946"/>
      <c r="D67" s="952" t="s">
        <v>2380</v>
      </c>
      <c r="E67" s="952"/>
      <c r="F67" s="965"/>
      <c r="G67" s="958"/>
      <c r="H67" s="966">
        <v>0</v>
      </c>
      <c r="I67" s="964">
        <f>I65-(I65-I66)*$H67</f>
        <v>15.990999999999998</v>
      </c>
      <c r="J67" s="964">
        <f t="shared" ref="J67:Q67" si="28">J65-(J65-J66)*$H67</f>
        <v>15.990999999999998</v>
      </c>
      <c r="K67" s="964">
        <f t="shared" si="28"/>
        <v>15.990999999999998</v>
      </c>
      <c r="L67" s="964">
        <f t="shared" si="28"/>
        <v>16.456</v>
      </c>
      <c r="M67" s="964">
        <f t="shared" si="28"/>
        <v>16.456</v>
      </c>
      <c r="N67" s="964">
        <f t="shared" si="28"/>
        <v>16.456</v>
      </c>
      <c r="O67" s="964">
        <f t="shared" si="28"/>
        <v>16.21</v>
      </c>
      <c r="P67" s="964">
        <f t="shared" si="28"/>
        <v>16.21</v>
      </c>
      <c r="Q67" s="964">
        <f t="shared" si="28"/>
        <v>16.21</v>
      </c>
    </row>
    <row r="68" spans="3:17">
      <c r="C68" s="943" t="s">
        <v>1487</v>
      </c>
      <c r="D68" s="961"/>
      <c r="E68" s="961"/>
      <c r="F68" s="962"/>
      <c r="G68" s="963">
        <v>2</v>
      </c>
      <c r="H68" s="963"/>
      <c r="I68" s="964">
        <v>11.802</v>
      </c>
      <c r="J68" s="964">
        <v>11.802</v>
      </c>
      <c r="K68" s="964">
        <v>11.802</v>
      </c>
      <c r="L68" s="964">
        <v>12.423999999999999</v>
      </c>
      <c r="M68" s="964">
        <v>12.423999999999999</v>
      </c>
      <c r="N68" s="964">
        <v>12.423999999999999</v>
      </c>
      <c r="O68" s="964">
        <v>12.306000000000001</v>
      </c>
      <c r="P68" s="964">
        <v>12.306000000000001</v>
      </c>
      <c r="Q68" s="964">
        <v>12.306000000000001</v>
      </c>
    </row>
    <row r="69" spans="3:17" hidden="1">
      <c r="C69" s="946"/>
      <c r="D69" s="507" t="s">
        <v>2008</v>
      </c>
      <c r="E69" s="507"/>
      <c r="F69" s="947">
        <v>1</v>
      </c>
      <c r="G69" s="963"/>
      <c r="H69" s="963"/>
      <c r="I69" s="964"/>
      <c r="J69" s="964"/>
      <c r="K69" s="964"/>
      <c r="L69" s="964"/>
      <c r="M69" s="964"/>
      <c r="N69" s="964"/>
      <c r="O69" s="964"/>
      <c r="P69" s="964"/>
      <c r="Q69" s="964"/>
    </row>
    <row r="70" spans="3:17" hidden="1">
      <c r="C70" s="946"/>
      <c r="D70" s="952" t="s">
        <v>2380</v>
      </c>
      <c r="E70" s="952"/>
      <c r="F70" s="965"/>
      <c r="G70" s="958"/>
      <c r="H70" s="966">
        <v>0</v>
      </c>
      <c r="I70" s="964">
        <f t="shared" ref="I70:Q70" si="29">I68-(I68-I69)*$H70</f>
        <v>11.802</v>
      </c>
      <c r="J70" s="964">
        <f t="shared" si="29"/>
        <v>11.802</v>
      </c>
      <c r="K70" s="964">
        <f t="shared" si="29"/>
        <v>11.802</v>
      </c>
      <c r="L70" s="964">
        <f t="shared" si="29"/>
        <v>12.423999999999999</v>
      </c>
      <c r="M70" s="964">
        <f t="shared" si="29"/>
        <v>12.423999999999999</v>
      </c>
      <c r="N70" s="964">
        <f t="shared" si="29"/>
        <v>12.423999999999999</v>
      </c>
      <c r="O70" s="964">
        <f t="shared" si="29"/>
        <v>12.306000000000001</v>
      </c>
      <c r="P70" s="964">
        <f t="shared" si="29"/>
        <v>12.306000000000001</v>
      </c>
      <c r="Q70" s="964">
        <f t="shared" si="29"/>
        <v>12.306000000000001</v>
      </c>
    </row>
    <row r="71" spans="3:17">
      <c r="C71" s="943" t="s">
        <v>1640</v>
      </c>
      <c r="D71" s="961"/>
      <c r="E71" s="961"/>
      <c r="F71" s="962"/>
      <c r="G71" s="963">
        <v>3</v>
      </c>
      <c r="H71" s="963"/>
      <c r="I71" s="964">
        <v>6.88</v>
      </c>
      <c r="J71" s="964">
        <v>6.88</v>
      </c>
      <c r="K71" s="964">
        <v>6.88</v>
      </c>
      <c r="L71" s="964">
        <v>7.7379999999999995</v>
      </c>
      <c r="M71" s="964">
        <v>7.7379999999999995</v>
      </c>
      <c r="N71" s="964">
        <v>7.7379999999999995</v>
      </c>
      <c r="O71" s="964">
        <v>6.91</v>
      </c>
      <c r="P71" s="964">
        <v>6.91</v>
      </c>
      <c r="Q71" s="964">
        <v>6.91</v>
      </c>
    </row>
    <row r="72" spans="3:17" hidden="1">
      <c r="C72" s="946"/>
      <c r="D72" s="507" t="s">
        <v>2008</v>
      </c>
      <c r="E72" s="507"/>
      <c r="F72" s="947">
        <v>1</v>
      </c>
      <c r="G72" s="963"/>
      <c r="H72" s="963"/>
      <c r="I72" s="964"/>
      <c r="J72" s="964"/>
      <c r="K72" s="964"/>
      <c r="L72" s="964"/>
      <c r="M72" s="964"/>
      <c r="N72" s="964"/>
      <c r="O72" s="964"/>
      <c r="P72" s="964"/>
      <c r="Q72" s="964"/>
    </row>
    <row r="73" spans="3:17" hidden="1">
      <c r="C73" s="946"/>
      <c r="D73" s="952" t="s">
        <v>2380</v>
      </c>
      <c r="E73" s="952"/>
      <c r="F73" s="965"/>
      <c r="G73" s="958"/>
      <c r="H73" s="966">
        <v>0</v>
      </c>
      <c r="I73" s="964">
        <f>I71-(I71-I72)*$H73</f>
        <v>6.88</v>
      </c>
      <c r="J73" s="964">
        <f>J71-(J71-J72)*$H73</f>
        <v>6.88</v>
      </c>
      <c r="K73" s="964">
        <f>K71-(K71-K72)*$H73</f>
        <v>6.88</v>
      </c>
      <c r="L73" s="964">
        <v>13.193999999999999</v>
      </c>
      <c r="M73" s="964">
        <v>13.193999999999999</v>
      </c>
      <c r="N73" s="964">
        <v>13.193999999999999</v>
      </c>
      <c r="O73" s="964">
        <f>O71-(O71-O72)*$H73</f>
        <v>6.91</v>
      </c>
      <c r="P73" s="964">
        <f>P71-(P71-P72)*$H73</f>
        <v>6.91</v>
      </c>
      <c r="Q73" s="964">
        <f>Q71-(Q71-Q72)*$H73</f>
        <v>6.91</v>
      </c>
    </row>
    <row r="74" spans="3:17">
      <c r="C74" s="943" t="s">
        <v>1745</v>
      </c>
      <c r="D74" s="961"/>
      <c r="E74" s="961"/>
      <c r="F74" s="962"/>
      <c r="G74" s="963">
        <v>4</v>
      </c>
      <c r="H74" s="963"/>
      <c r="I74" s="964">
        <v>6.88</v>
      </c>
      <c r="J74" s="964">
        <v>6.88</v>
      </c>
      <c r="K74" s="964">
        <v>6.88</v>
      </c>
      <c r="L74" s="964">
        <v>7.7379999999999995</v>
      </c>
      <c r="M74" s="964">
        <v>7.7379999999999995</v>
      </c>
      <c r="N74" s="964">
        <v>7.7379999999999995</v>
      </c>
      <c r="O74" s="964">
        <v>6.91</v>
      </c>
      <c r="P74" s="964">
        <v>6.91</v>
      </c>
      <c r="Q74" s="964">
        <v>6.91</v>
      </c>
    </row>
    <row r="75" spans="3:17" hidden="1">
      <c r="C75" s="946"/>
      <c r="D75" s="507" t="s">
        <v>2008</v>
      </c>
      <c r="E75" s="507"/>
      <c r="F75" s="947">
        <v>1</v>
      </c>
      <c r="G75" s="963"/>
      <c r="H75" s="963"/>
      <c r="I75" s="964"/>
      <c r="J75" s="964"/>
      <c r="K75" s="964"/>
      <c r="L75" s="964"/>
      <c r="M75" s="964"/>
      <c r="N75" s="964"/>
      <c r="O75" s="964"/>
      <c r="P75" s="964"/>
      <c r="Q75" s="964"/>
    </row>
    <row r="76" spans="3:17" hidden="1">
      <c r="C76" s="946"/>
      <c r="D76" s="952" t="s">
        <v>2380</v>
      </c>
      <c r="E76" s="952"/>
      <c r="F76" s="965"/>
      <c r="G76" s="958"/>
      <c r="H76" s="966">
        <v>0</v>
      </c>
      <c r="I76" s="964">
        <f t="shared" ref="I76:Q76" si="30">I74-(I74-I75)*$H76</f>
        <v>6.88</v>
      </c>
      <c r="J76" s="964">
        <f t="shared" si="30"/>
        <v>6.88</v>
      </c>
      <c r="K76" s="964">
        <f t="shared" si="30"/>
        <v>6.88</v>
      </c>
      <c r="L76" s="964">
        <f t="shared" si="30"/>
        <v>7.7379999999999995</v>
      </c>
      <c r="M76" s="964">
        <f t="shared" si="30"/>
        <v>7.7379999999999995</v>
      </c>
      <c r="N76" s="964">
        <f t="shared" si="30"/>
        <v>7.7379999999999995</v>
      </c>
      <c r="O76" s="964">
        <f t="shared" si="30"/>
        <v>6.91</v>
      </c>
      <c r="P76" s="964">
        <f t="shared" si="30"/>
        <v>6.91</v>
      </c>
      <c r="Q76" s="964">
        <f t="shared" si="30"/>
        <v>6.91</v>
      </c>
    </row>
    <row r="77" spans="3:17">
      <c r="C77" s="943" t="s">
        <v>1642</v>
      </c>
      <c r="D77" s="961"/>
      <c r="E77" s="961"/>
      <c r="F77" s="962"/>
      <c r="G77" s="963">
        <v>5</v>
      </c>
      <c r="H77" s="963"/>
      <c r="I77" s="964">
        <v>12.809999999999999</v>
      </c>
      <c r="J77" s="964">
        <v>12.809999999999999</v>
      </c>
      <c r="K77" s="964">
        <v>12.809999999999999</v>
      </c>
      <c r="L77" s="964">
        <v>13.426</v>
      </c>
      <c r="M77" s="964">
        <v>13.426</v>
      </c>
      <c r="N77" s="964">
        <v>13.426</v>
      </c>
      <c r="O77" s="964">
        <v>13.251000000000001</v>
      </c>
      <c r="P77" s="964">
        <v>13.251000000000001</v>
      </c>
      <c r="Q77" s="964">
        <v>13.251000000000001</v>
      </c>
    </row>
    <row r="78" spans="3:17" hidden="1">
      <c r="C78" s="946"/>
      <c r="D78" s="507" t="s">
        <v>2008</v>
      </c>
      <c r="E78" s="507"/>
      <c r="F78" s="947">
        <v>1</v>
      </c>
      <c r="G78" s="963"/>
      <c r="H78" s="963"/>
      <c r="I78" s="964"/>
      <c r="J78" s="964"/>
      <c r="K78" s="964"/>
      <c r="L78" s="964"/>
      <c r="M78" s="964"/>
      <c r="N78" s="964"/>
      <c r="O78" s="964"/>
      <c r="P78" s="964"/>
      <c r="Q78" s="964"/>
    </row>
    <row r="79" spans="3:17" hidden="1">
      <c r="C79" s="946"/>
      <c r="D79" s="952" t="s">
        <v>2380</v>
      </c>
      <c r="E79" s="952"/>
      <c r="F79" s="965"/>
      <c r="G79" s="958"/>
      <c r="H79" s="966">
        <v>0</v>
      </c>
      <c r="I79" s="964">
        <f t="shared" ref="I79:Q79" si="31">I77-(I77-I78)*$H79</f>
        <v>12.809999999999999</v>
      </c>
      <c r="J79" s="964">
        <f t="shared" si="31"/>
        <v>12.809999999999999</v>
      </c>
      <c r="K79" s="964">
        <f t="shared" si="31"/>
        <v>12.809999999999999</v>
      </c>
      <c r="L79" s="964">
        <f t="shared" si="31"/>
        <v>13.426</v>
      </c>
      <c r="M79" s="964">
        <f t="shared" si="31"/>
        <v>13.426</v>
      </c>
      <c r="N79" s="964">
        <f t="shared" si="31"/>
        <v>13.426</v>
      </c>
      <c r="O79" s="964">
        <f t="shared" si="31"/>
        <v>13.251000000000001</v>
      </c>
      <c r="P79" s="964">
        <f t="shared" si="31"/>
        <v>13.251000000000001</v>
      </c>
      <c r="Q79" s="964">
        <f t="shared" si="31"/>
        <v>13.251000000000001</v>
      </c>
    </row>
    <row r="80" spans="3:17">
      <c r="C80" s="943" t="s">
        <v>385</v>
      </c>
      <c r="D80" s="936"/>
      <c r="E80" s="936"/>
      <c r="F80" s="962"/>
      <c r="G80" s="963">
        <v>6</v>
      </c>
      <c r="H80" s="963"/>
      <c r="I80" s="964">
        <v>8.6499999999999986</v>
      </c>
      <c r="J80" s="964">
        <v>8.6499999999999986</v>
      </c>
      <c r="K80" s="964">
        <v>8.6499999999999986</v>
      </c>
      <c r="L80" s="964">
        <v>9.4220000000000006</v>
      </c>
      <c r="M80" s="964">
        <v>9.4220000000000006</v>
      </c>
      <c r="N80" s="964">
        <v>9.4220000000000006</v>
      </c>
      <c r="O80" s="964">
        <v>9.0609999999999999</v>
      </c>
      <c r="P80" s="964">
        <v>9.0609999999999999</v>
      </c>
      <c r="Q80" s="964">
        <v>9.0609999999999999</v>
      </c>
    </row>
    <row r="81" spans="3:21" hidden="1">
      <c r="C81" s="946"/>
      <c r="D81" s="507" t="s">
        <v>2008</v>
      </c>
      <c r="E81" s="507"/>
      <c r="F81" s="947">
        <v>1</v>
      </c>
      <c r="G81" s="963"/>
      <c r="H81" s="963"/>
      <c r="I81" s="964"/>
      <c r="J81" s="964"/>
      <c r="K81" s="964"/>
      <c r="L81" s="964"/>
      <c r="M81" s="964"/>
      <c r="N81" s="964"/>
      <c r="O81" s="964"/>
      <c r="P81" s="964"/>
      <c r="Q81" s="964"/>
    </row>
    <row r="82" spans="3:21" hidden="1">
      <c r="C82" s="967"/>
      <c r="D82" s="952" t="s">
        <v>2380</v>
      </c>
      <c r="E82" s="952"/>
      <c r="F82" s="965"/>
      <c r="G82" s="958"/>
      <c r="H82" s="966">
        <v>0</v>
      </c>
      <c r="I82" s="964">
        <f t="shared" ref="I82:Q82" si="32">I80-(I80-I81)*$H82</f>
        <v>8.6499999999999986</v>
      </c>
      <c r="J82" s="964">
        <f t="shared" si="32"/>
        <v>8.6499999999999986</v>
      </c>
      <c r="K82" s="964">
        <f t="shared" si="32"/>
        <v>8.6499999999999986</v>
      </c>
      <c r="L82" s="964">
        <f t="shared" si="32"/>
        <v>9.4220000000000006</v>
      </c>
      <c r="M82" s="964">
        <f t="shared" si="32"/>
        <v>9.4220000000000006</v>
      </c>
      <c r="N82" s="964">
        <f t="shared" si="32"/>
        <v>9.4220000000000006</v>
      </c>
      <c r="O82" s="964">
        <f t="shared" si="32"/>
        <v>9.0609999999999999</v>
      </c>
      <c r="P82" s="964">
        <f t="shared" si="32"/>
        <v>9.0609999999999999</v>
      </c>
      <c r="Q82" s="964">
        <f t="shared" si="32"/>
        <v>9.0609999999999999</v>
      </c>
    </row>
    <row r="83" spans="3:21">
      <c r="C83" s="943" t="s">
        <v>1644</v>
      </c>
      <c r="D83" s="961"/>
      <c r="E83" s="961"/>
      <c r="F83" s="962"/>
      <c r="G83" s="963">
        <v>7</v>
      </c>
      <c r="H83" s="963"/>
      <c r="I83" s="964">
        <v>15.425999999999998</v>
      </c>
      <c r="J83" s="964">
        <v>15.425999999999998</v>
      </c>
      <c r="K83" s="964">
        <v>15.425999999999998</v>
      </c>
      <c r="L83" s="964">
        <v>16.053999999999998</v>
      </c>
      <c r="M83" s="964">
        <v>16.053999999999998</v>
      </c>
      <c r="N83" s="964">
        <v>16.053999999999998</v>
      </c>
      <c r="O83" s="964">
        <v>15.893999999999998</v>
      </c>
      <c r="P83" s="964">
        <v>15.893999999999998</v>
      </c>
      <c r="Q83" s="964">
        <v>15.893999999999998</v>
      </c>
    </row>
    <row r="84" spans="3:21" hidden="1">
      <c r="C84" s="946"/>
      <c r="D84" s="507" t="s">
        <v>2008</v>
      </c>
      <c r="E84" s="507"/>
      <c r="F84" s="947">
        <v>1</v>
      </c>
      <c r="G84" s="963"/>
      <c r="H84" s="963"/>
      <c r="I84" s="964"/>
      <c r="J84" s="964"/>
      <c r="K84" s="964"/>
      <c r="L84" s="964"/>
      <c r="M84" s="964"/>
      <c r="N84" s="964"/>
      <c r="O84" s="964"/>
      <c r="P84" s="964"/>
      <c r="Q84" s="964"/>
    </row>
    <row r="85" spans="3:21" hidden="1">
      <c r="C85" s="946"/>
      <c r="D85" s="952" t="s">
        <v>2380</v>
      </c>
      <c r="E85" s="952"/>
      <c r="F85" s="965"/>
      <c r="G85" s="958"/>
      <c r="H85" s="966">
        <v>0</v>
      </c>
      <c r="I85" s="964">
        <f t="shared" ref="I85:Q85" si="33">I83-(I83-I84)*$H85</f>
        <v>15.425999999999998</v>
      </c>
      <c r="J85" s="964">
        <f t="shared" si="33"/>
        <v>15.425999999999998</v>
      </c>
      <c r="K85" s="964">
        <f t="shared" si="33"/>
        <v>15.425999999999998</v>
      </c>
      <c r="L85" s="964">
        <f t="shared" si="33"/>
        <v>16.053999999999998</v>
      </c>
      <c r="M85" s="964">
        <f t="shared" si="33"/>
        <v>16.053999999999998</v>
      </c>
      <c r="N85" s="964">
        <f t="shared" si="33"/>
        <v>16.053999999999998</v>
      </c>
      <c r="O85" s="964">
        <f t="shared" si="33"/>
        <v>15.893999999999998</v>
      </c>
      <c r="P85" s="964">
        <f t="shared" si="33"/>
        <v>15.893999999999998</v>
      </c>
      <c r="Q85" s="964">
        <f t="shared" si="33"/>
        <v>15.893999999999998</v>
      </c>
    </row>
    <row r="86" spans="3:21">
      <c r="C86" s="943" t="s">
        <v>383</v>
      </c>
      <c r="D86" s="961"/>
      <c r="E86" s="961"/>
      <c r="F86" s="962"/>
      <c r="G86" s="963">
        <v>8</v>
      </c>
      <c r="H86" s="963"/>
      <c r="I86" s="964">
        <v>13.297999999999998</v>
      </c>
      <c r="J86" s="964">
        <v>13.297999999999998</v>
      </c>
      <c r="K86" s="964">
        <v>13.297999999999998</v>
      </c>
      <c r="L86" s="964">
        <v>13.942</v>
      </c>
      <c r="M86" s="964">
        <v>13.942</v>
      </c>
      <c r="N86" s="964">
        <v>13.942</v>
      </c>
      <c r="O86" s="964">
        <v>13.670999999999999</v>
      </c>
      <c r="P86" s="964">
        <v>13.670999999999999</v>
      </c>
      <c r="Q86" s="964">
        <v>13.670999999999999</v>
      </c>
    </row>
    <row r="87" spans="3:21" hidden="1">
      <c r="C87" s="946"/>
      <c r="D87" s="507" t="s">
        <v>2008</v>
      </c>
      <c r="E87" s="507"/>
      <c r="F87" s="947">
        <v>1</v>
      </c>
      <c r="G87" s="963"/>
      <c r="H87" s="963"/>
      <c r="I87" s="968"/>
      <c r="J87" s="968"/>
      <c r="K87" s="968"/>
      <c r="L87" s="968"/>
      <c r="M87" s="968"/>
      <c r="N87" s="968"/>
      <c r="O87" s="968"/>
      <c r="P87" s="968"/>
      <c r="Q87" s="968"/>
    </row>
    <row r="88" spans="3:21" hidden="1">
      <c r="C88" s="946"/>
      <c r="D88" s="952" t="s">
        <v>2380</v>
      </c>
      <c r="E88" s="952"/>
      <c r="F88" s="965"/>
      <c r="G88" s="958"/>
      <c r="H88" s="966">
        <v>0</v>
      </c>
      <c r="I88" s="964">
        <f t="shared" ref="I88:Q88" si="34">I86-(I86-I87)*$H88</f>
        <v>13.297999999999998</v>
      </c>
      <c r="J88" s="964">
        <f t="shared" si="34"/>
        <v>13.297999999999998</v>
      </c>
      <c r="K88" s="964">
        <f t="shared" si="34"/>
        <v>13.297999999999998</v>
      </c>
      <c r="L88" s="964">
        <f t="shared" si="34"/>
        <v>13.942</v>
      </c>
      <c r="M88" s="964">
        <f t="shared" si="34"/>
        <v>13.942</v>
      </c>
      <c r="N88" s="964">
        <f t="shared" si="34"/>
        <v>13.942</v>
      </c>
      <c r="O88" s="964">
        <f t="shared" si="34"/>
        <v>13.670999999999999</v>
      </c>
      <c r="P88" s="964">
        <f t="shared" si="34"/>
        <v>13.670999999999999</v>
      </c>
      <c r="Q88" s="964">
        <f t="shared" si="34"/>
        <v>13.670999999999999</v>
      </c>
    </row>
    <row r="89" spans="3:21">
      <c r="C89" s="943" t="s">
        <v>1746</v>
      </c>
      <c r="D89" s="936"/>
      <c r="E89" s="936"/>
      <c r="F89" s="962"/>
      <c r="G89" s="963">
        <v>9</v>
      </c>
      <c r="H89" s="963"/>
      <c r="I89" s="968">
        <v>8.0190000000000001</v>
      </c>
      <c r="J89" s="968">
        <v>9.7210000000000001</v>
      </c>
      <c r="K89" s="968">
        <v>10.979000000000001</v>
      </c>
      <c r="L89" s="968">
        <v>8.3709999999999987</v>
      </c>
      <c r="M89" s="968">
        <v>9.7349999999999994</v>
      </c>
      <c r="N89" s="968">
        <v>10.863</v>
      </c>
      <c r="O89" s="968">
        <v>8.3640000000000008</v>
      </c>
      <c r="P89" s="968">
        <v>9.68</v>
      </c>
      <c r="Q89" s="968">
        <v>10.783000000000001</v>
      </c>
    </row>
    <row r="90" spans="3:21" ht="12.75" hidden="1" customHeight="1">
      <c r="C90" s="946"/>
      <c r="D90" s="507" t="s">
        <v>2008</v>
      </c>
      <c r="E90" s="507"/>
      <c r="F90" s="947">
        <v>1</v>
      </c>
      <c r="G90" s="969"/>
      <c r="H90" s="969"/>
      <c r="I90" s="964"/>
      <c r="J90" s="964"/>
      <c r="K90" s="964"/>
      <c r="L90" s="964"/>
      <c r="M90" s="964"/>
      <c r="N90" s="964"/>
      <c r="O90" s="964"/>
      <c r="P90" s="964"/>
      <c r="Q90" s="964"/>
    </row>
    <row r="91" spans="3:21" hidden="1">
      <c r="C91" s="967"/>
      <c r="D91" s="952" t="s">
        <v>2380</v>
      </c>
      <c r="E91" s="952"/>
      <c r="F91" s="970"/>
      <c r="G91" s="958"/>
      <c r="H91" s="966">
        <v>0</v>
      </c>
      <c r="I91" s="971">
        <f t="shared" ref="I91:Q91" si="35">I89-(I89-I90)*$H91</f>
        <v>8.0190000000000001</v>
      </c>
      <c r="J91" s="971">
        <f t="shared" si="35"/>
        <v>9.7210000000000001</v>
      </c>
      <c r="K91" s="971">
        <f t="shared" si="35"/>
        <v>10.979000000000001</v>
      </c>
      <c r="L91" s="971">
        <f t="shared" si="35"/>
        <v>8.3709999999999987</v>
      </c>
      <c r="M91" s="971">
        <f t="shared" si="35"/>
        <v>9.7349999999999994</v>
      </c>
      <c r="N91" s="971">
        <f t="shared" si="35"/>
        <v>10.863</v>
      </c>
      <c r="O91" s="971">
        <f t="shared" si="35"/>
        <v>8.3640000000000008</v>
      </c>
      <c r="P91" s="971">
        <f t="shared" si="35"/>
        <v>9.68</v>
      </c>
      <c r="Q91" s="971">
        <f t="shared" si="35"/>
        <v>10.783000000000001</v>
      </c>
    </row>
    <row r="92" spans="3:21">
      <c r="C92" s="959"/>
      <c r="D92" s="959"/>
      <c r="E92" s="930"/>
      <c r="F92" s="972"/>
      <c r="G92" s="972"/>
      <c r="H92" s="972"/>
      <c r="I92" s="972"/>
      <c r="J92" s="972"/>
      <c r="K92" s="972"/>
      <c r="L92" s="972"/>
      <c r="M92" s="959"/>
      <c r="N92" s="959"/>
      <c r="O92" s="959"/>
      <c r="P92" s="959"/>
      <c r="Q92" s="959"/>
    </row>
    <row r="93" spans="3:21" ht="16.5">
      <c r="C93" s="923" t="s">
        <v>2973</v>
      </c>
      <c r="D93" s="924"/>
      <c r="E93" s="925"/>
      <c r="F93" s="925"/>
      <c r="G93" s="925"/>
      <c r="H93" s="925"/>
      <c r="I93" s="925"/>
      <c r="J93" s="925"/>
      <c r="K93" s="925"/>
      <c r="L93" s="925"/>
      <c r="M93" s="925"/>
      <c r="N93" s="925"/>
      <c r="O93" s="925"/>
      <c r="P93" s="925"/>
      <c r="Q93" s="925"/>
    </row>
    <row r="94" spans="3:21">
      <c r="C94" s="931" t="s">
        <v>1460</v>
      </c>
      <c r="D94" s="924"/>
      <c r="E94" s="925"/>
      <c r="F94" s="925"/>
      <c r="G94" s="925"/>
      <c r="H94" s="925"/>
      <c r="I94" s="925"/>
      <c r="J94" s="925"/>
      <c r="K94" s="925"/>
      <c r="L94" s="925"/>
      <c r="M94" s="925"/>
      <c r="N94" s="925"/>
      <c r="O94" s="925"/>
      <c r="P94" s="925"/>
      <c r="Q94" s="925"/>
    </row>
    <row r="95" spans="3:21">
      <c r="D95" s="925" t="s">
        <v>2381</v>
      </c>
      <c r="F95" s="1365" t="s">
        <v>892</v>
      </c>
      <c r="G95" s="925"/>
      <c r="H95" s="925"/>
      <c r="I95" s="1354" t="e">
        <f>係数!D5*1000</f>
        <v>#VALUE!</v>
      </c>
      <c r="J95" s="973" t="str">
        <f>係数!C5</f>
        <v>根拠を記入してください</v>
      </c>
      <c r="K95" s="959"/>
      <c r="L95" s="959"/>
      <c r="M95" s="959" t="s">
        <v>1490</v>
      </c>
      <c r="N95" s="959"/>
      <c r="O95" s="959" t="e">
        <f>係数!J89*1000</f>
        <v>#VALUE!</v>
      </c>
      <c r="P95" s="1874" t="s">
        <v>2969</v>
      </c>
      <c r="Q95" s="974"/>
    </row>
    <row r="96" spans="3:21">
      <c r="C96" s="923"/>
      <c r="D96" s="925"/>
      <c r="F96" s="1365" t="s">
        <v>131</v>
      </c>
      <c r="G96" s="925"/>
      <c r="H96" s="925"/>
      <c r="I96" s="1354" t="e">
        <f>I95/J96</f>
        <v>#VALUE!</v>
      </c>
      <c r="J96" s="977">
        <v>9.76</v>
      </c>
      <c r="K96" s="975" t="s">
        <v>1927</v>
      </c>
      <c r="L96" s="925"/>
      <c r="M96" s="925"/>
      <c r="N96" s="925"/>
      <c r="O96" s="925"/>
      <c r="P96" s="925"/>
      <c r="Q96" s="976"/>
      <c r="U96" t="e">
        <f>O95/J96</f>
        <v>#VALUE!</v>
      </c>
    </row>
    <row r="97" spans="2:19">
      <c r="C97" s="923"/>
      <c r="D97" s="925" t="s">
        <v>1492</v>
      </c>
      <c r="F97" s="1365" t="s">
        <v>131</v>
      </c>
      <c r="G97" s="925"/>
      <c r="H97" s="925"/>
      <c r="I97" s="1354">
        <v>4.9799999999999997E-2</v>
      </c>
      <c r="J97" s="977"/>
      <c r="K97" s="925"/>
      <c r="L97" s="925"/>
      <c r="M97" s="925"/>
      <c r="N97" s="925"/>
      <c r="O97" s="925"/>
      <c r="P97" s="925"/>
      <c r="Q97" s="976"/>
    </row>
    <row r="98" spans="2:19" hidden="1">
      <c r="C98" s="923"/>
      <c r="D98" s="925" t="s">
        <v>1493</v>
      </c>
      <c r="F98" s="1365" t="s">
        <v>131</v>
      </c>
      <c r="G98" s="925"/>
      <c r="H98" s="925"/>
      <c r="I98" s="1354">
        <v>5.7000000000000002E-2</v>
      </c>
      <c r="J98" s="977"/>
      <c r="K98" s="925"/>
      <c r="L98" s="925"/>
      <c r="M98" s="925"/>
      <c r="N98" s="925"/>
      <c r="O98" s="925"/>
      <c r="P98" s="925"/>
      <c r="Q98" s="976"/>
    </row>
    <row r="99" spans="2:19">
      <c r="C99" s="923"/>
      <c r="D99" s="925" t="s">
        <v>1494</v>
      </c>
      <c r="F99" s="1365" t="s">
        <v>131</v>
      </c>
      <c r="G99" s="925"/>
      <c r="H99" s="925"/>
      <c r="I99" s="1354">
        <v>6.7799999999999999E-2</v>
      </c>
      <c r="J99" s="977"/>
      <c r="K99" s="925"/>
      <c r="L99" s="925"/>
      <c r="M99" s="925"/>
      <c r="N99" s="925"/>
      <c r="O99" s="925"/>
      <c r="P99" s="925"/>
      <c r="Q99" s="976"/>
    </row>
    <row r="100" spans="2:19">
      <c r="C100" s="923"/>
      <c r="D100" s="925" t="s">
        <v>1495</v>
      </c>
      <c r="F100" s="1365" t="s">
        <v>131</v>
      </c>
      <c r="G100" s="925"/>
      <c r="H100" s="925"/>
      <c r="I100" s="1354">
        <v>6.93E-2</v>
      </c>
      <c r="J100" s="977"/>
      <c r="K100" s="925"/>
      <c r="L100" s="925"/>
      <c r="M100" s="925"/>
      <c r="N100" s="925"/>
      <c r="O100" s="925"/>
      <c r="P100" s="925"/>
      <c r="Q100" s="976"/>
    </row>
    <row r="101" spans="2:19">
      <c r="C101" s="923"/>
      <c r="D101" s="925" t="s">
        <v>1496</v>
      </c>
      <c r="F101" s="1365" t="s">
        <v>131</v>
      </c>
      <c r="G101" s="925"/>
      <c r="H101" s="925"/>
      <c r="I101" s="1354">
        <f>(I99+I100)/2</f>
        <v>6.855E-2</v>
      </c>
      <c r="J101" s="1355" t="s">
        <v>1497</v>
      </c>
      <c r="K101" s="925"/>
      <c r="L101" s="925"/>
      <c r="M101" s="925"/>
      <c r="N101" s="925"/>
      <c r="O101" s="925"/>
      <c r="P101" s="925"/>
      <c r="Q101" s="976"/>
    </row>
    <row r="102" spans="2:19">
      <c r="C102" s="923"/>
      <c r="D102" s="925" t="s">
        <v>1346</v>
      </c>
      <c r="F102" s="1365" t="s">
        <v>131</v>
      </c>
      <c r="G102" s="925"/>
      <c r="H102" s="925"/>
      <c r="I102" s="1354">
        <v>5.8999999999999997E-2</v>
      </c>
      <c r="J102" s="978"/>
      <c r="K102" s="979"/>
      <c r="L102" s="979"/>
      <c r="M102" s="979"/>
      <c r="N102" s="979"/>
      <c r="O102" s="979"/>
      <c r="P102" s="979"/>
      <c r="Q102" s="980"/>
    </row>
    <row r="103" spans="2:19">
      <c r="B103" s="474"/>
      <c r="C103" s="925" t="s">
        <v>2683</v>
      </c>
      <c r="D103" s="474"/>
      <c r="E103" s="925"/>
      <c r="F103" s="925"/>
      <c r="G103" s="925"/>
      <c r="H103" s="925"/>
      <c r="I103" s="981"/>
      <c r="J103" s="925"/>
      <c r="K103" s="925"/>
      <c r="L103" s="925"/>
      <c r="M103" s="925"/>
      <c r="N103" s="925"/>
      <c r="O103" s="925"/>
      <c r="P103" s="925"/>
      <c r="Q103" s="925"/>
      <c r="R103" s="474"/>
      <c r="S103" s="474"/>
    </row>
    <row r="104" spans="2:19">
      <c r="B104" s="474"/>
      <c r="C104" s="924"/>
      <c r="D104" s="925" t="s">
        <v>300</v>
      </c>
      <c r="E104" s="474"/>
      <c r="F104" s="930" t="s">
        <v>2976</v>
      </c>
      <c r="G104" s="925"/>
      <c r="H104" s="925"/>
      <c r="I104" s="925" t="s">
        <v>1127</v>
      </c>
      <c r="J104" s="925"/>
      <c r="K104" s="931" t="s">
        <v>1128</v>
      </c>
      <c r="L104" s="925"/>
      <c r="M104" s="925" t="s">
        <v>300</v>
      </c>
      <c r="N104" s="925"/>
      <c r="O104" s="925" t="s">
        <v>1127</v>
      </c>
      <c r="P104" s="925"/>
      <c r="Q104" s="931" t="s">
        <v>1128</v>
      </c>
      <c r="R104" s="474"/>
      <c r="S104" s="474"/>
    </row>
    <row r="105" spans="2:19">
      <c r="B105" s="474"/>
      <c r="C105" s="924"/>
      <c r="D105" s="1578" t="s">
        <v>2606</v>
      </c>
      <c r="E105" s="1578"/>
      <c r="F105" s="1578"/>
      <c r="G105" s="925"/>
      <c r="H105" s="925"/>
      <c r="I105" s="1875">
        <v>6.8300000000000001E-4</v>
      </c>
      <c r="J105" s="925"/>
      <c r="K105" s="1875">
        <v>6.8800000000000003E-4</v>
      </c>
      <c r="L105" s="925"/>
      <c r="M105" s="925" t="str">
        <f>D144</f>
        <v>(株)トヨタタービンアンドシステム</v>
      </c>
      <c r="N105" s="925"/>
      <c r="O105" s="1875">
        <f>I144</f>
        <v>4.9200000000000003E-4</v>
      </c>
      <c r="P105" s="925"/>
      <c r="Q105" s="1875">
        <f>K144</f>
        <v>4.7699999999999999E-4</v>
      </c>
      <c r="R105" s="474"/>
      <c r="S105" s="474"/>
    </row>
    <row r="106" spans="2:19">
      <c r="B106" s="474"/>
      <c r="C106" s="924"/>
      <c r="D106" s="1578" t="s">
        <v>2607</v>
      </c>
      <c r="E106" s="1578"/>
      <c r="F106" s="1578"/>
      <c r="G106" s="925"/>
      <c r="H106" s="925"/>
      <c r="I106" s="1875">
        <v>5.71E-4</v>
      </c>
      <c r="J106" s="925"/>
      <c r="K106" s="1875">
        <v>5.7300000000000005E-4</v>
      </c>
      <c r="L106" s="925"/>
      <c r="M106" s="925" t="str">
        <f t="shared" ref="M106:M143" si="36">D145</f>
        <v>(株)とんでん</v>
      </c>
      <c r="N106" s="925"/>
      <c r="O106" s="1875">
        <f t="shared" ref="O106:O143" si="37">I145</f>
        <v>4.95E-4</v>
      </c>
      <c r="P106" s="925"/>
      <c r="Q106" s="1875">
        <f t="shared" ref="Q106:Q143" si="38">K145</f>
        <v>4.7899999999999999E-4</v>
      </c>
      <c r="R106" s="474"/>
      <c r="S106" s="474"/>
    </row>
    <row r="107" spans="2:19">
      <c r="B107" s="474"/>
      <c r="C107" s="924"/>
      <c r="D107" s="1578" t="s">
        <v>2608</v>
      </c>
      <c r="E107" s="1578"/>
      <c r="F107" s="1578"/>
      <c r="G107" s="925"/>
      <c r="H107" s="925"/>
      <c r="I107" s="1875">
        <v>5.0500000000000002E-4</v>
      </c>
      <c r="J107" s="925"/>
      <c r="K107" s="1875">
        <v>4.9600000000000002E-4</v>
      </c>
      <c r="L107" s="925"/>
      <c r="M107" s="925" t="str">
        <f t="shared" si="36"/>
        <v>(株)ナンワエナジー</v>
      </c>
      <c r="N107" s="925"/>
      <c r="O107" s="1875">
        <f t="shared" si="37"/>
        <v>6.02E-4</v>
      </c>
      <c r="P107" s="925"/>
      <c r="Q107" s="1875">
        <f t="shared" si="38"/>
        <v>6.0099999999999997E-4</v>
      </c>
      <c r="R107" s="474"/>
      <c r="S107" s="474"/>
    </row>
    <row r="108" spans="2:19">
      <c r="B108" s="474"/>
      <c r="C108" s="924"/>
      <c r="D108" s="1578" t="s">
        <v>2609</v>
      </c>
      <c r="E108" s="1578"/>
      <c r="F108" s="1578"/>
      <c r="G108" s="925"/>
      <c r="H108" s="925"/>
      <c r="I108" s="1875">
        <v>4.9700000000000005E-4</v>
      </c>
      <c r="J108" s="925"/>
      <c r="K108" s="1875">
        <v>4.9399999999999997E-4</v>
      </c>
      <c r="L108" s="925"/>
      <c r="M108" s="925" t="str">
        <f t="shared" si="36"/>
        <v>(株)日本セレモニー</v>
      </c>
      <c r="N108" s="925"/>
      <c r="O108" s="1875">
        <f t="shared" si="37"/>
        <v>6.0999999999999997E-4</v>
      </c>
      <c r="P108" s="925"/>
      <c r="Q108" s="1875">
        <f t="shared" si="38"/>
        <v>6.96E-4</v>
      </c>
      <c r="R108" s="474"/>
      <c r="S108" s="474"/>
    </row>
    <row r="109" spans="2:19">
      <c r="B109" s="474"/>
      <c r="C109" s="924"/>
      <c r="D109" s="1578" t="s">
        <v>2610</v>
      </c>
      <c r="E109" s="1578"/>
      <c r="F109" s="1578"/>
      <c r="G109" s="925"/>
      <c r="H109" s="925"/>
      <c r="I109" s="1875">
        <v>6.4700000000000001E-4</v>
      </c>
      <c r="J109" s="925"/>
      <c r="K109" s="1875">
        <v>6.4000000000000005E-4</v>
      </c>
      <c r="L109" s="925"/>
      <c r="M109" s="925" t="str">
        <f t="shared" si="36"/>
        <v>(株)Ｖ－Ｐｏｗｅｒ</v>
      </c>
      <c r="N109" s="925"/>
      <c r="O109" s="1875">
        <f t="shared" si="37"/>
        <v>2.5399999999999999E-4</v>
      </c>
      <c r="P109" s="925"/>
      <c r="Q109" s="1875">
        <f t="shared" si="38"/>
        <v>5.6099999999999998E-4</v>
      </c>
      <c r="R109" s="474"/>
      <c r="S109" s="474"/>
    </row>
    <row r="110" spans="2:19">
      <c r="B110" s="474"/>
      <c r="C110" s="924"/>
      <c r="D110" s="1578" t="s">
        <v>2611</v>
      </c>
      <c r="E110" s="1578"/>
      <c r="F110" s="1578"/>
      <c r="G110" s="925"/>
      <c r="H110" s="925"/>
      <c r="I110" s="1875">
        <v>5.31E-4</v>
      </c>
      <c r="J110" s="925"/>
      <c r="K110" s="1875">
        <v>5.2300000000000003E-4</v>
      </c>
      <c r="L110" s="925"/>
      <c r="M110" s="925" t="str">
        <f t="shared" si="36"/>
        <v>(株)フォレストパワー</v>
      </c>
      <c r="N110" s="925"/>
      <c r="O110" s="1875">
        <f t="shared" si="37"/>
        <v>1.9000000000000001E-4</v>
      </c>
      <c r="P110" s="925"/>
      <c r="Q110" s="1875">
        <f t="shared" si="38"/>
        <v>6.9899999999999997E-4</v>
      </c>
      <c r="R110" s="474"/>
      <c r="S110" s="474"/>
    </row>
    <row r="111" spans="2:19">
      <c r="B111" s="474"/>
      <c r="C111" s="924"/>
      <c r="D111" s="1578" t="s">
        <v>2612</v>
      </c>
      <c r="E111" s="1578"/>
      <c r="F111" s="1578"/>
      <c r="G111" s="925"/>
      <c r="H111" s="925"/>
      <c r="I111" s="1875">
        <v>7.0600000000000003E-4</v>
      </c>
      <c r="J111" s="925"/>
      <c r="K111" s="1875">
        <v>7.0899999999999999E-4</v>
      </c>
      <c r="L111" s="925"/>
      <c r="M111" s="925" t="str">
        <f t="shared" si="36"/>
        <v>(株)ベイサイドエナジー</v>
      </c>
      <c r="N111" s="925"/>
      <c r="O111" s="1875">
        <f t="shared" si="37"/>
        <v>5.8100000000000003E-4</v>
      </c>
      <c r="P111" s="925"/>
      <c r="Q111" s="1875">
        <f t="shared" si="38"/>
        <v>5.62E-4</v>
      </c>
      <c r="R111" s="474"/>
      <c r="S111" s="474"/>
    </row>
    <row r="112" spans="2:19">
      <c r="B112" s="474"/>
      <c r="C112" s="924"/>
      <c r="D112" s="1578" t="s">
        <v>2613</v>
      </c>
      <c r="E112" s="1578"/>
      <c r="F112" s="1578"/>
      <c r="G112" s="925"/>
      <c r="H112" s="925"/>
      <c r="I112" s="1875">
        <v>6.7599999999999995E-4</v>
      </c>
      <c r="J112" s="925"/>
      <c r="K112" s="1875">
        <v>6.8800000000000003E-4</v>
      </c>
      <c r="L112" s="925"/>
      <c r="M112" s="925" t="str">
        <f t="shared" si="36"/>
        <v>京葉瓦斯(株)</v>
      </c>
      <c r="N112" s="925"/>
      <c r="O112" s="1875">
        <f t="shared" si="37"/>
        <v>4.9399999999999997E-4</v>
      </c>
      <c r="P112" s="925"/>
      <c r="Q112" s="1875">
        <f t="shared" si="38"/>
        <v>4.7800000000000002E-4</v>
      </c>
      <c r="R112" s="474"/>
      <c r="S112" s="474"/>
    </row>
    <row r="113" spans="2:19">
      <c r="B113" s="474"/>
      <c r="C113" s="924"/>
      <c r="D113" s="1578" t="s">
        <v>2614</v>
      </c>
      <c r="E113" s="1578"/>
      <c r="F113" s="1578"/>
      <c r="G113" s="925"/>
      <c r="H113" s="925"/>
      <c r="I113" s="1875">
        <v>5.8399999999999999E-4</v>
      </c>
      <c r="J113" s="925"/>
      <c r="K113" s="1875">
        <v>5.9800000000000001E-4</v>
      </c>
      <c r="L113" s="925"/>
      <c r="M113" s="925" t="str">
        <f t="shared" si="36"/>
        <v>サミットエナジー(株)</v>
      </c>
      <c r="N113" s="925"/>
      <c r="O113" s="1875">
        <f t="shared" si="37"/>
        <v>4.1300000000000001E-4</v>
      </c>
      <c r="P113" s="925"/>
      <c r="Q113" s="1875">
        <f t="shared" si="38"/>
        <v>5.0299999999999997E-4</v>
      </c>
      <c r="R113" s="474"/>
      <c r="S113" s="474"/>
    </row>
    <row r="114" spans="2:19">
      <c r="B114" s="474"/>
      <c r="C114" s="924"/>
      <c r="D114" s="1578" t="s">
        <v>2615</v>
      </c>
      <c r="E114" s="1578"/>
      <c r="F114" s="1578"/>
      <c r="G114" s="925"/>
      <c r="H114" s="925"/>
      <c r="I114" s="1875">
        <v>8.1599999999999999E-4</v>
      </c>
      <c r="J114" s="925"/>
      <c r="K114" s="1875">
        <v>8.1599999999999999E-4</v>
      </c>
      <c r="L114" s="925"/>
      <c r="M114" s="925" t="str">
        <f t="shared" si="36"/>
        <v>ＪＸ日鉱日石エネルギー(株)</v>
      </c>
      <c r="N114" s="925"/>
      <c r="O114" s="1875">
        <f t="shared" si="37"/>
        <v>3.2499999999999999E-4</v>
      </c>
      <c r="P114" s="925"/>
      <c r="Q114" s="1875">
        <f t="shared" si="38"/>
        <v>3.0600000000000001E-4</v>
      </c>
      <c r="R114" s="474"/>
      <c r="S114" s="474"/>
    </row>
    <row r="115" spans="2:19">
      <c r="B115" s="474"/>
      <c r="C115" s="924"/>
      <c r="D115" s="1578" t="s">
        <v>2616</v>
      </c>
      <c r="E115" s="1578"/>
      <c r="F115" s="1578"/>
      <c r="G115" s="925"/>
      <c r="H115" s="925"/>
      <c r="I115" s="1875">
        <v>4.0999999999999999E-4</v>
      </c>
      <c r="J115" s="925"/>
      <c r="K115" s="1875">
        <v>3.3700000000000001E-4</v>
      </c>
      <c r="L115" s="925"/>
      <c r="M115" s="925" t="str">
        <f t="shared" si="36"/>
        <v>ＪＬエナジー(株)</v>
      </c>
      <c r="N115" s="925"/>
      <c r="O115" s="1875">
        <f t="shared" si="37"/>
        <v>5.53E-4</v>
      </c>
      <c r="P115" s="925"/>
      <c r="Q115" s="1875">
        <f t="shared" si="38"/>
        <v>5.3399999999999997E-4</v>
      </c>
      <c r="R115" s="474"/>
      <c r="S115" s="474"/>
    </row>
    <row r="116" spans="2:19">
      <c r="B116" s="474"/>
      <c r="C116" s="924"/>
      <c r="D116" s="1578" t="s">
        <v>2617</v>
      </c>
      <c r="E116" s="1578"/>
      <c r="F116" s="1578"/>
      <c r="G116" s="925"/>
      <c r="H116" s="925"/>
      <c r="I116" s="1875">
        <v>1.9000000000000001E-4</v>
      </c>
      <c r="J116" s="925"/>
      <c r="K116" s="1875">
        <v>1.83E-4</v>
      </c>
      <c r="L116" s="925"/>
      <c r="M116" s="925" t="str">
        <f t="shared" si="36"/>
        <v>志賀高原リゾート開発(株)</v>
      </c>
      <c r="N116" s="925"/>
      <c r="O116" s="1875">
        <f t="shared" si="37"/>
        <v>3.6000000000000001E-5</v>
      </c>
      <c r="P116" s="925"/>
      <c r="Q116" s="1875">
        <f t="shared" si="38"/>
        <v>5.7600000000000001E-4</v>
      </c>
      <c r="R116" s="474"/>
      <c r="S116" s="474"/>
    </row>
    <row r="117" spans="2:19">
      <c r="B117" s="474"/>
      <c r="C117" s="924"/>
      <c r="D117" s="1578" t="s">
        <v>2618</v>
      </c>
      <c r="E117" s="1578"/>
      <c r="F117" s="1578"/>
      <c r="G117" s="925"/>
      <c r="H117" s="925"/>
      <c r="I117" s="1875">
        <v>6.6200000000000005E-4</v>
      </c>
      <c r="J117" s="925"/>
      <c r="K117" s="1875">
        <v>4.6900000000000002E-4</v>
      </c>
      <c r="L117" s="925"/>
      <c r="M117" s="925" t="str">
        <f t="shared" si="36"/>
        <v>シナネン(株)</v>
      </c>
      <c r="N117" s="925"/>
      <c r="O117" s="1875">
        <f t="shared" si="37"/>
        <v>4.1599999999999997E-4</v>
      </c>
      <c r="P117" s="925"/>
      <c r="Q117" s="1875">
        <f t="shared" si="38"/>
        <v>5.6300000000000002E-4</v>
      </c>
      <c r="R117" s="474"/>
      <c r="S117" s="474"/>
    </row>
    <row r="118" spans="2:19">
      <c r="B118" s="474"/>
      <c r="C118" s="924"/>
      <c r="D118" s="1578" t="s">
        <v>2619</v>
      </c>
      <c r="E118" s="1578"/>
      <c r="F118" s="1578"/>
      <c r="G118" s="925"/>
      <c r="H118" s="925"/>
      <c r="I118" s="1875">
        <v>3.1599999999999998E-4</v>
      </c>
      <c r="J118" s="925"/>
      <c r="K118" s="1875">
        <v>5.5000000000000003E-4</v>
      </c>
      <c r="L118" s="925"/>
      <c r="M118" s="925" t="str">
        <f t="shared" si="36"/>
        <v>昭和シェル石油(株)</v>
      </c>
      <c r="N118" s="925"/>
      <c r="O118" s="1875">
        <f t="shared" si="37"/>
        <v>3.7199999999999999E-4</v>
      </c>
      <c r="P118" s="925"/>
      <c r="Q118" s="1875">
        <f t="shared" si="38"/>
        <v>3.5300000000000002E-4</v>
      </c>
      <c r="R118" s="474"/>
      <c r="S118" s="474"/>
    </row>
    <row r="119" spans="2:19">
      <c r="B119" s="474"/>
      <c r="C119" s="925"/>
      <c r="D119" s="1578" t="s">
        <v>2620</v>
      </c>
      <c r="E119" s="1578"/>
      <c r="F119" s="1578"/>
      <c r="G119" s="925"/>
      <c r="H119" s="925"/>
      <c r="I119" s="1875">
        <v>3.1599999999999998E-4</v>
      </c>
      <c r="J119" s="925"/>
      <c r="K119" s="1875">
        <v>5.6099999999999998E-4</v>
      </c>
      <c r="L119" s="925"/>
      <c r="M119" s="925" t="str">
        <f t="shared" si="36"/>
        <v>新日鉄住金エンジニアリング(株)</v>
      </c>
      <c r="N119" s="925"/>
      <c r="O119" s="1875">
        <f t="shared" si="37"/>
        <v>5.5999999999999995E-4</v>
      </c>
      <c r="P119" s="925"/>
      <c r="Q119" s="1875">
        <f t="shared" si="38"/>
        <v>5.6999999999999998E-4</v>
      </c>
      <c r="R119" s="474"/>
      <c r="S119" s="474"/>
    </row>
    <row r="120" spans="2:19">
      <c r="B120" s="474"/>
      <c r="C120" s="924"/>
      <c r="D120" s="1578" t="s">
        <v>2621</v>
      </c>
      <c r="E120" s="1578"/>
      <c r="F120" s="1578"/>
      <c r="G120" s="925"/>
      <c r="H120" s="925"/>
      <c r="I120" s="1875">
        <v>2.5300000000000002E-4</v>
      </c>
      <c r="J120" s="925"/>
      <c r="K120" s="1875">
        <v>7.3899999999999997E-4</v>
      </c>
      <c r="L120" s="925"/>
      <c r="M120" s="925" t="str">
        <f t="shared" si="36"/>
        <v>鈴与商事(株)</v>
      </c>
      <c r="N120" s="925"/>
      <c r="O120" s="1875">
        <f t="shared" si="37"/>
        <v>4.8799999999999999E-4</v>
      </c>
      <c r="P120" s="925"/>
      <c r="Q120" s="1875">
        <f t="shared" si="38"/>
        <v>3.48E-4</v>
      </c>
      <c r="R120" s="474"/>
      <c r="S120" s="474"/>
    </row>
    <row r="121" spans="2:19">
      <c r="B121" s="474"/>
      <c r="C121" s="924"/>
      <c r="D121" s="1578" t="s">
        <v>2622</v>
      </c>
      <c r="E121" s="1578"/>
      <c r="F121" s="1578"/>
      <c r="G121" s="925"/>
      <c r="H121" s="925"/>
      <c r="I121" s="1875">
        <v>5.6800000000000004E-4</v>
      </c>
      <c r="J121" s="925"/>
      <c r="K121" s="1875">
        <v>2.9399999999999999E-4</v>
      </c>
      <c r="L121" s="925"/>
      <c r="M121" s="925" t="str">
        <f t="shared" si="36"/>
        <v>泉北天然ガス発電(株)</v>
      </c>
      <c r="N121" s="925"/>
      <c r="O121" s="1875">
        <f t="shared" si="37"/>
        <v>3.2899999999999997E-4</v>
      </c>
      <c r="P121" s="925"/>
      <c r="Q121" s="1875">
        <f t="shared" si="38"/>
        <v>3.1E-4</v>
      </c>
      <c r="R121" s="474"/>
      <c r="S121" s="474"/>
    </row>
    <row r="122" spans="2:19">
      <c r="B122" s="474"/>
      <c r="C122" s="924"/>
      <c r="D122" s="1578" t="s">
        <v>2623</v>
      </c>
      <c r="E122" s="1578"/>
      <c r="F122" s="1578"/>
      <c r="G122" s="925"/>
      <c r="H122" s="925"/>
      <c r="I122" s="1875">
        <v>2.5900000000000001E-4</v>
      </c>
      <c r="J122" s="925"/>
      <c r="K122" s="1875">
        <v>3.4200000000000002E-4</v>
      </c>
      <c r="L122" s="925"/>
      <c r="M122" s="925" t="str">
        <f t="shared" si="36"/>
        <v>総合エネルギー(株)</v>
      </c>
      <c r="N122" s="925"/>
      <c r="O122" s="1875">
        <f t="shared" si="37"/>
        <v>6.3599999999999996E-4</v>
      </c>
      <c r="P122" s="925"/>
      <c r="Q122" s="1875">
        <f t="shared" si="38"/>
        <v>6.1499999999999999E-4</v>
      </c>
      <c r="R122" s="474"/>
      <c r="S122" s="474"/>
    </row>
    <row r="123" spans="2:19">
      <c r="B123" s="474"/>
      <c r="C123" s="924"/>
      <c r="D123" s="1578" t="s">
        <v>2624</v>
      </c>
      <c r="E123" s="1578"/>
      <c r="F123" s="1578"/>
      <c r="G123" s="925"/>
      <c r="H123" s="925"/>
      <c r="I123" s="1875">
        <v>6.3400000000000001E-4</v>
      </c>
      <c r="J123" s="925"/>
      <c r="K123" s="1875">
        <v>2.0599999999999999E-4</v>
      </c>
      <c r="L123" s="925"/>
      <c r="M123" s="925" t="str">
        <f t="shared" si="36"/>
        <v>大東エナジー(株)</v>
      </c>
      <c r="N123" s="925"/>
      <c r="O123" s="1875">
        <f t="shared" si="37"/>
        <v>5.6599999999999999E-4</v>
      </c>
      <c r="P123" s="925"/>
      <c r="Q123" s="1875">
        <f t="shared" si="38"/>
        <v>5.4699999999999996E-4</v>
      </c>
      <c r="R123" s="474"/>
      <c r="S123" s="474"/>
    </row>
    <row r="124" spans="2:19">
      <c r="B124" s="474"/>
      <c r="C124" s="924"/>
      <c r="D124" s="1578" t="s">
        <v>2625</v>
      </c>
      <c r="E124" s="1578"/>
      <c r="F124" s="1578"/>
      <c r="G124" s="925"/>
      <c r="H124" s="925"/>
      <c r="I124" s="1875">
        <v>2.6600000000000001E-4</v>
      </c>
      <c r="J124" s="925"/>
      <c r="K124" s="1875">
        <v>6.2399999999999999E-4</v>
      </c>
      <c r="L124" s="925"/>
      <c r="M124" s="925" t="str">
        <f t="shared" si="36"/>
        <v>ダイヤモンドパワー(株)</v>
      </c>
      <c r="N124" s="925"/>
      <c r="O124" s="1875">
        <f t="shared" si="37"/>
        <v>3.39E-4</v>
      </c>
      <c r="P124" s="925"/>
      <c r="Q124" s="1875">
        <f t="shared" si="38"/>
        <v>3.2299999999999999E-4</v>
      </c>
      <c r="R124" s="474"/>
      <c r="S124" s="474"/>
    </row>
    <row r="125" spans="2:19">
      <c r="B125" s="474"/>
      <c r="C125" s="924"/>
      <c r="D125" s="1578" t="s">
        <v>2626</v>
      </c>
      <c r="E125" s="1578"/>
      <c r="F125" s="1578"/>
      <c r="G125" s="925"/>
      <c r="H125" s="925"/>
      <c r="I125" s="1875">
        <v>4.3800000000000002E-4</v>
      </c>
      <c r="J125" s="925"/>
      <c r="K125" s="1875">
        <v>4.1899999999999999E-4</v>
      </c>
      <c r="L125" s="925"/>
      <c r="M125" s="925" t="str">
        <f t="shared" si="36"/>
        <v>大和ハウス工業(株)</v>
      </c>
      <c r="N125" s="925"/>
      <c r="O125" s="1875">
        <f t="shared" si="37"/>
        <v>5.1900000000000004E-4</v>
      </c>
      <c r="P125" s="925"/>
      <c r="Q125" s="1875">
        <f t="shared" si="38"/>
        <v>5.0100000000000003E-4</v>
      </c>
      <c r="R125" s="474"/>
      <c r="S125" s="474"/>
    </row>
    <row r="126" spans="2:19">
      <c r="B126" s="474"/>
      <c r="C126" s="924"/>
      <c r="D126" s="1578" t="s">
        <v>2627</v>
      </c>
      <c r="E126" s="1578"/>
      <c r="F126" s="1578"/>
      <c r="G126" s="925"/>
      <c r="H126" s="925"/>
      <c r="I126" s="1875">
        <v>4.9799999999999996E-4</v>
      </c>
      <c r="J126" s="925"/>
      <c r="K126" s="1875">
        <v>3.9300000000000001E-4</v>
      </c>
      <c r="L126" s="925"/>
      <c r="M126" s="925" t="str">
        <f t="shared" si="36"/>
        <v>中央電力エナジー(株)</v>
      </c>
      <c r="N126" s="925"/>
      <c r="O126" s="1875">
        <f t="shared" si="37"/>
        <v>5.5999999999999995E-4</v>
      </c>
      <c r="P126" s="925"/>
      <c r="Q126" s="1875">
        <f t="shared" si="38"/>
        <v>5.4100000000000003E-4</v>
      </c>
      <c r="R126" s="474"/>
      <c r="S126" s="474"/>
    </row>
    <row r="127" spans="2:19">
      <c r="B127" s="474"/>
      <c r="C127" s="924"/>
      <c r="D127" s="1578" t="s">
        <v>2628</v>
      </c>
      <c r="E127" s="1578"/>
      <c r="F127" s="1578"/>
      <c r="G127" s="925"/>
      <c r="H127" s="925"/>
      <c r="I127" s="1875">
        <v>5.1099999999999995E-4</v>
      </c>
      <c r="J127" s="925"/>
      <c r="K127" s="1875">
        <v>4.9399999999999997E-4</v>
      </c>
      <c r="L127" s="925"/>
      <c r="M127" s="925" t="str">
        <f t="shared" si="36"/>
        <v>テス・エンジニアリング(株)</v>
      </c>
      <c r="N127" s="925"/>
      <c r="O127" s="1875">
        <f t="shared" si="37"/>
        <v>5.9900000000000003E-4</v>
      </c>
      <c r="P127" s="925"/>
      <c r="Q127" s="1875">
        <f t="shared" si="38"/>
        <v>9.2500000000000004E-4</v>
      </c>
      <c r="R127" s="474"/>
      <c r="S127" s="474"/>
    </row>
    <row r="128" spans="2:19">
      <c r="B128" s="474"/>
      <c r="C128" s="924"/>
      <c r="D128" s="1578" t="s">
        <v>2629</v>
      </c>
      <c r="E128" s="1578"/>
      <c r="F128" s="1578"/>
      <c r="G128" s="925"/>
      <c r="H128" s="925"/>
      <c r="I128" s="1875">
        <v>4.3999999999999999E-5</v>
      </c>
      <c r="J128" s="925"/>
      <c r="K128" s="1875">
        <v>4.1999999999999998E-5</v>
      </c>
      <c r="L128" s="925"/>
      <c r="M128" s="925" t="str">
        <f t="shared" si="36"/>
        <v>テプコカスタマーサービス(株)</v>
      </c>
      <c r="N128" s="925"/>
      <c r="O128" s="1875">
        <f t="shared" si="37"/>
        <v>4.8700000000000002E-4</v>
      </c>
      <c r="P128" s="925"/>
      <c r="Q128" s="1875">
        <f t="shared" si="38"/>
        <v>3.2699999999999998E-4</v>
      </c>
      <c r="R128" s="474"/>
      <c r="S128" s="474"/>
    </row>
    <row r="129" spans="2:19">
      <c r="B129" s="474"/>
      <c r="C129" s="924"/>
      <c r="D129" s="1578" t="s">
        <v>2630</v>
      </c>
      <c r="E129" s="1578"/>
      <c r="F129" s="1578"/>
      <c r="G129" s="925"/>
      <c r="H129" s="925"/>
      <c r="I129" s="1875">
        <v>1.06E-4</v>
      </c>
      <c r="J129" s="925"/>
      <c r="K129" s="1875">
        <v>7.4399999999999998E-4</v>
      </c>
      <c r="L129" s="925"/>
      <c r="M129" s="925" t="str">
        <f t="shared" si="36"/>
        <v>東京エコサービス(株)</v>
      </c>
      <c r="N129" s="925"/>
      <c r="O129" s="1875">
        <f t="shared" si="37"/>
        <v>7.1000000000000005E-5</v>
      </c>
      <c r="P129" s="925"/>
      <c r="Q129" s="1875">
        <f t="shared" si="38"/>
        <v>1.4899999999999999E-4</v>
      </c>
      <c r="R129" s="474"/>
      <c r="S129" s="474"/>
    </row>
    <row r="130" spans="2:19">
      <c r="B130" s="474"/>
      <c r="C130" s="924"/>
      <c r="D130" s="1578" t="s">
        <v>2631</v>
      </c>
      <c r="E130" s="1578"/>
      <c r="F130" s="1578"/>
      <c r="G130" s="925"/>
      <c r="H130" s="925"/>
      <c r="I130" s="1875">
        <v>4.6200000000000001E-4</v>
      </c>
      <c r="J130" s="925"/>
      <c r="K130" s="1875">
        <v>4.4700000000000002E-4</v>
      </c>
      <c r="L130" s="925"/>
      <c r="M130" s="925" t="str">
        <f t="shared" si="36"/>
        <v>にちほクラウド電力(株)</v>
      </c>
      <c r="N130" s="925"/>
      <c r="O130" s="1875">
        <f t="shared" si="37"/>
        <v>5.3899999999999998E-4</v>
      </c>
      <c r="P130" s="925"/>
      <c r="Q130" s="1875">
        <f t="shared" si="38"/>
        <v>5.2099999999999998E-4</v>
      </c>
      <c r="R130" s="474"/>
      <c r="S130" s="474"/>
    </row>
    <row r="131" spans="2:19">
      <c r="B131" s="474"/>
      <c r="C131" s="924"/>
      <c r="D131" s="1578" t="s">
        <v>2632</v>
      </c>
      <c r="E131" s="1578"/>
      <c r="F131" s="1578"/>
      <c r="G131" s="925"/>
      <c r="H131" s="925"/>
      <c r="I131" s="1875">
        <v>4.15E-4</v>
      </c>
      <c r="J131" s="925"/>
      <c r="K131" s="1875">
        <v>5.53E-4</v>
      </c>
      <c r="L131" s="925"/>
      <c r="M131" s="925" t="str">
        <f t="shared" si="36"/>
        <v>日産トレーデイング(株)</v>
      </c>
      <c r="N131" s="925"/>
      <c r="O131" s="1875">
        <f t="shared" si="37"/>
        <v>3.6499999999999998E-4</v>
      </c>
      <c r="P131" s="925"/>
      <c r="Q131" s="1875">
        <f t="shared" si="38"/>
        <v>4.0999999999999999E-4</v>
      </c>
      <c r="R131" s="474"/>
      <c r="S131" s="474"/>
    </row>
    <row r="132" spans="2:19">
      <c r="B132" s="474"/>
      <c r="C132" s="924"/>
      <c r="D132" s="1578" t="s">
        <v>2633</v>
      </c>
      <c r="E132" s="1578"/>
      <c r="F132" s="1578"/>
      <c r="G132" s="925"/>
      <c r="H132" s="925"/>
      <c r="I132" s="1875">
        <v>4.5399999999999998E-4</v>
      </c>
      <c r="J132" s="925"/>
      <c r="K132" s="1875">
        <v>4.6200000000000001E-4</v>
      </c>
      <c r="L132" s="925"/>
      <c r="M132" s="925" t="str">
        <f t="shared" si="36"/>
        <v>日本アルファ電力(株)</v>
      </c>
      <c r="N132" s="925"/>
      <c r="O132" s="1875">
        <f t="shared" si="37"/>
        <v>0</v>
      </c>
      <c r="P132" s="925"/>
      <c r="Q132" s="1875">
        <f t="shared" si="38"/>
        <v>1.4790000000000001E-3</v>
      </c>
      <c r="R132" s="474"/>
      <c r="S132" s="474"/>
    </row>
    <row r="133" spans="2:19">
      <c r="B133" s="474"/>
      <c r="C133" s="924"/>
      <c r="D133" s="1578" t="s">
        <v>2634</v>
      </c>
      <c r="E133" s="1578"/>
      <c r="F133" s="1578"/>
      <c r="G133" s="925"/>
      <c r="H133" s="925"/>
      <c r="I133" s="1875">
        <v>4.5399999999999998E-4</v>
      </c>
      <c r="J133" s="925"/>
      <c r="K133" s="1875">
        <v>3.9800000000000002E-4</v>
      </c>
      <c r="L133" s="925"/>
      <c r="M133" s="925" t="str">
        <f t="shared" si="36"/>
        <v>日本テクノ(株)</v>
      </c>
      <c r="N133" s="925"/>
      <c r="O133" s="1875">
        <f t="shared" si="37"/>
        <v>5.3200000000000003E-4</v>
      </c>
      <c r="P133" s="925"/>
      <c r="Q133" s="1875">
        <f t="shared" si="38"/>
        <v>5.8799999999999998E-4</v>
      </c>
      <c r="R133" s="474"/>
      <c r="S133" s="474"/>
    </row>
    <row r="134" spans="2:19">
      <c r="B134" s="474"/>
      <c r="C134" s="924"/>
      <c r="D134" s="1578" t="s">
        <v>2635</v>
      </c>
      <c r="E134" s="1578"/>
      <c r="F134" s="1578"/>
      <c r="G134" s="925"/>
      <c r="H134" s="925"/>
      <c r="I134" s="1875">
        <v>5.4100000000000003E-4</v>
      </c>
      <c r="J134" s="925"/>
      <c r="K134" s="1875">
        <v>5.2800000000000004E-4</v>
      </c>
      <c r="L134" s="925"/>
      <c r="M134" s="925" t="str">
        <f t="shared" si="36"/>
        <v>日本ロジテック協同組合</v>
      </c>
      <c r="N134" s="925"/>
      <c r="O134" s="1875">
        <f t="shared" si="37"/>
        <v>3.86E-4</v>
      </c>
      <c r="P134" s="925"/>
      <c r="Q134" s="1875">
        <f t="shared" si="38"/>
        <v>5.5199999999999997E-4</v>
      </c>
      <c r="R134" s="474"/>
      <c r="S134" s="474"/>
    </row>
    <row r="135" spans="2:19">
      <c r="B135" s="474"/>
      <c r="C135" s="924"/>
      <c r="D135" s="1578" t="s">
        <v>2636</v>
      </c>
      <c r="E135" s="1578"/>
      <c r="F135" s="1578"/>
      <c r="G135" s="925"/>
      <c r="H135" s="925"/>
      <c r="I135" s="1875">
        <v>4.9200000000000003E-4</v>
      </c>
      <c r="J135" s="925"/>
      <c r="K135" s="1875">
        <v>4.75E-4</v>
      </c>
      <c r="L135" s="925"/>
      <c r="M135" s="925" t="str">
        <f t="shared" si="36"/>
        <v>パナソニック(株)</v>
      </c>
      <c r="N135" s="925"/>
      <c r="O135" s="1875">
        <f t="shared" si="37"/>
        <v>6.2200000000000005E-4</v>
      </c>
      <c r="P135" s="925"/>
      <c r="Q135" s="1875">
        <f t="shared" si="38"/>
        <v>6.11E-4</v>
      </c>
      <c r="R135" s="474"/>
      <c r="S135" s="474"/>
    </row>
    <row r="136" spans="2:19">
      <c r="B136" s="474"/>
      <c r="C136" s="924"/>
      <c r="D136" s="1578" t="s">
        <v>2637</v>
      </c>
      <c r="E136" s="1578"/>
      <c r="F136" s="1578"/>
      <c r="G136" s="925"/>
      <c r="H136" s="925"/>
      <c r="I136" s="1875">
        <v>4.7199999999999998E-4</v>
      </c>
      <c r="J136" s="925"/>
      <c r="K136" s="1875">
        <v>5.6800000000000004E-4</v>
      </c>
      <c r="L136" s="925"/>
      <c r="M136" s="925" t="str">
        <f t="shared" si="36"/>
        <v>プレミアムグリーンパワー(株)</v>
      </c>
      <c r="N136" s="925"/>
      <c r="O136" s="1875">
        <f t="shared" si="37"/>
        <v>1.1E-5</v>
      </c>
      <c r="P136" s="925"/>
      <c r="Q136" s="1875">
        <f t="shared" si="38"/>
        <v>2.6499999999999999E-4</v>
      </c>
      <c r="R136" s="474"/>
      <c r="S136" s="474"/>
    </row>
    <row r="137" spans="2:19">
      <c r="B137" s="474"/>
      <c r="C137" s="924"/>
      <c r="D137" s="1578" t="s">
        <v>2638</v>
      </c>
      <c r="E137" s="1578"/>
      <c r="F137" s="1578"/>
      <c r="G137" s="925"/>
      <c r="H137" s="925"/>
      <c r="I137" s="1875">
        <v>1.5300000000000001E-4</v>
      </c>
      <c r="J137" s="925"/>
      <c r="K137" s="1875">
        <v>5.9800000000000001E-4</v>
      </c>
      <c r="L137" s="925"/>
      <c r="M137" s="925" t="str">
        <f t="shared" si="36"/>
        <v>本田技研工業(株)</v>
      </c>
      <c r="N137" s="925"/>
      <c r="O137" s="1875">
        <f t="shared" si="37"/>
        <v>5.8E-4</v>
      </c>
      <c r="P137" s="925"/>
      <c r="Q137" s="1875">
        <f t="shared" si="38"/>
        <v>5.5999999999999995E-4</v>
      </c>
      <c r="R137" s="474"/>
      <c r="S137" s="474"/>
    </row>
    <row r="138" spans="2:19">
      <c r="B138" s="474"/>
      <c r="C138" s="924"/>
      <c r="D138" s="1578" t="s">
        <v>2639</v>
      </c>
      <c r="E138" s="1578"/>
      <c r="F138" s="1578"/>
      <c r="G138" s="925"/>
      <c r="H138" s="925"/>
      <c r="I138" s="1875">
        <v>3.48E-4</v>
      </c>
      <c r="J138" s="925"/>
      <c r="K138" s="1875">
        <v>4.6799999999999999E-4</v>
      </c>
      <c r="L138" s="925"/>
      <c r="M138" s="925" t="str">
        <f t="shared" si="36"/>
        <v>丸紅(株)</v>
      </c>
      <c r="N138" s="925"/>
      <c r="O138" s="1875">
        <f t="shared" si="37"/>
        <v>4.8200000000000001E-4</v>
      </c>
      <c r="P138" s="925"/>
      <c r="Q138" s="1875">
        <f t="shared" si="38"/>
        <v>4.8700000000000002E-4</v>
      </c>
      <c r="R138" s="474"/>
      <c r="S138" s="474"/>
    </row>
    <row r="139" spans="2:19">
      <c r="B139" s="474"/>
      <c r="C139" s="924"/>
      <c r="D139" s="1578" t="s">
        <v>2640</v>
      </c>
      <c r="E139" s="1578"/>
      <c r="F139" s="1578"/>
      <c r="G139" s="925"/>
      <c r="H139" s="925"/>
      <c r="I139" s="1875">
        <v>3.7300000000000001E-4</v>
      </c>
      <c r="J139" s="925"/>
      <c r="K139" s="1875">
        <v>3.6000000000000002E-4</v>
      </c>
      <c r="L139" s="925"/>
      <c r="M139" s="925" t="str">
        <f t="shared" si="36"/>
        <v>ミサワホーム(株)</v>
      </c>
      <c r="N139" s="925"/>
      <c r="O139" s="1875">
        <f t="shared" si="37"/>
        <v>3.1100000000000002E-4</v>
      </c>
      <c r="P139" s="925"/>
      <c r="Q139" s="1875">
        <f t="shared" si="38"/>
        <v>3.01E-4</v>
      </c>
      <c r="R139" s="474"/>
      <c r="S139" s="474"/>
    </row>
    <row r="140" spans="2:19">
      <c r="B140" s="474"/>
      <c r="C140" s="924"/>
      <c r="D140" s="1578" t="s">
        <v>2641</v>
      </c>
      <c r="E140" s="1578"/>
      <c r="F140" s="1578"/>
      <c r="G140" s="925"/>
      <c r="H140" s="925"/>
      <c r="I140" s="1875">
        <v>9.0000000000000002E-6</v>
      </c>
      <c r="J140" s="925"/>
      <c r="K140" s="1875">
        <v>9.0000000000000002E-6</v>
      </c>
      <c r="L140" s="925"/>
      <c r="M140" s="925" t="str">
        <f t="shared" si="36"/>
        <v>三井物産(株)</v>
      </c>
      <c r="N140" s="925"/>
      <c r="O140" s="1875">
        <f t="shared" si="37"/>
        <v>0</v>
      </c>
      <c r="P140" s="925"/>
      <c r="Q140" s="1875">
        <f t="shared" si="38"/>
        <v>0</v>
      </c>
      <c r="R140" s="474"/>
      <c r="S140" s="474"/>
    </row>
    <row r="141" spans="2:19">
      <c r="B141" s="474"/>
      <c r="C141" s="924"/>
      <c r="D141" s="1578" t="s">
        <v>2642</v>
      </c>
      <c r="E141" s="1578"/>
      <c r="F141" s="1578"/>
      <c r="G141" s="925"/>
      <c r="H141" s="925"/>
      <c r="I141" s="1875">
        <v>5.3700000000000004E-4</v>
      </c>
      <c r="J141" s="925"/>
      <c r="K141" s="1875">
        <v>5.2400000000000005E-4</v>
      </c>
      <c r="L141" s="925"/>
      <c r="M141" s="925" t="str">
        <f t="shared" si="36"/>
        <v>ミツウロコグリーンエネルギー(株)</v>
      </c>
      <c r="N141" s="925"/>
      <c r="O141" s="1875">
        <f t="shared" si="37"/>
        <v>4.66E-4</v>
      </c>
      <c r="P141" s="925"/>
      <c r="Q141" s="1875">
        <f t="shared" si="38"/>
        <v>4.9799999999999996E-4</v>
      </c>
      <c r="R141" s="474"/>
      <c r="S141" s="474"/>
    </row>
    <row r="142" spans="2:19">
      <c r="B142" s="474"/>
      <c r="C142" s="924"/>
      <c r="D142" s="1578" t="s">
        <v>2643</v>
      </c>
      <c r="E142" s="1578"/>
      <c r="F142" s="1578"/>
      <c r="G142" s="925"/>
      <c r="H142" s="925"/>
      <c r="I142" s="1875">
        <v>1.7000000000000001E-4</v>
      </c>
      <c r="J142" s="925"/>
      <c r="K142" s="1875">
        <v>0</v>
      </c>
      <c r="L142" s="925"/>
      <c r="M142" s="925" t="str">
        <f t="shared" si="36"/>
        <v>リエスパワー(株)</v>
      </c>
      <c r="N142" s="925"/>
      <c r="O142" s="1875">
        <f t="shared" si="37"/>
        <v>5.8200000000000005E-4</v>
      </c>
      <c r="P142" s="925"/>
      <c r="Q142" s="1875">
        <f t="shared" si="38"/>
        <v>0</v>
      </c>
      <c r="R142" s="474"/>
      <c r="S142" s="474"/>
    </row>
    <row r="143" spans="2:19">
      <c r="B143" s="474"/>
      <c r="C143" s="924"/>
      <c r="D143" s="1578" t="s">
        <v>2644</v>
      </c>
      <c r="E143" s="1578"/>
      <c r="F143" s="1578"/>
      <c r="G143" s="925"/>
      <c r="H143" s="925"/>
      <c r="I143" s="1875">
        <v>4.8700000000000002E-4</v>
      </c>
      <c r="J143" s="925"/>
      <c r="K143" s="1875">
        <v>7.2800000000000002E-4</v>
      </c>
      <c r="L143" s="925"/>
      <c r="M143" s="925" t="str">
        <f t="shared" si="36"/>
        <v>ワタミファーム＆エナジー(株)</v>
      </c>
      <c r="N143" s="925"/>
      <c r="O143" s="1875">
        <f t="shared" si="37"/>
        <v>4.5399999999999998E-4</v>
      </c>
      <c r="P143" s="925"/>
      <c r="Q143" s="1875">
        <f t="shared" si="38"/>
        <v>4.3899999999999999E-4</v>
      </c>
      <c r="R143" s="474"/>
      <c r="S143" s="474"/>
    </row>
    <row r="144" spans="2:19" hidden="1">
      <c r="B144" s="474"/>
      <c r="C144" s="924"/>
      <c r="D144" s="1578" t="s">
        <v>2645</v>
      </c>
      <c r="E144" s="1578"/>
      <c r="F144" s="1578"/>
      <c r="G144" s="925"/>
      <c r="H144" s="925"/>
      <c r="I144" s="1875">
        <v>4.9200000000000003E-4</v>
      </c>
      <c r="J144" s="925"/>
      <c r="K144" s="982">
        <v>4.7699999999999999E-4</v>
      </c>
      <c r="L144" s="925"/>
      <c r="M144" s="925"/>
      <c r="N144" s="925"/>
      <c r="O144" s="925"/>
      <c r="P144" s="925"/>
      <c r="Q144" s="925"/>
      <c r="R144" s="474"/>
      <c r="S144" s="474"/>
    </row>
    <row r="145" spans="2:19" hidden="1">
      <c r="B145" s="474"/>
      <c r="C145" s="924"/>
      <c r="D145" s="1578" t="s">
        <v>2646</v>
      </c>
      <c r="E145" s="1578"/>
      <c r="F145" s="1578"/>
      <c r="G145" s="925"/>
      <c r="H145" s="925"/>
      <c r="I145" s="1875">
        <v>4.95E-4</v>
      </c>
      <c r="J145" s="925"/>
      <c r="K145" s="982">
        <v>4.7899999999999999E-4</v>
      </c>
      <c r="L145" s="925"/>
      <c r="M145" s="925"/>
      <c r="N145" s="925"/>
      <c r="O145" s="925"/>
      <c r="P145" s="925"/>
      <c r="Q145" s="925"/>
      <c r="R145" s="474"/>
      <c r="S145" s="474"/>
    </row>
    <row r="146" spans="2:19" hidden="1">
      <c r="B146" s="474"/>
      <c r="C146" s="924"/>
      <c r="D146" s="1578" t="s">
        <v>2647</v>
      </c>
      <c r="E146" s="1578"/>
      <c r="F146" s="1578"/>
      <c r="G146" s="925"/>
      <c r="H146" s="925"/>
      <c r="I146" s="1875">
        <v>6.02E-4</v>
      </c>
      <c r="J146" s="925"/>
      <c r="K146" s="982">
        <v>6.0099999999999997E-4</v>
      </c>
      <c r="L146" s="925"/>
      <c r="M146" s="925"/>
      <c r="N146" s="925"/>
      <c r="O146" s="925"/>
      <c r="P146" s="925"/>
      <c r="Q146" s="925"/>
      <c r="R146" s="474"/>
      <c r="S146" s="474"/>
    </row>
    <row r="147" spans="2:19" hidden="1">
      <c r="B147" s="474"/>
      <c r="C147" s="924"/>
      <c r="D147" s="1578" t="s">
        <v>2648</v>
      </c>
      <c r="E147" s="1578"/>
      <c r="F147" s="1578"/>
      <c r="G147" s="925"/>
      <c r="H147" s="925"/>
      <c r="I147" s="1875">
        <v>6.0999999999999997E-4</v>
      </c>
      <c r="J147" s="925"/>
      <c r="K147" s="982">
        <v>6.96E-4</v>
      </c>
      <c r="L147" s="925"/>
      <c r="R147" s="474"/>
      <c r="S147" s="474"/>
    </row>
    <row r="148" spans="2:19" hidden="1">
      <c r="B148" s="474"/>
      <c r="C148" s="924"/>
      <c r="D148" s="1578" t="s">
        <v>2649</v>
      </c>
      <c r="E148" s="1578"/>
      <c r="F148" s="1578"/>
      <c r="G148" s="925"/>
      <c r="H148" s="925"/>
      <c r="I148" s="1875">
        <v>2.5399999999999999E-4</v>
      </c>
      <c r="J148" s="925"/>
      <c r="K148" s="982">
        <v>5.6099999999999998E-4</v>
      </c>
      <c r="L148" s="925"/>
      <c r="R148" s="474"/>
      <c r="S148" s="474"/>
    </row>
    <row r="149" spans="2:19" hidden="1">
      <c r="B149" s="474"/>
      <c r="C149" s="924"/>
      <c r="D149" s="1578" t="s">
        <v>2650</v>
      </c>
      <c r="E149" s="1578"/>
      <c r="F149" s="1578"/>
      <c r="G149" s="925"/>
      <c r="H149" s="925"/>
      <c r="I149" s="1875">
        <v>1.9000000000000001E-4</v>
      </c>
      <c r="J149" s="925"/>
      <c r="K149" s="982">
        <v>6.9899999999999997E-4</v>
      </c>
      <c r="L149" s="925"/>
      <c r="R149" s="474"/>
      <c r="S149" s="474"/>
    </row>
    <row r="150" spans="2:19" hidden="1">
      <c r="B150" s="474"/>
      <c r="C150" s="924"/>
      <c r="D150" s="1578" t="s">
        <v>2651</v>
      </c>
      <c r="E150" s="1578"/>
      <c r="F150" s="1578"/>
      <c r="G150" s="925"/>
      <c r="H150" s="925"/>
      <c r="I150" s="1875">
        <v>5.8100000000000003E-4</v>
      </c>
      <c r="J150" s="925"/>
      <c r="K150" s="982">
        <v>5.62E-4</v>
      </c>
      <c r="L150" s="925"/>
      <c r="R150" s="474"/>
      <c r="S150" s="474"/>
    </row>
    <row r="151" spans="2:19" hidden="1">
      <c r="B151" s="474"/>
      <c r="C151" s="924"/>
      <c r="D151" s="1578" t="s">
        <v>2652</v>
      </c>
      <c r="E151" s="1578"/>
      <c r="F151" s="1578"/>
      <c r="G151" s="925"/>
      <c r="H151" s="925"/>
      <c r="I151" s="1875">
        <v>4.9399999999999997E-4</v>
      </c>
      <c r="J151" s="925"/>
      <c r="K151" s="982">
        <v>4.7800000000000002E-4</v>
      </c>
      <c r="L151" s="925"/>
      <c r="R151" s="474"/>
      <c r="S151" s="474"/>
    </row>
    <row r="152" spans="2:19" hidden="1">
      <c r="B152" s="474"/>
      <c r="C152" s="924"/>
      <c r="D152" s="1578" t="s">
        <v>2653</v>
      </c>
      <c r="E152" s="1578"/>
      <c r="F152" s="1578"/>
      <c r="G152" s="925"/>
      <c r="H152" s="925"/>
      <c r="I152" s="1875">
        <v>4.1300000000000001E-4</v>
      </c>
      <c r="J152" s="925"/>
      <c r="K152" s="982">
        <v>5.0299999999999997E-4</v>
      </c>
      <c r="L152" s="925"/>
      <c r="R152" s="474"/>
      <c r="S152" s="474"/>
    </row>
    <row r="153" spans="2:19" hidden="1">
      <c r="B153" s="474"/>
      <c r="C153" s="924"/>
      <c r="D153" s="1578" t="s">
        <v>2654</v>
      </c>
      <c r="E153" s="1578"/>
      <c r="F153" s="1578"/>
      <c r="G153" s="925"/>
      <c r="H153" s="925"/>
      <c r="I153" s="1875">
        <v>3.2499999999999999E-4</v>
      </c>
      <c r="J153" s="925"/>
      <c r="K153" s="982">
        <v>3.0600000000000001E-4</v>
      </c>
      <c r="L153" s="925"/>
      <c r="R153" s="474"/>
      <c r="S153" s="474"/>
    </row>
    <row r="154" spans="2:19" hidden="1">
      <c r="B154" s="474"/>
      <c r="C154" s="924"/>
      <c r="D154" s="1578" t="s">
        <v>2655</v>
      </c>
      <c r="E154" s="1578"/>
      <c r="F154" s="1578"/>
      <c r="G154" s="925"/>
      <c r="H154" s="925"/>
      <c r="I154" s="1875">
        <v>5.53E-4</v>
      </c>
      <c r="J154" s="925"/>
      <c r="K154" s="982">
        <v>5.3399999999999997E-4</v>
      </c>
      <c r="L154" s="925"/>
      <c r="R154" s="474"/>
      <c r="S154" s="474"/>
    </row>
    <row r="155" spans="2:19" hidden="1">
      <c r="B155" s="474"/>
      <c r="C155" s="924"/>
      <c r="D155" s="1578" t="s">
        <v>2656</v>
      </c>
      <c r="E155" s="1578"/>
      <c r="F155" s="1578"/>
      <c r="G155" s="925"/>
      <c r="H155" s="925"/>
      <c r="I155" s="1875">
        <v>3.6000000000000001E-5</v>
      </c>
      <c r="J155" s="925"/>
      <c r="K155" s="982">
        <v>5.7600000000000001E-4</v>
      </c>
      <c r="L155" s="925"/>
      <c r="R155" s="474"/>
      <c r="S155" s="474"/>
    </row>
    <row r="156" spans="2:19" hidden="1">
      <c r="B156" s="474"/>
      <c r="C156" s="924"/>
      <c r="D156" s="1578" t="s">
        <v>2657</v>
      </c>
      <c r="E156" s="1578"/>
      <c r="F156" s="1578"/>
      <c r="G156" s="925"/>
      <c r="H156" s="925"/>
      <c r="I156" s="1875">
        <v>4.1599999999999997E-4</v>
      </c>
      <c r="J156" s="925"/>
      <c r="K156" s="982">
        <v>5.6300000000000002E-4</v>
      </c>
      <c r="L156" s="925"/>
      <c r="R156" s="474"/>
      <c r="S156" s="474"/>
    </row>
    <row r="157" spans="2:19" hidden="1">
      <c r="B157" s="474"/>
      <c r="C157" s="924"/>
      <c r="D157" s="1578" t="s">
        <v>2658</v>
      </c>
      <c r="E157" s="1578"/>
      <c r="F157" s="1578"/>
      <c r="G157" s="925"/>
      <c r="H157" s="925"/>
      <c r="I157" s="1875">
        <v>3.7199999999999999E-4</v>
      </c>
      <c r="J157" s="925"/>
      <c r="K157" s="982">
        <v>3.5300000000000002E-4</v>
      </c>
      <c r="L157" s="925"/>
      <c r="R157" s="474"/>
      <c r="S157" s="474"/>
    </row>
    <row r="158" spans="2:19" hidden="1">
      <c r="B158" s="474"/>
      <c r="C158" s="924"/>
      <c r="D158" s="1578" t="s">
        <v>2659</v>
      </c>
      <c r="E158" s="1578"/>
      <c r="F158" s="1578"/>
      <c r="G158" s="925"/>
      <c r="H158" s="925"/>
      <c r="I158" s="1875">
        <v>5.5999999999999995E-4</v>
      </c>
      <c r="J158" s="925"/>
      <c r="K158" s="982">
        <v>5.6999999999999998E-4</v>
      </c>
      <c r="L158" s="925"/>
      <c r="R158" s="474"/>
      <c r="S158" s="474"/>
    </row>
    <row r="159" spans="2:19" hidden="1">
      <c r="B159" s="474"/>
      <c r="C159" s="924"/>
      <c r="D159" s="1578" t="s">
        <v>2660</v>
      </c>
      <c r="E159" s="1578"/>
      <c r="F159" s="1578"/>
      <c r="G159" s="925"/>
      <c r="H159" s="925"/>
      <c r="I159" s="1875">
        <v>4.8799999999999999E-4</v>
      </c>
      <c r="J159" s="925"/>
      <c r="K159" s="982">
        <v>3.48E-4</v>
      </c>
      <c r="L159" s="925"/>
      <c r="R159" s="474"/>
      <c r="S159" s="474"/>
    </row>
    <row r="160" spans="2:19" hidden="1">
      <c r="B160" s="474"/>
      <c r="C160" s="924"/>
      <c r="D160" s="1578" t="s">
        <v>2661</v>
      </c>
      <c r="E160" s="1578"/>
      <c r="F160" s="1578"/>
      <c r="G160" s="925"/>
      <c r="H160" s="925"/>
      <c r="I160" s="1875">
        <v>3.2899999999999997E-4</v>
      </c>
      <c r="J160" s="925"/>
      <c r="K160" s="982">
        <v>3.1E-4</v>
      </c>
      <c r="L160" s="925"/>
      <c r="R160" s="474"/>
      <c r="S160" s="474"/>
    </row>
    <row r="161" spans="2:19" hidden="1">
      <c r="B161" s="474"/>
      <c r="C161" s="924"/>
      <c r="D161" s="1578" t="s">
        <v>2662</v>
      </c>
      <c r="E161" s="1578"/>
      <c r="F161" s="1578"/>
      <c r="G161" s="925"/>
      <c r="H161" s="925"/>
      <c r="I161" s="1875">
        <v>6.3599999999999996E-4</v>
      </c>
      <c r="J161" s="925"/>
      <c r="K161" s="982">
        <v>6.1499999999999999E-4</v>
      </c>
      <c r="L161" s="925"/>
      <c r="R161" s="474"/>
      <c r="S161" s="474"/>
    </row>
    <row r="162" spans="2:19" hidden="1">
      <c r="B162" s="474"/>
      <c r="C162" s="924"/>
      <c r="D162" s="1578" t="s">
        <v>2663</v>
      </c>
      <c r="E162" s="1578"/>
      <c r="F162" s="1578"/>
      <c r="G162" s="925"/>
      <c r="H162" s="925"/>
      <c r="I162" s="1875">
        <v>5.6599999999999999E-4</v>
      </c>
      <c r="J162" s="925"/>
      <c r="K162" s="982">
        <v>5.4699999999999996E-4</v>
      </c>
      <c r="L162" s="925"/>
      <c r="R162" s="474"/>
      <c r="S162" s="474"/>
    </row>
    <row r="163" spans="2:19" hidden="1">
      <c r="B163" s="474"/>
      <c r="C163" s="924"/>
      <c r="D163" s="1578" t="s">
        <v>2664</v>
      </c>
      <c r="E163" s="1578"/>
      <c r="F163" s="1578"/>
      <c r="G163" s="925"/>
      <c r="H163" s="925"/>
      <c r="I163" s="1875">
        <v>3.39E-4</v>
      </c>
      <c r="J163" s="925"/>
      <c r="K163" s="982">
        <v>3.2299999999999999E-4</v>
      </c>
      <c r="L163" s="925"/>
      <c r="R163" s="474"/>
      <c r="S163" s="474"/>
    </row>
    <row r="164" spans="2:19" hidden="1">
      <c r="B164" s="474"/>
      <c r="C164" s="924"/>
      <c r="D164" s="1578" t="s">
        <v>2665</v>
      </c>
      <c r="E164" s="1578"/>
      <c r="F164" s="1578"/>
      <c r="G164" s="925"/>
      <c r="H164" s="925"/>
      <c r="I164" s="1875">
        <v>5.1900000000000004E-4</v>
      </c>
      <c r="J164" s="925"/>
      <c r="K164" s="982">
        <v>5.0100000000000003E-4</v>
      </c>
      <c r="L164" s="925"/>
      <c r="R164" s="474"/>
      <c r="S164" s="474"/>
    </row>
    <row r="165" spans="2:19" hidden="1">
      <c r="B165" s="474"/>
      <c r="C165" s="924"/>
      <c r="D165" s="1578" t="s">
        <v>2666</v>
      </c>
      <c r="E165" s="1578"/>
      <c r="F165" s="1578"/>
      <c r="G165" s="925"/>
      <c r="H165" s="925"/>
      <c r="I165" s="1875">
        <v>5.5999999999999995E-4</v>
      </c>
      <c r="J165" s="925"/>
      <c r="K165" s="982">
        <v>5.4100000000000003E-4</v>
      </c>
      <c r="L165" s="925"/>
      <c r="M165" s="925"/>
      <c r="N165" s="925"/>
      <c r="O165" s="925"/>
      <c r="P165" s="925"/>
      <c r="Q165" s="925"/>
      <c r="R165" s="474"/>
      <c r="S165" s="474"/>
    </row>
    <row r="166" spans="2:19" hidden="1">
      <c r="B166" s="474"/>
      <c r="C166" s="924"/>
      <c r="D166" s="1578" t="s">
        <v>2667</v>
      </c>
      <c r="E166" s="1578"/>
      <c r="F166" s="1578"/>
      <c r="G166" s="925"/>
      <c r="H166" s="925"/>
      <c r="I166" s="1875">
        <v>5.9900000000000003E-4</v>
      </c>
      <c r="J166" s="925"/>
      <c r="K166" s="982">
        <v>9.2500000000000004E-4</v>
      </c>
      <c r="L166" s="925"/>
      <c r="M166" s="925"/>
      <c r="N166" s="925"/>
      <c r="O166" s="925"/>
      <c r="P166" s="925"/>
      <c r="Q166" s="925"/>
      <c r="R166" s="474"/>
      <c r="S166" s="474"/>
    </row>
    <row r="167" spans="2:19" hidden="1">
      <c r="B167" s="474"/>
      <c r="C167" s="924"/>
      <c r="D167" s="1578" t="s">
        <v>2668</v>
      </c>
      <c r="E167" s="1578"/>
      <c r="F167" s="1578"/>
      <c r="G167" s="925"/>
      <c r="H167" s="925"/>
      <c r="I167" s="1875">
        <v>4.8700000000000002E-4</v>
      </c>
      <c r="J167" s="925"/>
      <c r="K167" s="982">
        <v>3.2699999999999998E-4</v>
      </c>
      <c r="L167" s="925"/>
      <c r="M167" s="925"/>
      <c r="N167" s="925"/>
      <c r="O167" s="925"/>
      <c r="P167" s="925"/>
      <c r="Q167" s="925"/>
      <c r="R167" s="474"/>
      <c r="S167" s="474"/>
    </row>
    <row r="168" spans="2:19" hidden="1">
      <c r="B168" s="474"/>
      <c r="C168" s="924"/>
      <c r="D168" s="1578" t="s">
        <v>2669</v>
      </c>
      <c r="E168" s="1578"/>
      <c r="F168" s="1578"/>
      <c r="G168" s="925"/>
      <c r="H168" s="925"/>
      <c r="I168" s="1875">
        <v>7.1000000000000005E-5</v>
      </c>
      <c r="J168" s="925"/>
      <c r="K168" s="982">
        <v>1.4899999999999999E-4</v>
      </c>
      <c r="L168" s="925"/>
      <c r="M168" s="925"/>
      <c r="N168" s="925"/>
      <c r="O168" s="925"/>
      <c r="P168" s="925"/>
      <c r="Q168" s="925"/>
      <c r="R168" s="474"/>
      <c r="S168" s="474"/>
    </row>
    <row r="169" spans="2:19" hidden="1">
      <c r="B169" s="474"/>
      <c r="C169" s="924"/>
      <c r="D169" s="1578" t="s">
        <v>2670</v>
      </c>
      <c r="E169" s="1578"/>
      <c r="F169" s="1578"/>
      <c r="G169" s="925"/>
      <c r="H169" s="925"/>
      <c r="I169" s="1875">
        <v>5.3899999999999998E-4</v>
      </c>
      <c r="J169" s="925"/>
      <c r="K169" s="982">
        <v>5.2099999999999998E-4</v>
      </c>
      <c r="L169" s="925"/>
      <c r="M169" s="925"/>
      <c r="N169" s="925"/>
      <c r="O169" s="925"/>
      <c r="P169" s="925"/>
      <c r="Q169" s="925"/>
      <c r="R169" s="474"/>
      <c r="S169" s="474"/>
    </row>
    <row r="170" spans="2:19" hidden="1">
      <c r="B170" s="474"/>
      <c r="C170" s="924"/>
      <c r="D170" s="1578" t="s">
        <v>2671</v>
      </c>
      <c r="E170" s="1578"/>
      <c r="F170" s="1578"/>
      <c r="G170" s="925"/>
      <c r="H170" s="925"/>
      <c r="I170" s="1875">
        <v>3.6499999999999998E-4</v>
      </c>
      <c r="J170" s="925"/>
      <c r="K170" s="982">
        <v>4.0999999999999999E-4</v>
      </c>
      <c r="L170" s="925"/>
      <c r="M170" s="925"/>
      <c r="N170" s="925"/>
      <c r="O170" s="925"/>
      <c r="P170" s="925"/>
      <c r="Q170" s="925"/>
      <c r="R170" s="474"/>
      <c r="S170" s="474"/>
    </row>
    <row r="171" spans="2:19" hidden="1">
      <c r="B171" s="474"/>
      <c r="C171" s="924"/>
      <c r="D171" s="1578" t="s">
        <v>2672</v>
      </c>
      <c r="E171" s="1578"/>
      <c r="F171" s="1578"/>
      <c r="G171" s="925"/>
      <c r="H171" s="925"/>
      <c r="I171" s="1875">
        <v>0</v>
      </c>
      <c r="J171" s="925"/>
      <c r="K171" s="982">
        <v>1.4790000000000001E-3</v>
      </c>
      <c r="L171" s="925"/>
      <c r="M171" s="925"/>
      <c r="N171" s="925"/>
      <c r="O171" s="925"/>
      <c r="P171" s="925"/>
      <c r="Q171" s="925"/>
      <c r="R171" s="474"/>
      <c r="S171" s="474"/>
    </row>
    <row r="172" spans="2:19" hidden="1">
      <c r="B172" s="474"/>
      <c r="C172" s="924"/>
      <c r="D172" s="1578" t="s">
        <v>2673</v>
      </c>
      <c r="E172" s="1578"/>
      <c r="F172" s="1578"/>
      <c r="G172" s="925"/>
      <c r="H172" s="925"/>
      <c r="I172" s="1875">
        <v>5.3200000000000003E-4</v>
      </c>
      <c r="J172" s="925"/>
      <c r="K172" s="982">
        <v>5.8799999999999998E-4</v>
      </c>
      <c r="L172" s="925"/>
      <c r="M172" s="925"/>
      <c r="N172" s="925"/>
      <c r="O172" s="925"/>
      <c r="P172" s="925"/>
      <c r="Q172" s="925"/>
      <c r="R172" s="474"/>
      <c r="S172" s="474"/>
    </row>
    <row r="173" spans="2:19" hidden="1">
      <c r="B173" s="474"/>
      <c r="C173" s="924"/>
      <c r="D173" s="1578" t="s">
        <v>1556</v>
      </c>
      <c r="E173" s="1578"/>
      <c r="F173" s="1578"/>
      <c r="G173" s="925"/>
      <c r="H173" s="925"/>
      <c r="I173" s="1875">
        <v>3.86E-4</v>
      </c>
      <c r="J173" s="925"/>
      <c r="K173" s="982">
        <v>5.5199999999999997E-4</v>
      </c>
      <c r="L173" s="925"/>
      <c r="M173" s="925"/>
      <c r="N173" s="925"/>
      <c r="O173" s="925"/>
      <c r="P173" s="925"/>
      <c r="Q173" s="925"/>
      <c r="R173" s="474"/>
      <c r="S173" s="474"/>
    </row>
    <row r="174" spans="2:19" hidden="1">
      <c r="B174" s="474"/>
      <c r="C174" s="924"/>
      <c r="D174" s="1578" t="s">
        <v>2674</v>
      </c>
      <c r="E174" s="1578"/>
      <c r="F174" s="1578"/>
      <c r="G174" s="925"/>
      <c r="H174" s="925"/>
      <c r="I174" s="1875">
        <v>6.2200000000000005E-4</v>
      </c>
      <c r="J174" s="925"/>
      <c r="K174" s="982">
        <v>6.11E-4</v>
      </c>
      <c r="L174" s="925"/>
      <c r="M174" s="925"/>
      <c r="N174" s="925"/>
      <c r="O174" s="925"/>
      <c r="P174" s="925"/>
      <c r="Q174" s="925"/>
      <c r="R174" s="474"/>
      <c r="S174" s="474"/>
    </row>
    <row r="175" spans="2:19" hidden="1">
      <c r="B175" s="474"/>
      <c r="C175" s="924"/>
      <c r="D175" s="1578" t="s">
        <v>2675</v>
      </c>
      <c r="E175" s="1578"/>
      <c r="F175" s="1578"/>
      <c r="G175" s="925"/>
      <c r="H175" s="925"/>
      <c r="I175" s="1875">
        <v>1.1E-5</v>
      </c>
      <c r="J175" s="925"/>
      <c r="K175" s="982">
        <v>2.6499999999999999E-4</v>
      </c>
      <c r="L175" s="925"/>
      <c r="M175" s="925"/>
      <c r="N175" s="925"/>
      <c r="O175" s="925"/>
      <c r="P175" s="925"/>
      <c r="Q175" s="925"/>
      <c r="R175" s="474"/>
      <c r="S175" s="474"/>
    </row>
    <row r="176" spans="2:19" hidden="1">
      <c r="B176" s="474"/>
      <c r="C176" s="924"/>
      <c r="D176" s="1578" t="s">
        <v>2676</v>
      </c>
      <c r="E176" s="1578"/>
      <c r="F176" s="1578"/>
      <c r="G176" s="925"/>
      <c r="H176" s="925"/>
      <c r="I176" s="1875">
        <v>5.8E-4</v>
      </c>
      <c r="J176" s="925"/>
      <c r="K176" s="982">
        <v>5.5999999999999995E-4</v>
      </c>
      <c r="L176" s="925"/>
      <c r="M176" s="925"/>
      <c r="N176" s="925"/>
      <c r="O176" s="925"/>
      <c r="P176" s="925"/>
      <c r="Q176" s="925"/>
      <c r="R176" s="474"/>
      <c r="S176" s="474"/>
    </row>
    <row r="177" spans="2:19" hidden="1">
      <c r="B177" s="474"/>
      <c r="C177" s="924"/>
      <c r="D177" s="1578" t="s">
        <v>2677</v>
      </c>
      <c r="E177" s="1578"/>
      <c r="F177" s="1578"/>
      <c r="G177" s="925"/>
      <c r="H177" s="925"/>
      <c r="I177" s="1875">
        <v>4.8200000000000001E-4</v>
      </c>
      <c r="J177" s="925"/>
      <c r="K177" s="982">
        <v>4.8700000000000002E-4</v>
      </c>
      <c r="L177" s="925"/>
      <c r="M177" s="925"/>
      <c r="N177" s="925"/>
      <c r="O177" s="925"/>
      <c r="P177" s="925"/>
      <c r="Q177" s="925"/>
      <c r="R177" s="474"/>
      <c r="S177" s="474"/>
    </row>
    <row r="178" spans="2:19" hidden="1">
      <c r="B178" s="474"/>
      <c r="C178" s="924"/>
      <c r="D178" s="1578" t="s">
        <v>2678</v>
      </c>
      <c r="E178" s="1578"/>
      <c r="F178" s="1578"/>
      <c r="G178" s="925"/>
      <c r="H178" s="925"/>
      <c r="I178" s="1875">
        <v>3.1100000000000002E-4</v>
      </c>
      <c r="J178" s="925"/>
      <c r="K178" s="982">
        <v>3.01E-4</v>
      </c>
      <c r="L178" s="925"/>
      <c r="M178" s="925"/>
      <c r="N178" s="925"/>
      <c r="O178" s="925"/>
      <c r="P178" s="925"/>
      <c r="Q178" s="925"/>
      <c r="R178" s="474"/>
      <c r="S178" s="474"/>
    </row>
    <row r="179" spans="2:19" hidden="1">
      <c r="B179" s="474"/>
      <c r="C179" s="924"/>
      <c r="D179" s="1578" t="s">
        <v>2679</v>
      </c>
      <c r="E179" s="1578"/>
      <c r="F179" s="1578"/>
      <c r="G179" s="925"/>
      <c r="H179" s="925"/>
      <c r="I179" s="1875">
        <v>0</v>
      </c>
      <c r="J179" s="925"/>
      <c r="K179" s="982">
        <v>0</v>
      </c>
      <c r="L179" s="925"/>
      <c r="M179" s="925"/>
      <c r="N179" s="925"/>
      <c r="O179" s="925"/>
      <c r="P179" s="925"/>
      <c r="Q179" s="925"/>
      <c r="R179" s="474"/>
      <c r="S179" s="474"/>
    </row>
    <row r="180" spans="2:19" hidden="1">
      <c r="B180" s="474"/>
      <c r="C180" s="924"/>
      <c r="D180" s="1578" t="s">
        <v>2680</v>
      </c>
      <c r="E180" s="1578"/>
      <c r="F180" s="1578"/>
      <c r="G180" s="925"/>
      <c r="H180" s="925"/>
      <c r="I180" s="1875">
        <v>4.66E-4</v>
      </c>
      <c r="J180" s="925"/>
      <c r="K180" s="982">
        <v>4.9799999999999996E-4</v>
      </c>
      <c r="L180" s="925"/>
      <c r="M180" s="925"/>
      <c r="N180" s="925"/>
      <c r="O180" s="925"/>
      <c r="P180" s="925"/>
      <c r="Q180" s="925"/>
      <c r="R180" s="474"/>
      <c r="S180" s="474"/>
    </row>
    <row r="181" spans="2:19" hidden="1">
      <c r="B181" s="474"/>
      <c r="C181" s="924"/>
      <c r="D181" s="1578" t="s">
        <v>2681</v>
      </c>
      <c r="E181" s="1578"/>
      <c r="F181" s="1578"/>
      <c r="G181" s="925"/>
      <c r="H181" s="925"/>
      <c r="I181" s="1875">
        <v>5.8200000000000005E-4</v>
      </c>
      <c r="J181" s="925"/>
      <c r="K181" s="982">
        <v>0</v>
      </c>
      <c r="L181" s="925"/>
      <c r="M181" s="925"/>
      <c r="N181" s="925"/>
      <c r="O181" s="925"/>
      <c r="P181" s="925"/>
      <c r="Q181" s="925"/>
      <c r="R181" s="474"/>
      <c r="S181" s="474"/>
    </row>
    <row r="182" spans="2:19" hidden="1">
      <c r="B182" s="474"/>
      <c r="C182" s="924"/>
      <c r="D182" s="1578" t="s">
        <v>2682</v>
      </c>
      <c r="E182" s="1578"/>
      <c r="F182" s="1578"/>
      <c r="G182" s="925"/>
      <c r="H182" s="925"/>
      <c r="I182" s="1875">
        <v>4.5399999999999998E-4</v>
      </c>
      <c r="J182" s="925"/>
      <c r="K182" s="982">
        <v>4.3899999999999999E-4</v>
      </c>
      <c r="L182" s="925"/>
      <c r="M182" s="925"/>
      <c r="N182" s="925"/>
      <c r="O182" s="925"/>
      <c r="P182" s="925"/>
      <c r="Q182" s="925"/>
      <c r="R182" s="474"/>
      <c r="S182" s="474"/>
    </row>
    <row r="183" spans="2:19" ht="3" customHeight="1">
      <c r="B183" s="474"/>
      <c r="C183" s="924"/>
      <c r="D183" s="925"/>
      <c r="E183" s="474"/>
      <c r="F183" s="925"/>
      <c r="G183" s="925"/>
      <c r="H183" s="925"/>
      <c r="I183" s="1876"/>
      <c r="J183" s="925"/>
      <c r="K183" s="925"/>
      <c r="L183" s="925"/>
      <c r="M183" s="925"/>
      <c r="N183" s="925"/>
      <c r="O183" s="925"/>
      <c r="P183" s="925"/>
      <c r="Q183" s="925"/>
      <c r="R183" s="474"/>
      <c r="S183" s="474"/>
    </row>
    <row r="184" spans="2:19">
      <c r="B184" s="474"/>
      <c r="C184" s="924"/>
      <c r="D184" s="925" t="s">
        <v>1498</v>
      </c>
      <c r="E184" s="474"/>
      <c r="F184" s="925"/>
      <c r="G184" s="925"/>
      <c r="H184" s="925"/>
      <c r="I184" s="1875">
        <v>5.7899999999999998E-4</v>
      </c>
      <c r="J184" s="925"/>
      <c r="K184" s="925"/>
      <c r="L184" s="925"/>
      <c r="M184" s="925"/>
      <c r="N184" s="925"/>
      <c r="O184" s="925"/>
      <c r="P184" s="925"/>
      <c r="Q184" s="925"/>
      <c r="R184" s="474"/>
      <c r="S184" s="474"/>
    </row>
    <row r="185" spans="2:19">
      <c r="B185" s="474"/>
      <c r="C185" s="924"/>
      <c r="D185" s="924"/>
      <c r="E185" s="925"/>
      <c r="F185" s="925"/>
      <c r="G185" s="925"/>
      <c r="H185" s="925"/>
      <c r="I185" s="981"/>
      <c r="J185" s="925"/>
      <c r="K185" s="925"/>
      <c r="L185" s="925"/>
      <c r="M185" s="925"/>
      <c r="N185" s="925"/>
      <c r="O185" s="925"/>
      <c r="P185" s="925"/>
      <c r="Q185" s="925"/>
      <c r="R185" s="474"/>
      <c r="S185" s="474"/>
    </row>
    <row r="186" spans="2:19">
      <c r="B186" s="474"/>
      <c r="C186" s="931" t="s">
        <v>1499</v>
      </c>
      <c r="D186" s="924"/>
      <c r="E186" s="924"/>
      <c r="F186" s="924"/>
      <c r="G186" s="924"/>
      <c r="H186" s="924"/>
      <c r="I186" s="924"/>
      <c r="J186" s="924"/>
      <c r="K186" s="924"/>
      <c r="L186" s="924"/>
      <c r="M186" s="924"/>
      <c r="N186" s="924"/>
      <c r="O186" s="924"/>
      <c r="P186" s="924"/>
      <c r="Q186" s="924"/>
      <c r="R186" s="474"/>
      <c r="S186" s="474"/>
    </row>
    <row r="187" spans="2:19">
      <c r="B187" s="474"/>
      <c r="C187" s="474"/>
      <c r="D187" s="1368" t="s">
        <v>1928</v>
      </c>
      <c r="E187" s="1369"/>
      <c r="F187" s="1370"/>
      <c r="G187" s="474"/>
      <c r="H187" s="1371" t="s">
        <v>1964</v>
      </c>
      <c r="I187" s="1375" t="s">
        <v>847</v>
      </c>
      <c r="J187" s="1373"/>
      <c r="K187" s="1373"/>
      <c r="L187" s="1373"/>
      <c r="M187" s="1374"/>
      <c r="N187" s="1375" t="s">
        <v>1943</v>
      </c>
      <c r="O187" s="1376"/>
      <c r="P187" s="1376"/>
      <c r="Q187" s="1377"/>
      <c r="R187" s="1877" t="s">
        <v>2974</v>
      </c>
      <c r="S187" s="474"/>
    </row>
    <row r="188" spans="2:19" hidden="1">
      <c r="B188" s="474"/>
      <c r="C188" s="474"/>
      <c r="D188" s="1379"/>
      <c r="E188" s="1380"/>
      <c r="F188" s="1381"/>
      <c r="G188" s="474"/>
      <c r="H188" s="474"/>
      <c r="I188" s="1372">
        <v>300</v>
      </c>
      <c r="J188" s="1373">
        <v>2000</v>
      </c>
      <c r="K188" s="1373">
        <v>10000</v>
      </c>
      <c r="L188" s="1373">
        <v>30000</v>
      </c>
      <c r="M188" s="1374"/>
      <c r="N188" s="1382" t="e">
        <f>I96</f>
        <v>#VALUE!</v>
      </c>
      <c r="O188" s="1383">
        <f>I97</f>
        <v>4.9799999999999997E-2</v>
      </c>
      <c r="P188" s="1383">
        <f>I101</f>
        <v>6.855E-2</v>
      </c>
      <c r="Q188" s="1384"/>
      <c r="R188" s="1371"/>
      <c r="S188" s="474"/>
    </row>
    <row r="189" spans="2:19" ht="24">
      <c r="B189" s="474"/>
      <c r="C189" s="474"/>
      <c r="D189" s="1386"/>
      <c r="E189" s="1387"/>
      <c r="F189" s="1388"/>
      <c r="G189" s="474"/>
      <c r="H189" s="474"/>
      <c r="I189" s="1389" t="s">
        <v>1944</v>
      </c>
      <c r="J189" s="1390" t="s">
        <v>1945</v>
      </c>
      <c r="K189" s="1390" t="s">
        <v>1946</v>
      </c>
      <c r="L189" s="1390" t="s">
        <v>1947</v>
      </c>
      <c r="M189" s="1389" t="s">
        <v>1948</v>
      </c>
      <c r="N189" s="1389" t="s">
        <v>1949</v>
      </c>
      <c r="O189" s="1389" t="s">
        <v>1500</v>
      </c>
      <c r="P189" s="1389" t="s">
        <v>1950</v>
      </c>
      <c r="Q189" s="1389" t="s">
        <v>1345</v>
      </c>
      <c r="R189" s="1878" t="s">
        <v>2975</v>
      </c>
      <c r="S189" s="474"/>
    </row>
    <row r="190" spans="2:19" ht="14.25" customHeight="1">
      <c r="B190" s="474"/>
      <c r="C190" s="474"/>
      <c r="D190" s="1391" t="s">
        <v>1486</v>
      </c>
      <c r="E190" s="1375" t="s">
        <v>377</v>
      </c>
      <c r="F190" s="1392"/>
      <c r="G190" s="474">
        <f>メイン!R47</f>
        <v>5000</v>
      </c>
      <c r="H190" s="474">
        <f>IF(G190=0,0,IF(G190&lt;$I$188,I190,IF(G190&lt;$J$188,J190,IF(G190&lt;$K$188,K190,IF(G190&lt;$L$188,L190,M190)))))</f>
        <v>1480</v>
      </c>
      <c r="I190" s="1393">
        <v>1480</v>
      </c>
      <c r="J190" s="1393">
        <v>1480</v>
      </c>
      <c r="K190" s="1393">
        <v>1480</v>
      </c>
      <c r="L190" s="1393">
        <v>1900</v>
      </c>
      <c r="M190" s="1393">
        <v>2230</v>
      </c>
      <c r="N190" s="1860">
        <v>0.9</v>
      </c>
      <c r="O190" s="1860">
        <v>0.08</v>
      </c>
      <c r="P190" s="1860">
        <v>1.9999999999999976E-2</v>
      </c>
      <c r="Q190" s="1861" t="s">
        <v>1951</v>
      </c>
      <c r="R190" s="1396" t="e">
        <f t="shared" ref="R190:R205" si="39">SUMPRODUCT(N190:P190,$N$188:$P$188)</f>
        <v>#VALUE!</v>
      </c>
      <c r="S190" s="474"/>
    </row>
    <row r="191" spans="2:19" ht="14.25" customHeight="1">
      <c r="B191" s="474"/>
      <c r="C191" s="474"/>
      <c r="D191" s="1397"/>
      <c r="E191" s="1375" t="s">
        <v>1929</v>
      </c>
      <c r="F191" s="1392"/>
      <c r="G191" s="474">
        <f>メイン!R48</f>
        <v>0</v>
      </c>
      <c r="H191" s="474">
        <f>IF(G191=0,0,IF(G191&lt;$I$188,I191,IF(G191&lt;$J$188,J191,IF(G191&lt;$K$188,K191,IF(G191&lt;$L$188,L191,M191)))))</f>
        <v>0</v>
      </c>
      <c r="I191" s="1393">
        <v>1050</v>
      </c>
      <c r="J191" s="1393">
        <v>1050</v>
      </c>
      <c r="K191" s="1393">
        <v>1050</v>
      </c>
      <c r="L191" s="1393">
        <v>1220</v>
      </c>
      <c r="M191" s="1393">
        <v>1220</v>
      </c>
      <c r="N191" s="1860">
        <v>0.82</v>
      </c>
      <c r="O191" s="1860">
        <v>0.1</v>
      </c>
      <c r="P191" s="1860">
        <v>8.0000000000000043E-2</v>
      </c>
      <c r="Q191" s="1861" t="s">
        <v>1951</v>
      </c>
      <c r="R191" s="1396" t="e">
        <f>SUMPRODUCT(N191:P191,$N$188:$P$188)</f>
        <v>#VALUE!</v>
      </c>
      <c r="S191" s="474"/>
    </row>
    <row r="192" spans="2:19" ht="14.25" customHeight="1">
      <c r="B192" s="474"/>
      <c r="C192" s="474"/>
      <c r="D192" s="1398" t="s">
        <v>1933</v>
      </c>
      <c r="E192" s="1375" t="s">
        <v>1934</v>
      </c>
      <c r="F192" s="1392"/>
      <c r="G192" s="474">
        <f>メイン!R49</f>
        <v>0</v>
      </c>
      <c r="H192" s="474">
        <f>IF(G192=0,0,IF(G192&lt;$I$188,I192,IF(G192&lt;$J$188,J192,IF(G192&lt;$K$188,K192,IF(G192&lt;$L$188,L192,M192)))))</f>
        <v>0</v>
      </c>
      <c r="I192" s="1393">
        <v>540</v>
      </c>
      <c r="J192" s="1393">
        <v>540</v>
      </c>
      <c r="K192" s="1393">
        <v>540</v>
      </c>
      <c r="L192" s="1393">
        <v>540</v>
      </c>
      <c r="M192" s="1393">
        <v>540</v>
      </c>
      <c r="N192" s="1860">
        <v>0.68</v>
      </c>
      <c r="O192" s="1860">
        <v>0.18</v>
      </c>
      <c r="P192" s="1860">
        <v>0.13999999999999996</v>
      </c>
      <c r="Q192" s="1861" t="s">
        <v>1951</v>
      </c>
      <c r="R192" s="1396" t="e">
        <f t="shared" si="39"/>
        <v>#VALUE!</v>
      </c>
      <c r="S192" s="474"/>
    </row>
    <row r="193" spans="2:19" ht="14.25" customHeight="1">
      <c r="B193" s="474"/>
      <c r="C193" s="474"/>
      <c r="D193" s="1398"/>
      <c r="E193" s="1368" t="s">
        <v>1935</v>
      </c>
      <c r="F193" s="1389" t="s">
        <v>1936</v>
      </c>
      <c r="G193" s="474">
        <f>メイン!R50</f>
        <v>0</v>
      </c>
      <c r="H193" s="1399">
        <f>IF(G193&gt;0,I193,0)</f>
        <v>0</v>
      </c>
      <c r="I193" s="1393">
        <v>580</v>
      </c>
      <c r="J193" s="1393">
        <v>580</v>
      </c>
      <c r="K193" s="1393">
        <v>580</v>
      </c>
      <c r="L193" s="1393">
        <v>580</v>
      </c>
      <c r="M193" s="1393">
        <v>580</v>
      </c>
      <c r="N193" s="1860">
        <v>0.40660921848225862</v>
      </c>
      <c r="O193" s="1860">
        <v>8.785132326309128E-2</v>
      </c>
      <c r="P193" s="1860">
        <v>0.50553945825465008</v>
      </c>
      <c r="Q193" s="1861" t="s">
        <v>1951</v>
      </c>
      <c r="R193" s="1396" t="e">
        <f t="shared" si="39"/>
        <v>#VALUE!</v>
      </c>
      <c r="S193" s="474"/>
    </row>
    <row r="194" spans="2:19" ht="14.25" customHeight="1">
      <c r="B194" s="474"/>
      <c r="C194" s="474"/>
      <c r="D194" s="1398"/>
      <c r="E194" s="1386"/>
      <c r="F194" s="1389" t="s">
        <v>2286</v>
      </c>
      <c r="G194" s="474">
        <f>メイン!R51</f>
        <v>0</v>
      </c>
      <c r="H194" s="1399">
        <f>IF(G194&gt;0,I194,0)</f>
        <v>0</v>
      </c>
      <c r="I194" s="1393">
        <v>330</v>
      </c>
      <c r="J194" s="1393">
        <v>330</v>
      </c>
      <c r="K194" s="1393">
        <v>330</v>
      </c>
      <c r="L194" s="1393">
        <v>330</v>
      </c>
      <c r="M194" s="1393">
        <v>330</v>
      </c>
      <c r="N194" s="1860">
        <v>0.70611799443264323</v>
      </c>
      <c r="O194" s="1860">
        <v>0.22488944882084874</v>
      </c>
      <c r="P194" s="1860">
        <v>6.8992556746508032E-2</v>
      </c>
      <c r="Q194" s="1861" t="s">
        <v>1951</v>
      </c>
      <c r="R194" s="1396" t="e">
        <f t="shared" si="39"/>
        <v>#VALUE!</v>
      </c>
      <c r="S194" s="474"/>
    </row>
    <row r="195" spans="2:19" ht="14.25" customHeight="1">
      <c r="B195" s="474"/>
      <c r="C195" s="474"/>
      <c r="D195" s="1398"/>
      <c r="E195" s="1375" t="s">
        <v>1937</v>
      </c>
      <c r="F195" s="1392"/>
      <c r="G195" s="474">
        <f>メイン!R52</f>
        <v>0</v>
      </c>
      <c r="H195" s="474">
        <f t="shared" ref="H195:H205" si="40">IF(G195=0,0,IF(G195&lt;$I$188,I195,IF(G195&lt;$J$188,J195,IF(G195&lt;$K$188,K195,IF(G195&lt;$L$188,L195,M195)))))</f>
        <v>0</v>
      </c>
      <c r="I195" s="1393">
        <v>390</v>
      </c>
      <c r="J195" s="1393">
        <v>390</v>
      </c>
      <c r="K195" s="1393">
        <v>390</v>
      </c>
      <c r="L195" s="1393">
        <v>350</v>
      </c>
      <c r="M195" s="1393">
        <v>230</v>
      </c>
      <c r="N195" s="1860">
        <v>0.73</v>
      </c>
      <c r="O195" s="1860">
        <v>7.0000000000000007E-2</v>
      </c>
      <c r="P195" s="1860">
        <v>0.2</v>
      </c>
      <c r="Q195" s="1861" t="s">
        <v>1951</v>
      </c>
      <c r="R195" s="1396" t="e">
        <f t="shared" si="39"/>
        <v>#VALUE!</v>
      </c>
      <c r="S195" s="474"/>
    </row>
    <row r="196" spans="2:19" ht="14.25" customHeight="1">
      <c r="B196" s="474"/>
      <c r="C196" s="474"/>
      <c r="D196" s="1397"/>
      <c r="E196" s="1375" t="s">
        <v>1938</v>
      </c>
      <c r="F196" s="1392"/>
      <c r="G196" s="474">
        <f>メイン!R53</f>
        <v>0</v>
      </c>
      <c r="H196" s="474">
        <f t="shared" si="40"/>
        <v>0</v>
      </c>
      <c r="I196" s="1393">
        <v>840</v>
      </c>
      <c r="J196" s="1393">
        <v>840</v>
      </c>
      <c r="K196" s="1393">
        <v>840</v>
      </c>
      <c r="L196" s="1393">
        <v>870</v>
      </c>
      <c r="M196" s="1393">
        <v>1110</v>
      </c>
      <c r="N196" s="1860">
        <v>0.75</v>
      </c>
      <c r="O196" s="1860">
        <v>0.15</v>
      </c>
      <c r="P196" s="1860">
        <v>0.1</v>
      </c>
      <c r="Q196" s="1861" t="s">
        <v>1951</v>
      </c>
      <c r="R196" s="1396" t="e">
        <f t="shared" si="39"/>
        <v>#VALUE!</v>
      </c>
      <c r="S196" s="474"/>
    </row>
    <row r="197" spans="2:19" ht="14.25" customHeight="1">
      <c r="B197" s="474"/>
      <c r="C197" s="474"/>
      <c r="D197" s="1391" t="s">
        <v>1930</v>
      </c>
      <c r="E197" s="1375" t="s">
        <v>1641</v>
      </c>
      <c r="F197" s="1392"/>
      <c r="G197" s="474">
        <f>メイン!R54</f>
        <v>0</v>
      </c>
      <c r="H197" s="474">
        <f t="shared" si="40"/>
        <v>0</v>
      </c>
      <c r="I197" s="1393">
        <v>7270</v>
      </c>
      <c r="J197" s="1393">
        <v>7270</v>
      </c>
      <c r="K197" s="1393">
        <v>5010</v>
      </c>
      <c r="L197" s="1393">
        <v>3150</v>
      </c>
      <c r="M197" s="1393">
        <v>3150</v>
      </c>
      <c r="N197" s="1860">
        <v>0.92</v>
      </c>
      <c r="O197" s="1860">
        <v>0.04</v>
      </c>
      <c r="P197" s="1860">
        <v>3.9999999999999959E-2</v>
      </c>
      <c r="Q197" s="1861" t="s">
        <v>1951</v>
      </c>
      <c r="R197" s="1396" t="e">
        <f t="shared" si="39"/>
        <v>#VALUE!</v>
      </c>
      <c r="S197" s="474"/>
    </row>
    <row r="198" spans="2:19" ht="14.25" customHeight="1">
      <c r="B198" s="474"/>
      <c r="C198" s="474"/>
      <c r="D198" s="1397"/>
      <c r="E198" s="1375" t="s">
        <v>1931</v>
      </c>
      <c r="F198" s="1392"/>
      <c r="G198" s="474">
        <f>メイン!R55</f>
        <v>0</v>
      </c>
      <c r="H198" s="474">
        <f t="shared" si="40"/>
        <v>0</v>
      </c>
      <c r="I198" s="1393">
        <v>2290</v>
      </c>
      <c r="J198" s="1393">
        <v>2290</v>
      </c>
      <c r="K198" s="1393">
        <v>2290</v>
      </c>
      <c r="L198" s="1393">
        <v>2290</v>
      </c>
      <c r="M198" s="1393">
        <v>2290</v>
      </c>
      <c r="N198" s="1860">
        <v>0.93</v>
      </c>
      <c r="O198" s="1860">
        <v>0.04</v>
      </c>
      <c r="P198" s="1860">
        <v>2.999999999999995E-2</v>
      </c>
      <c r="Q198" s="1861" t="s">
        <v>1951</v>
      </c>
      <c r="R198" s="1396" t="e">
        <f t="shared" si="39"/>
        <v>#VALUE!</v>
      </c>
      <c r="S198" s="474"/>
    </row>
    <row r="199" spans="2:19" ht="14.25" customHeight="1">
      <c r="B199" s="474"/>
      <c r="C199" s="474"/>
      <c r="D199" s="1375" t="s">
        <v>380</v>
      </c>
      <c r="E199" s="1376"/>
      <c r="F199" s="1392"/>
      <c r="G199" s="474">
        <f>メイン!R56</f>
        <v>0</v>
      </c>
      <c r="H199" s="474">
        <f t="shared" si="40"/>
        <v>0</v>
      </c>
      <c r="I199" s="1393">
        <v>3150</v>
      </c>
      <c r="J199" s="1393">
        <v>3150</v>
      </c>
      <c r="K199" s="1393">
        <v>3150</v>
      </c>
      <c r="L199" s="1393">
        <v>3150</v>
      </c>
      <c r="M199" s="1393">
        <v>3150</v>
      </c>
      <c r="N199" s="1860">
        <v>0.49</v>
      </c>
      <c r="O199" s="1860">
        <v>0.38</v>
      </c>
      <c r="P199" s="1860">
        <v>0.13</v>
      </c>
      <c r="Q199" s="1861" t="s">
        <v>1951</v>
      </c>
      <c r="R199" s="1396" t="e">
        <f t="shared" si="39"/>
        <v>#VALUE!</v>
      </c>
      <c r="S199" s="474"/>
    </row>
    <row r="200" spans="2:19" ht="14.25" customHeight="1">
      <c r="B200" s="474"/>
      <c r="C200" s="474"/>
      <c r="D200" s="1391" t="s">
        <v>1939</v>
      </c>
      <c r="E200" s="1375" t="s">
        <v>1940</v>
      </c>
      <c r="F200" s="1392"/>
      <c r="G200" s="474">
        <f>メイン!R57</f>
        <v>0</v>
      </c>
      <c r="H200" s="474">
        <f t="shared" si="40"/>
        <v>0</v>
      </c>
      <c r="I200" s="1393">
        <v>980</v>
      </c>
      <c r="J200" s="1393">
        <v>980</v>
      </c>
      <c r="K200" s="1393">
        <v>980</v>
      </c>
      <c r="L200" s="1393">
        <v>1390</v>
      </c>
      <c r="M200" s="1393">
        <v>1390</v>
      </c>
      <c r="N200" s="1860">
        <v>0.76</v>
      </c>
      <c r="O200" s="1860">
        <v>0.17</v>
      </c>
      <c r="P200" s="1860">
        <v>6.9999999999999979E-2</v>
      </c>
      <c r="Q200" s="1861" t="s">
        <v>1951</v>
      </c>
      <c r="R200" s="1396" t="e">
        <f t="shared" si="39"/>
        <v>#VALUE!</v>
      </c>
      <c r="S200" s="474"/>
    </row>
    <row r="201" spans="2:19" ht="14.25" customHeight="1">
      <c r="B201" s="474"/>
      <c r="C201" s="474"/>
      <c r="D201" s="1398"/>
      <c r="E201" s="1375" t="s">
        <v>1941</v>
      </c>
      <c r="F201" s="1392"/>
      <c r="G201" s="474">
        <f>メイン!R58</f>
        <v>0</v>
      </c>
      <c r="H201" s="474">
        <f t="shared" si="40"/>
        <v>0</v>
      </c>
      <c r="I201" s="1393">
        <v>1080</v>
      </c>
      <c r="J201" s="1393">
        <v>1080</v>
      </c>
      <c r="K201" s="1393">
        <v>1080</v>
      </c>
      <c r="L201" s="1393">
        <v>1370</v>
      </c>
      <c r="M201" s="1393">
        <v>1370</v>
      </c>
      <c r="N201" s="1860">
        <v>0.81</v>
      </c>
      <c r="O201" s="1860">
        <v>0.09</v>
      </c>
      <c r="P201" s="1860">
        <v>9.999999999999995E-2</v>
      </c>
      <c r="Q201" s="1861" t="s">
        <v>1951</v>
      </c>
      <c r="R201" s="1396" t="e">
        <f t="shared" si="39"/>
        <v>#VALUE!</v>
      </c>
      <c r="S201" s="474"/>
    </row>
    <row r="202" spans="2:19" ht="14.25" customHeight="1">
      <c r="B202" s="474"/>
      <c r="C202" s="474"/>
      <c r="D202" s="1398"/>
      <c r="E202" s="1368" t="s">
        <v>1942</v>
      </c>
      <c r="F202" s="1370"/>
      <c r="G202" s="474">
        <f>メイン!R59</f>
        <v>0</v>
      </c>
      <c r="H202" s="474">
        <f t="shared" si="40"/>
        <v>0</v>
      </c>
      <c r="I202" s="1393">
        <v>1990</v>
      </c>
      <c r="J202" s="1393">
        <v>1990</v>
      </c>
      <c r="K202" s="1393">
        <v>1990</v>
      </c>
      <c r="L202" s="1393">
        <v>1400</v>
      </c>
      <c r="M202" s="1393">
        <v>1400</v>
      </c>
      <c r="N202" s="1860">
        <v>0.61</v>
      </c>
      <c r="O202" s="1860">
        <v>0.27</v>
      </c>
      <c r="P202" s="1860">
        <v>0.12</v>
      </c>
      <c r="Q202" s="1861" t="s">
        <v>1951</v>
      </c>
      <c r="R202" s="1396" t="e">
        <f t="shared" si="39"/>
        <v>#VALUE!</v>
      </c>
      <c r="S202" s="474"/>
    </row>
    <row r="203" spans="2:19" ht="14.25" customHeight="1">
      <c r="B203" s="474"/>
      <c r="C203" s="474"/>
      <c r="D203" s="1375" t="s">
        <v>385</v>
      </c>
      <c r="E203" s="1376"/>
      <c r="F203" s="1392"/>
      <c r="G203" s="474">
        <f>メイン!R60</f>
        <v>0</v>
      </c>
      <c r="H203" s="474">
        <f t="shared" si="40"/>
        <v>0</v>
      </c>
      <c r="I203" s="1393">
        <v>500</v>
      </c>
      <c r="J203" s="1393">
        <v>500</v>
      </c>
      <c r="K203" s="1393">
        <v>500</v>
      </c>
      <c r="L203" s="1393">
        <v>500</v>
      </c>
      <c r="M203" s="1393">
        <v>500</v>
      </c>
      <c r="N203" s="1860">
        <v>1</v>
      </c>
      <c r="O203" s="1860">
        <v>0</v>
      </c>
      <c r="P203" s="1860">
        <v>0</v>
      </c>
      <c r="Q203" s="1861" t="s">
        <v>1951</v>
      </c>
      <c r="R203" s="1396" t="e">
        <f t="shared" si="39"/>
        <v>#VALUE!</v>
      </c>
      <c r="S203" s="474"/>
    </row>
    <row r="204" spans="2:19" ht="14.25" customHeight="1">
      <c r="B204" s="474"/>
      <c r="C204" s="474"/>
      <c r="D204" s="1375" t="s">
        <v>382</v>
      </c>
      <c r="E204" s="1376"/>
      <c r="F204" s="1392"/>
      <c r="G204" s="474">
        <f>メイン!R61</f>
        <v>0</v>
      </c>
      <c r="H204" s="474">
        <f t="shared" si="40"/>
        <v>0</v>
      </c>
      <c r="I204" s="1393">
        <v>2200</v>
      </c>
      <c r="J204" s="1393">
        <v>2200</v>
      </c>
      <c r="K204" s="1393">
        <v>2200</v>
      </c>
      <c r="L204" s="1393">
        <v>2480</v>
      </c>
      <c r="M204" s="1393">
        <v>2990</v>
      </c>
      <c r="N204" s="1860">
        <v>0.56000000000000005</v>
      </c>
      <c r="O204" s="1860">
        <v>0.19</v>
      </c>
      <c r="P204" s="1860">
        <v>0.24999999999999994</v>
      </c>
      <c r="Q204" s="1861" t="s">
        <v>1951</v>
      </c>
      <c r="R204" s="1396" t="e">
        <f t="shared" si="39"/>
        <v>#VALUE!</v>
      </c>
      <c r="S204" s="474"/>
    </row>
    <row r="205" spans="2:19">
      <c r="B205" s="474"/>
      <c r="C205" s="474"/>
      <c r="D205" s="1375" t="s">
        <v>1932</v>
      </c>
      <c r="E205" s="1376"/>
      <c r="F205" s="1392"/>
      <c r="G205" s="474">
        <f>メイン!R62</f>
        <v>0</v>
      </c>
      <c r="H205" s="474">
        <f t="shared" si="40"/>
        <v>0</v>
      </c>
      <c r="I205" s="1393">
        <v>2450</v>
      </c>
      <c r="J205" s="1393">
        <v>2450</v>
      </c>
      <c r="K205" s="1393">
        <v>2450</v>
      </c>
      <c r="L205" s="1393">
        <v>2750</v>
      </c>
      <c r="M205" s="1393">
        <v>2830</v>
      </c>
      <c r="N205" s="1860">
        <v>0.56000000000000005</v>
      </c>
      <c r="O205" s="1860">
        <v>0.2</v>
      </c>
      <c r="P205" s="1860">
        <v>0.23999999999999994</v>
      </c>
      <c r="Q205" s="1861" t="s">
        <v>1951</v>
      </c>
      <c r="R205" s="1396" t="e">
        <f t="shared" si="39"/>
        <v>#VALUE!</v>
      </c>
      <c r="S205" s="474"/>
    </row>
    <row r="206" spans="2:19" hidden="1">
      <c r="B206" s="474"/>
      <c r="C206" s="474"/>
      <c r="D206" s="1379"/>
      <c r="E206" s="1387"/>
      <c r="F206" s="1388"/>
      <c r="G206" s="474">
        <f>メイン!R63</f>
        <v>0</v>
      </c>
      <c r="H206" s="474">
        <f>IF(G206&gt;=$I$188,I206,IF(G206&gt;=$J$188,J206,IF(G206&gt;=$K$188,K206,IF(G206&gt;=$L$188,L206,IF(G206&gt;=$M$188,M206,0)))))</f>
        <v>0</v>
      </c>
      <c r="I206" s="1393"/>
      <c r="J206" s="1393"/>
      <c r="K206" s="1393"/>
      <c r="L206" s="1393"/>
      <c r="M206" s="1393"/>
      <c r="N206" s="1862" t="e">
        <f>I96</f>
        <v>#VALUE!</v>
      </c>
      <c r="O206" s="1863">
        <f>I97</f>
        <v>4.9799999999999997E-2</v>
      </c>
      <c r="P206" s="1863">
        <f>I99</f>
        <v>6.7799999999999999E-2</v>
      </c>
      <c r="Q206" s="1864">
        <f>I102</f>
        <v>5.8999999999999997E-2</v>
      </c>
      <c r="R206" s="1371"/>
      <c r="S206" s="474"/>
    </row>
    <row r="207" spans="2:19">
      <c r="B207" s="474"/>
      <c r="C207" s="474"/>
      <c r="D207" s="1385" t="s">
        <v>1746</v>
      </c>
      <c r="E207" s="1386" t="s">
        <v>1963</v>
      </c>
      <c r="F207" s="1388"/>
      <c r="G207" s="474"/>
      <c r="H207" s="474" t="str">
        <f>IF(G207&gt;=$I$188,I207,IF(G207&gt;=$J$188,J207,IF(G207&gt;=$K$188,K207,IF(G207&gt;=$L$188,L207,IF(G207&gt;=$M$188,M207,0)))))</f>
        <v>-</v>
      </c>
      <c r="I207" s="1444" t="s">
        <v>1951</v>
      </c>
      <c r="J207" s="1444" t="s">
        <v>1951</v>
      </c>
      <c r="K207" s="1444" t="s">
        <v>1951</v>
      </c>
      <c r="L207" s="1444" t="s">
        <v>1951</v>
      </c>
      <c r="M207" s="1444" t="s">
        <v>1951</v>
      </c>
      <c r="N207" s="1860">
        <v>0.51</v>
      </c>
      <c r="O207" s="1860">
        <v>0.20399999999999999</v>
      </c>
      <c r="P207" s="1860">
        <v>0.16700000000000001</v>
      </c>
      <c r="Q207" s="1860">
        <v>0.11</v>
      </c>
      <c r="R207" s="1396" t="e">
        <f>SUMPRODUCT(N207:Q207,$N$206:$Q$206)</f>
        <v>#VALUE!</v>
      </c>
      <c r="S207" s="474"/>
    </row>
    <row r="208" spans="2:19">
      <c r="B208" s="474"/>
      <c r="C208" s="474"/>
      <c r="D208" s="1400"/>
      <c r="E208" s="1375" t="s">
        <v>388</v>
      </c>
      <c r="F208" s="1392"/>
      <c r="G208" s="474"/>
      <c r="H208" s="474" t="str">
        <f>IF(G208&gt;=$I$188,I208,IF(G208&gt;=$J$188,J208,IF(G208&gt;=$K$188,K208,IF(G208&gt;=$L$188,L208,IF(G208&gt;=$M$188,M208,0)))))</f>
        <v>-</v>
      </c>
      <c r="I208" s="1444" t="s">
        <v>1951</v>
      </c>
      <c r="J208" s="1444" t="s">
        <v>1951</v>
      </c>
      <c r="K208" s="1444" t="s">
        <v>1951</v>
      </c>
      <c r="L208" s="1444" t="s">
        <v>1951</v>
      </c>
      <c r="M208" s="1444" t="s">
        <v>1951</v>
      </c>
      <c r="N208" s="1394">
        <v>1</v>
      </c>
      <c r="O208" s="1394">
        <v>0</v>
      </c>
      <c r="P208" s="1394">
        <v>0</v>
      </c>
      <c r="Q208" s="1395" t="s">
        <v>1951</v>
      </c>
      <c r="R208" s="1396" t="e">
        <f>SUMPRODUCT(N208:P208,$N$188:$P$188)</f>
        <v>#VALUE!</v>
      </c>
      <c r="S208" s="474"/>
    </row>
    <row r="209" spans="2:27" hidden="1">
      <c r="B209" s="474"/>
      <c r="C209" s="474"/>
      <c r="D209" s="1401" t="s">
        <v>1964</v>
      </c>
      <c r="E209" s="1376"/>
      <c r="F209" s="1392"/>
      <c r="G209" s="474"/>
      <c r="H209" s="474"/>
      <c r="I209" s="1444" t="s">
        <v>1951</v>
      </c>
      <c r="J209" s="1444" t="s">
        <v>1951</v>
      </c>
      <c r="K209" s="1444" t="s">
        <v>1951</v>
      </c>
      <c r="L209" s="1444" t="s">
        <v>1951</v>
      </c>
      <c r="M209" s="1444" t="s">
        <v>1951</v>
      </c>
      <c r="N209" s="1394"/>
      <c r="O209" s="1394"/>
      <c r="P209" s="1394"/>
      <c r="Q209" s="1395" t="s">
        <v>1951</v>
      </c>
      <c r="R209" s="1396" t="e">
        <f>SUMPRODUCT(N209:Q209,$N$188:$Q$188)</f>
        <v>#VALUE!</v>
      </c>
      <c r="S209" s="474"/>
    </row>
    <row r="210" spans="2:27">
      <c r="B210" s="474"/>
      <c r="C210" s="474"/>
      <c r="D210" s="1428" t="s">
        <v>848</v>
      </c>
      <c r="E210" s="1380" t="s">
        <v>2842</v>
      </c>
      <c r="F210" s="474"/>
      <c r="G210" s="474"/>
      <c r="H210" s="474"/>
      <c r="I210" s="474"/>
      <c r="J210" s="474"/>
      <c r="K210" s="474"/>
      <c r="L210" s="474"/>
      <c r="M210" s="474"/>
      <c r="N210" s="474"/>
      <c r="O210" s="474"/>
      <c r="P210" s="1380" t="s">
        <v>1952</v>
      </c>
      <c r="Q210" s="474"/>
      <c r="R210" s="474"/>
      <c r="S210" s="474"/>
    </row>
    <row r="211" spans="2:27" ht="14.25" customHeight="1">
      <c r="B211" s="474"/>
      <c r="C211" s="474"/>
      <c r="D211" s="474"/>
      <c r="E211" s="1380" t="s">
        <v>2871</v>
      </c>
      <c r="F211" s="474"/>
      <c r="G211" s="474"/>
      <c r="H211" s="474"/>
      <c r="I211" s="474"/>
      <c r="J211" s="474"/>
      <c r="K211" s="474"/>
      <c r="L211" s="474"/>
      <c r="M211" s="474"/>
      <c r="N211" s="474"/>
      <c r="O211" s="474"/>
      <c r="P211" s="1380"/>
      <c r="Q211" s="474"/>
      <c r="R211" s="474"/>
      <c r="S211" s="474"/>
    </row>
    <row r="212" spans="2:27" ht="14.25" customHeight="1">
      <c r="B212" s="474"/>
      <c r="C212" s="474"/>
      <c r="D212" s="474"/>
      <c r="E212" s="1782" t="s">
        <v>2872</v>
      </c>
      <c r="F212" s="474"/>
      <c r="G212" s="474"/>
      <c r="H212" s="474"/>
      <c r="I212" s="474"/>
      <c r="J212" s="474"/>
      <c r="K212" s="474"/>
      <c r="L212" s="474"/>
      <c r="M212" s="474"/>
      <c r="N212" s="474"/>
      <c r="O212" s="474"/>
      <c r="P212" s="1380"/>
      <c r="Q212" s="474"/>
      <c r="R212" s="474"/>
      <c r="S212" s="474"/>
    </row>
    <row r="213" spans="2:27" ht="6.75" customHeight="1">
      <c r="B213" s="474"/>
      <c r="C213" s="474"/>
      <c r="D213" s="474"/>
      <c r="E213" s="474"/>
      <c r="F213" s="474"/>
      <c r="G213" s="474"/>
      <c r="H213" s="474"/>
      <c r="I213" s="474"/>
      <c r="J213" s="474"/>
      <c r="K213" s="474"/>
      <c r="L213" s="474"/>
      <c r="M213" s="474"/>
      <c r="N213" s="474"/>
      <c r="O213" s="474"/>
      <c r="P213" s="474"/>
      <c r="Q213" s="474"/>
      <c r="R213" s="474"/>
      <c r="S213" s="474"/>
    </row>
    <row r="214" spans="2:27" ht="14.25" customHeight="1">
      <c r="B214" s="474"/>
      <c r="C214" s="474"/>
      <c r="D214" s="1439" t="s">
        <v>2977</v>
      </c>
      <c r="E214" s="474"/>
      <c r="F214" s="474"/>
      <c r="G214" s="474"/>
      <c r="H214" s="474"/>
      <c r="I214" s="474"/>
      <c r="J214" s="474"/>
      <c r="K214" s="474"/>
      <c r="L214" s="474"/>
      <c r="M214" s="474"/>
      <c r="O214" s="474"/>
      <c r="P214" s="474"/>
      <c r="Q214" s="1428" t="s">
        <v>2484</v>
      </c>
      <c r="R214" s="474"/>
      <c r="S214" s="474"/>
    </row>
    <row r="215" spans="2:27" ht="14.25" customHeight="1">
      <c r="B215" s="474"/>
      <c r="C215" s="474"/>
      <c r="D215" s="1401" t="s">
        <v>1953</v>
      </c>
      <c r="E215" s="1402"/>
      <c r="F215" s="1378" t="s">
        <v>2952</v>
      </c>
      <c r="G215" s="474"/>
      <c r="H215" s="474"/>
      <c r="I215" s="1371" t="s">
        <v>1964</v>
      </c>
      <c r="J215" s="1401" t="s">
        <v>1954</v>
      </c>
      <c r="K215" s="1402"/>
      <c r="L215" s="1402"/>
      <c r="M215" s="1402"/>
      <c r="N215" s="1402"/>
      <c r="O215" s="1402"/>
      <c r="P215" s="1411" t="s">
        <v>2978</v>
      </c>
      <c r="Q215" s="1377"/>
      <c r="R215" s="474"/>
      <c r="T215" s="1446" t="s">
        <v>2502</v>
      </c>
      <c r="U215" s="1445"/>
      <c r="V215" s="1445"/>
      <c r="W215" s="1445"/>
      <c r="X215" s="1445"/>
      <c r="Y215" s="1445"/>
      <c r="Z215" s="1445"/>
      <c r="AA215" s="1445"/>
    </row>
    <row r="216" spans="2:27" ht="14.25" customHeight="1">
      <c r="B216" s="474"/>
      <c r="C216" s="474"/>
      <c r="D216" s="1371" t="s">
        <v>1955</v>
      </c>
      <c r="E216" s="1371" t="s">
        <v>1956</v>
      </c>
      <c r="F216" s="1385" t="s">
        <v>1129</v>
      </c>
      <c r="G216" s="474"/>
      <c r="H216" s="474">
        <v>1</v>
      </c>
      <c r="I216" s="1378" t="e">
        <f>メイン!K19</f>
        <v>#N/A</v>
      </c>
      <c r="J216" s="1371">
        <v>1</v>
      </c>
      <c r="K216" s="1371">
        <v>2</v>
      </c>
      <c r="L216" s="1371">
        <v>3</v>
      </c>
      <c r="M216" s="1371">
        <v>4</v>
      </c>
      <c r="N216" s="1371">
        <v>5</v>
      </c>
      <c r="O216" s="1371">
        <v>6</v>
      </c>
      <c r="P216" s="1371">
        <v>7</v>
      </c>
      <c r="Q216" s="1371">
        <v>8</v>
      </c>
      <c r="R216" s="474"/>
      <c r="T216" s="1447">
        <v>1</v>
      </c>
      <c r="U216" s="1447">
        <v>2</v>
      </c>
      <c r="V216" s="1447">
        <v>3</v>
      </c>
      <c r="W216" s="1447">
        <v>4</v>
      </c>
      <c r="X216" s="1447">
        <v>5</v>
      </c>
      <c r="Y216" s="1447">
        <v>6</v>
      </c>
      <c r="Z216" s="1447">
        <v>7</v>
      </c>
      <c r="AA216" s="1447">
        <v>8</v>
      </c>
    </row>
    <row r="217" spans="2:27" ht="14.25" customHeight="1">
      <c r="B217" s="474"/>
      <c r="C217" s="474"/>
      <c r="D217" s="1385"/>
      <c r="E217" s="474"/>
      <c r="F217" s="1371" t="s">
        <v>2003</v>
      </c>
      <c r="G217" s="1371" t="s">
        <v>2485</v>
      </c>
      <c r="H217" s="1371">
        <v>2</v>
      </c>
      <c r="I217" s="1403" t="e">
        <f>HLOOKUP($I$216,$J$216:$Q$234,H217)</f>
        <v>#N/A</v>
      </c>
      <c r="J217" s="1403">
        <v>1510</v>
      </c>
      <c r="K217" s="1403">
        <v>1315</v>
      </c>
      <c r="L217" s="1403">
        <v>1134</v>
      </c>
      <c r="M217" s="1403">
        <v>1316</v>
      </c>
      <c r="N217" s="1403">
        <v>1190</v>
      </c>
      <c r="O217" s="1403">
        <v>1119</v>
      </c>
      <c r="P217" s="1403">
        <v>985</v>
      </c>
      <c r="Q217" s="1403">
        <v>937</v>
      </c>
      <c r="R217" s="474"/>
      <c r="T217" s="1448">
        <f t="shared" ref="T217:AA217" si="41">MAX(J217:J234)</f>
        <v>1777</v>
      </c>
      <c r="U217" s="1448">
        <f t="shared" si="41"/>
        <v>1542</v>
      </c>
      <c r="V217" s="1448">
        <f t="shared" si="41"/>
        <v>1325</v>
      </c>
      <c r="W217" s="1448">
        <f t="shared" si="41"/>
        <v>1543</v>
      </c>
      <c r="X217" s="1448">
        <f t="shared" si="41"/>
        <v>1393</v>
      </c>
      <c r="Y217" s="1448">
        <f t="shared" si="41"/>
        <v>1308</v>
      </c>
      <c r="Z217" s="1448">
        <f t="shared" si="41"/>
        <v>1147</v>
      </c>
      <c r="AA217" s="1448">
        <f t="shared" si="41"/>
        <v>1089</v>
      </c>
    </row>
    <row r="218" spans="2:27" ht="14.25" customHeight="1">
      <c r="B218" s="474"/>
      <c r="C218" s="474"/>
      <c r="D218" s="1385" t="s">
        <v>1959</v>
      </c>
      <c r="E218" s="474" t="s">
        <v>1957</v>
      </c>
      <c r="F218" s="1371" t="s">
        <v>1958</v>
      </c>
      <c r="G218" s="1371" t="s">
        <v>1130</v>
      </c>
      <c r="H218" s="1371">
        <v>3</v>
      </c>
      <c r="I218" s="1403" t="e">
        <f t="shared" ref="I218:I233" si="42">HLOOKUP($I$216,$J$216:$Q$234,H218)</f>
        <v>#N/A</v>
      </c>
      <c r="J218" s="1403">
        <v>1777</v>
      </c>
      <c r="K218" s="1403">
        <v>1542</v>
      </c>
      <c r="L218" s="1403">
        <v>1325</v>
      </c>
      <c r="M218" s="1403">
        <v>1543</v>
      </c>
      <c r="N218" s="1403">
        <v>1393</v>
      </c>
      <c r="O218" s="1403">
        <v>1308</v>
      </c>
      <c r="P218" s="1403">
        <v>1147</v>
      </c>
      <c r="Q218" s="1403">
        <v>1089</v>
      </c>
      <c r="R218" s="474"/>
      <c r="T218" s="1449">
        <f>J217</f>
        <v>1510</v>
      </c>
      <c r="U218" s="1449">
        <f>K217</f>
        <v>1315</v>
      </c>
      <c r="V218" s="1449">
        <f>L223</f>
        <v>1069</v>
      </c>
      <c r="W218" s="1449">
        <f>M223</f>
        <v>1218</v>
      </c>
      <c r="X218" s="1449">
        <f>N223</f>
        <v>1080</v>
      </c>
      <c r="Y218" s="1449">
        <f>O223</f>
        <v>1081</v>
      </c>
      <c r="Z218" s="1449">
        <f>P223</f>
        <v>965</v>
      </c>
      <c r="AA218" s="1449">
        <f>Q217</f>
        <v>937</v>
      </c>
    </row>
    <row r="219" spans="2:27" ht="14.25" customHeight="1">
      <c r="B219" s="474"/>
      <c r="C219" s="474"/>
      <c r="D219" s="1385"/>
      <c r="E219" s="474"/>
      <c r="F219" s="1371" t="s">
        <v>2697</v>
      </c>
      <c r="G219" s="1371" t="s">
        <v>2698</v>
      </c>
      <c r="H219" s="474">
        <v>4</v>
      </c>
      <c r="I219" s="1403" t="e">
        <f t="shared" si="42"/>
        <v>#N/A</v>
      </c>
      <c r="J219" s="1403">
        <v>1510</v>
      </c>
      <c r="K219" s="1403">
        <v>1315</v>
      </c>
      <c r="L219" s="1403">
        <v>1134</v>
      </c>
      <c r="M219" s="1403">
        <v>1316</v>
      </c>
      <c r="N219" s="1403">
        <v>1190</v>
      </c>
      <c r="O219" s="1403">
        <v>1119</v>
      </c>
      <c r="P219" s="1403">
        <v>985</v>
      </c>
      <c r="Q219" s="1403">
        <v>937</v>
      </c>
      <c r="R219" s="474"/>
      <c r="S219" s="474"/>
    </row>
    <row r="220" spans="2:27" ht="14.25" customHeight="1">
      <c r="B220" s="474"/>
      <c r="C220" s="474"/>
      <c r="D220" s="1440"/>
      <c r="E220" s="1378"/>
      <c r="F220" s="1377" t="s">
        <v>2003</v>
      </c>
      <c r="G220" s="1371" t="s">
        <v>2486</v>
      </c>
      <c r="H220" s="1371">
        <v>5</v>
      </c>
      <c r="I220" s="1403" t="e">
        <f t="shared" si="42"/>
        <v>#N/A</v>
      </c>
      <c r="J220" s="1403">
        <v>1492</v>
      </c>
      <c r="K220" s="1403">
        <v>1299</v>
      </c>
      <c r="L220" s="1403">
        <v>1096</v>
      </c>
      <c r="M220" s="1403">
        <v>1242</v>
      </c>
      <c r="N220" s="1403">
        <v>1109</v>
      </c>
      <c r="O220" s="1403">
        <v>926</v>
      </c>
      <c r="P220" s="1403">
        <v>740</v>
      </c>
      <c r="Q220" s="1403">
        <v>525</v>
      </c>
      <c r="R220" s="474"/>
      <c r="S220" s="474"/>
    </row>
    <row r="221" spans="2:27" ht="14.25" customHeight="1">
      <c r="B221" s="474"/>
      <c r="C221" s="474"/>
      <c r="D221" s="1441" t="s">
        <v>1959</v>
      </c>
      <c r="E221" s="1385" t="s">
        <v>1960</v>
      </c>
      <c r="F221" s="1377" t="s">
        <v>1958</v>
      </c>
      <c r="G221" s="1371" t="s">
        <v>1131</v>
      </c>
      <c r="H221" s="1371">
        <v>6</v>
      </c>
      <c r="I221" s="1403" t="e">
        <f t="shared" si="42"/>
        <v>#N/A</v>
      </c>
      <c r="J221" s="1403">
        <v>1755</v>
      </c>
      <c r="K221" s="1403">
        <v>1523</v>
      </c>
      <c r="L221" s="1403">
        <v>1279</v>
      </c>
      <c r="M221" s="1403">
        <v>1455</v>
      </c>
      <c r="N221" s="1403">
        <v>1295</v>
      </c>
      <c r="O221" s="1403">
        <v>1076</v>
      </c>
      <c r="P221" s="1403">
        <v>852</v>
      </c>
      <c r="Q221" s="1403">
        <v>595</v>
      </c>
      <c r="R221" s="474"/>
      <c r="S221" s="474"/>
    </row>
    <row r="222" spans="2:27" ht="14.25" customHeight="1">
      <c r="B222" s="474"/>
      <c r="C222" s="474"/>
      <c r="D222" s="1442"/>
      <c r="E222" s="1400"/>
      <c r="F222" s="1371" t="s">
        <v>2697</v>
      </c>
      <c r="G222" s="1371" t="s">
        <v>2699</v>
      </c>
      <c r="H222" s="474">
        <v>7</v>
      </c>
      <c r="I222" s="1403" t="e">
        <f t="shared" si="42"/>
        <v>#N/A</v>
      </c>
      <c r="J222" s="1403">
        <v>1492</v>
      </c>
      <c r="K222" s="1403">
        <v>1299</v>
      </c>
      <c r="L222" s="1403">
        <v>1096</v>
      </c>
      <c r="M222" s="1403">
        <v>1242</v>
      </c>
      <c r="N222" s="1403">
        <v>1109</v>
      </c>
      <c r="O222" s="1403">
        <v>926</v>
      </c>
      <c r="P222" s="1403">
        <v>740</v>
      </c>
      <c r="Q222" s="1403">
        <v>525</v>
      </c>
      <c r="R222" s="474"/>
      <c r="S222" s="474"/>
    </row>
    <row r="223" spans="2:27" ht="14.25" customHeight="1">
      <c r="B223" s="474"/>
      <c r="C223" s="474"/>
      <c r="D223" s="1378"/>
      <c r="E223" s="1378"/>
      <c r="F223" s="1371" t="s">
        <v>2003</v>
      </c>
      <c r="G223" s="1371" t="s">
        <v>2487</v>
      </c>
      <c r="H223" s="1371">
        <v>8</v>
      </c>
      <c r="I223" s="1403" t="e">
        <f t="shared" si="42"/>
        <v>#N/A</v>
      </c>
      <c r="J223" s="1403">
        <v>1252</v>
      </c>
      <c r="K223" s="1403">
        <v>1176</v>
      </c>
      <c r="L223" s="1403">
        <v>1069</v>
      </c>
      <c r="M223" s="1403">
        <v>1218</v>
      </c>
      <c r="N223" s="1403">
        <v>1080</v>
      </c>
      <c r="O223" s="1403">
        <v>1081</v>
      </c>
      <c r="P223" s="1403">
        <v>965</v>
      </c>
      <c r="Q223" s="1403">
        <v>937</v>
      </c>
      <c r="R223" s="474"/>
      <c r="S223" s="474"/>
    </row>
    <row r="224" spans="2:27" ht="14.25" customHeight="1">
      <c r="B224" s="474"/>
      <c r="C224" s="474"/>
      <c r="D224" s="1385" t="s">
        <v>1961</v>
      </c>
      <c r="E224" s="1385" t="s">
        <v>1957</v>
      </c>
      <c r="F224" s="1371" t="s">
        <v>1958</v>
      </c>
      <c r="G224" s="1371" t="s">
        <v>1132</v>
      </c>
      <c r="H224" s="1371">
        <v>9</v>
      </c>
      <c r="I224" s="1403" t="e">
        <f t="shared" si="42"/>
        <v>#N/A</v>
      </c>
      <c r="J224" s="1403">
        <v>1467</v>
      </c>
      <c r="K224" s="1403">
        <v>1376</v>
      </c>
      <c r="L224" s="1403">
        <v>1248</v>
      </c>
      <c r="M224" s="1403">
        <v>1426</v>
      </c>
      <c r="N224" s="1403">
        <v>1260</v>
      </c>
      <c r="O224" s="1403">
        <v>1261</v>
      </c>
      <c r="P224" s="1403">
        <v>1122</v>
      </c>
      <c r="Q224" s="1403">
        <v>1089</v>
      </c>
      <c r="R224" s="474"/>
      <c r="S224" s="474"/>
    </row>
    <row r="225" spans="2:19" ht="14.25" customHeight="1">
      <c r="B225" s="474"/>
      <c r="C225" s="474"/>
      <c r="D225" s="1385"/>
      <c r="E225" s="1385"/>
      <c r="F225" s="1371" t="s">
        <v>2697</v>
      </c>
      <c r="G225" s="1371" t="s">
        <v>2700</v>
      </c>
      <c r="H225" s="474">
        <v>10</v>
      </c>
      <c r="I225" s="1403" t="e">
        <f t="shared" si="42"/>
        <v>#N/A</v>
      </c>
      <c r="J225" s="1403">
        <v>1252</v>
      </c>
      <c r="K225" s="1403">
        <v>1176</v>
      </c>
      <c r="L225" s="1403">
        <v>1069</v>
      </c>
      <c r="M225" s="1403">
        <v>1218</v>
      </c>
      <c r="N225" s="1403">
        <v>1080</v>
      </c>
      <c r="O225" s="1403">
        <v>1081</v>
      </c>
      <c r="P225" s="1403">
        <v>965</v>
      </c>
      <c r="Q225" s="1403">
        <v>937</v>
      </c>
      <c r="R225" s="474"/>
      <c r="S225" s="474"/>
    </row>
    <row r="226" spans="2:19" ht="14.25" customHeight="1">
      <c r="B226" s="474"/>
      <c r="C226" s="474"/>
      <c r="D226" s="1440"/>
      <c r="E226" s="1378"/>
      <c r="F226" s="1377" t="s">
        <v>2003</v>
      </c>
      <c r="G226" s="1371" t="s">
        <v>2488</v>
      </c>
      <c r="H226" s="1371">
        <v>11</v>
      </c>
      <c r="I226" s="1403" t="e">
        <f t="shared" si="42"/>
        <v>#N/A</v>
      </c>
      <c r="J226" s="1403">
        <v>1233</v>
      </c>
      <c r="K226" s="1403">
        <v>1160</v>
      </c>
      <c r="L226" s="1403">
        <v>1031</v>
      </c>
      <c r="M226" s="1403">
        <v>1144</v>
      </c>
      <c r="N226" s="1403">
        <v>998</v>
      </c>
      <c r="O226" s="1403">
        <v>887</v>
      </c>
      <c r="P226" s="1403">
        <v>720</v>
      </c>
      <c r="Q226" s="1403">
        <v>525</v>
      </c>
      <c r="R226" s="474"/>
      <c r="S226" s="474"/>
    </row>
    <row r="227" spans="2:19" ht="14.25" customHeight="1">
      <c r="B227" s="474"/>
      <c r="C227" s="474"/>
      <c r="D227" s="1441" t="s">
        <v>1961</v>
      </c>
      <c r="E227" s="1385" t="s">
        <v>1960</v>
      </c>
      <c r="F227" s="1377" t="s">
        <v>1958</v>
      </c>
      <c r="G227" s="1371" t="s">
        <v>1133</v>
      </c>
      <c r="H227" s="1371">
        <v>12</v>
      </c>
      <c r="I227" s="1403" t="e">
        <f t="shared" si="42"/>
        <v>#N/A</v>
      </c>
      <c r="J227" s="1403">
        <v>1444</v>
      </c>
      <c r="K227" s="1403">
        <v>1357</v>
      </c>
      <c r="L227" s="1403">
        <v>1202</v>
      </c>
      <c r="M227" s="1403">
        <v>1338</v>
      </c>
      <c r="N227" s="1403">
        <v>1163</v>
      </c>
      <c r="O227" s="1403">
        <v>1029</v>
      </c>
      <c r="P227" s="1403">
        <v>828</v>
      </c>
      <c r="Q227" s="1403">
        <v>595</v>
      </c>
      <c r="R227" s="474"/>
      <c r="S227" s="474"/>
    </row>
    <row r="228" spans="2:19">
      <c r="B228" s="474"/>
      <c r="C228" s="474"/>
      <c r="D228" s="1442"/>
      <c r="E228" s="1400"/>
      <c r="F228" s="1371" t="s">
        <v>2697</v>
      </c>
      <c r="G228" s="1371" t="s">
        <v>2701</v>
      </c>
      <c r="H228" s="474">
        <v>13</v>
      </c>
      <c r="I228" s="1403" t="e">
        <f t="shared" si="42"/>
        <v>#N/A</v>
      </c>
      <c r="J228" s="1403">
        <v>1233</v>
      </c>
      <c r="K228" s="1403">
        <v>1160</v>
      </c>
      <c r="L228" s="1403">
        <v>1031</v>
      </c>
      <c r="M228" s="1403">
        <v>1144</v>
      </c>
      <c r="N228" s="1403">
        <v>998</v>
      </c>
      <c r="O228" s="1403">
        <v>887</v>
      </c>
      <c r="P228" s="1403">
        <v>720</v>
      </c>
      <c r="Q228" s="1403">
        <v>525</v>
      </c>
      <c r="R228" s="474"/>
      <c r="S228" s="474"/>
    </row>
    <row r="229" spans="2:19">
      <c r="B229" s="474"/>
      <c r="C229" s="474"/>
      <c r="D229" s="1378"/>
      <c r="E229" s="1427"/>
      <c r="F229" s="1371" t="s">
        <v>2003</v>
      </c>
      <c r="G229" s="1371" t="s">
        <v>2489</v>
      </c>
      <c r="H229" s="1371">
        <v>14</v>
      </c>
      <c r="I229" s="1403" t="e">
        <f t="shared" si="42"/>
        <v>#N/A</v>
      </c>
      <c r="J229" s="1403">
        <v>957</v>
      </c>
      <c r="K229" s="1403">
        <v>905</v>
      </c>
      <c r="L229" s="1403">
        <v>839</v>
      </c>
      <c r="M229" s="1403">
        <v>924</v>
      </c>
      <c r="N229" s="1403">
        <v>813</v>
      </c>
      <c r="O229" s="1403">
        <v>870</v>
      </c>
      <c r="P229" s="1403">
        <v>848</v>
      </c>
      <c r="Q229" s="1403">
        <v>937</v>
      </c>
      <c r="R229" s="474"/>
      <c r="S229" s="474"/>
    </row>
    <row r="230" spans="2:19">
      <c r="B230" s="474"/>
      <c r="C230" s="474"/>
      <c r="D230" s="1385" t="s">
        <v>1962</v>
      </c>
      <c r="E230" s="1443" t="s">
        <v>1957</v>
      </c>
      <c r="F230" s="1371" t="s">
        <v>1958</v>
      </c>
      <c r="G230" s="1371" t="s">
        <v>1134</v>
      </c>
      <c r="H230" s="1371">
        <v>15</v>
      </c>
      <c r="I230" s="1403" t="e">
        <f t="shared" si="42"/>
        <v>#N/A</v>
      </c>
      <c r="J230" s="1403">
        <v>1113</v>
      </c>
      <c r="K230" s="1403">
        <v>1051</v>
      </c>
      <c r="L230" s="1403">
        <v>972</v>
      </c>
      <c r="M230" s="1403">
        <v>1073</v>
      </c>
      <c r="N230" s="1403">
        <v>940</v>
      </c>
      <c r="O230" s="1403">
        <v>1009</v>
      </c>
      <c r="P230" s="1403">
        <v>983</v>
      </c>
      <c r="Q230" s="1403">
        <v>1089</v>
      </c>
      <c r="R230" s="474"/>
      <c r="S230" s="474"/>
    </row>
    <row r="231" spans="2:19">
      <c r="B231" s="474"/>
      <c r="C231" s="474"/>
      <c r="D231" s="1385"/>
      <c r="E231" s="1443"/>
      <c r="F231" s="1371" t="s">
        <v>674</v>
      </c>
      <c r="G231" s="1371" t="s">
        <v>2702</v>
      </c>
      <c r="H231" s="474">
        <v>16</v>
      </c>
      <c r="I231" s="1403" t="e">
        <f t="shared" si="42"/>
        <v>#N/A</v>
      </c>
      <c r="J231" s="1403">
        <v>957</v>
      </c>
      <c r="K231" s="1403">
        <v>905</v>
      </c>
      <c r="L231" s="1403">
        <v>839</v>
      </c>
      <c r="M231" s="1403">
        <v>924</v>
      </c>
      <c r="N231" s="1403">
        <v>813</v>
      </c>
      <c r="O231" s="1403">
        <v>870</v>
      </c>
      <c r="P231" s="1403">
        <v>848</v>
      </c>
      <c r="Q231" s="1403">
        <v>937</v>
      </c>
      <c r="R231" s="474"/>
      <c r="S231" s="474"/>
    </row>
    <row r="232" spans="2:19">
      <c r="B232" s="474"/>
      <c r="C232" s="474"/>
      <c r="D232" s="1440"/>
      <c r="E232" s="1378"/>
      <c r="F232" s="1377" t="s">
        <v>2003</v>
      </c>
      <c r="G232" s="1371" t="s">
        <v>2490</v>
      </c>
      <c r="H232" s="1371">
        <v>17</v>
      </c>
      <c r="I232" s="1403" t="e">
        <f t="shared" si="42"/>
        <v>#N/A</v>
      </c>
      <c r="J232" s="1403">
        <v>939</v>
      </c>
      <c r="K232" s="1403">
        <v>889</v>
      </c>
      <c r="L232" s="1403">
        <v>801</v>
      </c>
      <c r="M232" s="1403">
        <v>850</v>
      </c>
      <c r="N232" s="1403">
        <v>732</v>
      </c>
      <c r="O232" s="1403">
        <v>677</v>
      </c>
      <c r="P232" s="1403">
        <v>603</v>
      </c>
      <c r="Q232" s="1403">
        <v>525</v>
      </c>
      <c r="R232" s="474"/>
      <c r="S232" s="474"/>
    </row>
    <row r="233" spans="2:19">
      <c r="B233" s="474"/>
      <c r="C233" s="474"/>
      <c r="D233" s="1441" t="s">
        <v>1962</v>
      </c>
      <c r="E233" s="1385" t="s">
        <v>1960</v>
      </c>
      <c r="F233" s="1377" t="s">
        <v>1958</v>
      </c>
      <c r="G233" s="1371" t="s">
        <v>2491</v>
      </c>
      <c r="H233" s="1371">
        <v>18</v>
      </c>
      <c r="I233" s="1403" t="e">
        <f t="shared" si="42"/>
        <v>#N/A</v>
      </c>
      <c r="J233" s="1403">
        <v>1091</v>
      </c>
      <c r="K233" s="1403">
        <v>1031</v>
      </c>
      <c r="L233" s="1403">
        <v>926</v>
      </c>
      <c r="M233" s="1403">
        <v>985</v>
      </c>
      <c r="N233" s="1403">
        <v>843</v>
      </c>
      <c r="O233" s="1403">
        <v>777</v>
      </c>
      <c r="P233" s="1403">
        <v>689</v>
      </c>
      <c r="Q233" s="1403">
        <v>595</v>
      </c>
      <c r="R233" s="474"/>
      <c r="S233" s="474"/>
    </row>
    <row r="234" spans="2:19">
      <c r="B234" s="474"/>
      <c r="C234" s="474"/>
      <c r="D234" s="1442"/>
      <c r="E234" s="1400"/>
      <c r="F234" s="1371" t="s">
        <v>2697</v>
      </c>
      <c r="G234" s="1371" t="s">
        <v>2703</v>
      </c>
      <c r="H234" s="1371">
        <v>19</v>
      </c>
      <c r="I234" s="1403" t="e">
        <f>HLOOKUP($I$216,$J$216:$Q$234,H234)</f>
        <v>#N/A</v>
      </c>
      <c r="J234" s="1403">
        <v>939</v>
      </c>
      <c r="K234" s="1403">
        <v>889</v>
      </c>
      <c r="L234" s="1403">
        <v>801</v>
      </c>
      <c r="M234" s="1403">
        <v>850</v>
      </c>
      <c r="N234" s="1403">
        <v>732</v>
      </c>
      <c r="O234" s="1403">
        <v>677</v>
      </c>
      <c r="P234" s="1403">
        <v>603</v>
      </c>
      <c r="Q234" s="1403">
        <v>525</v>
      </c>
      <c r="R234" s="474"/>
      <c r="S234" s="474"/>
    </row>
    <row r="235" spans="2:19" hidden="1">
      <c r="B235" s="474"/>
      <c r="C235" s="474"/>
      <c r="D235" s="1404">
        <f>計画書!F64</f>
        <v>0</v>
      </c>
      <c r="E235" s="1404">
        <f>計画書!L64</f>
        <v>0</v>
      </c>
      <c r="F235" s="474" t="str">
        <f>計画書!F62</f>
        <v>算定プログラムによる評価</v>
      </c>
      <c r="G235" s="1450" t="str">
        <f>IFERROR(D235&amp;E235&amp;計画書!F62,"-")</f>
        <v>00算定プログラムによる評価</v>
      </c>
      <c r="H235" s="1450" t="str">
        <f>IFERROR(VLOOKUP(G235,G217:H234,2,0),"-")</f>
        <v>-</v>
      </c>
      <c r="I235" s="1451" t="e">
        <f>IF(H235="-",HLOOKUP($I$216,$T$216:$AA$218,2,FALSE),VLOOKUP(H235,$H$217:$I$234,2))</f>
        <v>#N/A</v>
      </c>
      <c r="J235" s="474"/>
      <c r="K235" s="474"/>
      <c r="L235" s="474"/>
      <c r="M235" s="474"/>
      <c r="N235" s="474"/>
      <c r="O235" s="474"/>
      <c r="P235" s="474"/>
      <c r="Q235" s="474"/>
      <c r="R235" s="474"/>
      <c r="S235" s="474"/>
    </row>
    <row r="236" spans="2:19" hidden="1">
      <c r="B236" s="474"/>
      <c r="C236" s="474"/>
      <c r="D236" s="474"/>
      <c r="E236" s="474"/>
      <c r="F236" s="474"/>
      <c r="G236" s="474" t="str">
        <f>D235&amp;E235&amp;0</f>
        <v>000</v>
      </c>
      <c r="H236" s="1450" t="str">
        <f>IFERROR(VLOOKUP(G236,G217:H234,2,0),"-")</f>
        <v>-</v>
      </c>
      <c r="I236" s="1451" t="e">
        <f>IF(H236="-",HLOOKUP($I$216,$T$216:$AA$218,3,FALSE),VLOOKUP(H236,$H$217:$I$234,2))</f>
        <v>#N/A</v>
      </c>
      <c r="J236" s="474"/>
      <c r="K236" s="474"/>
      <c r="L236" s="474"/>
      <c r="M236" s="474"/>
      <c r="N236" s="474"/>
      <c r="O236" s="474"/>
      <c r="P236" s="474"/>
      <c r="Q236" s="474"/>
      <c r="R236" s="474"/>
      <c r="S236" s="474"/>
    </row>
    <row r="237" spans="2:19">
      <c r="B237" s="474"/>
      <c r="C237" s="474"/>
      <c r="D237" s="924"/>
      <c r="E237" s="925"/>
      <c r="F237" s="925"/>
      <c r="G237" s="925"/>
      <c r="H237" s="925"/>
      <c r="I237" s="981"/>
      <c r="J237" s="975"/>
      <c r="K237" s="925"/>
      <c r="L237" s="925"/>
      <c r="M237" s="925"/>
      <c r="N237" s="925"/>
      <c r="O237" s="925"/>
      <c r="P237" s="925"/>
      <c r="Q237" s="925"/>
      <c r="R237" s="474"/>
      <c r="S237" s="474"/>
    </row>
    <row r="238" spans="2:19">
      <c r="C238" s="985" t="s">
        <v>2465</v>
      </c>
      <c r="D238" s="925"/>
      <c r="E238" s="925"/>
      <c r="F238" s="925"/>
      <c r="G238" s="925"/>
      <c r="H238" s="925"/>
      <c r="I238" s="925"/>
      <c r="J238" s="925"/>
      <c r="K238" s="925"/>
      <c r="L238" s="925"/>
      <c r="M238" s="925"/>
      <c r="N238" s="925"/>
      <c r="O238" s="925"/>
      <c r="P238" s="925"/>
      <c r="Q238" s="925"/>
    </row>
    <row r="239" spans="2:19">
      <c r="C239" s="986"/>
      <c r="D239" s="925"/>
      <c r="E239" s="925"/>
      <c r="F239" s="925"/>
      <c r="G239" s="925"/>
      <c r="H239" s="925"/>
      <c r="I239" s="925"/>
      <c r="J239" s="925"/>
      <c r="K239" s="925"/>
      <c r="L239" s="925"/>
      <c r="M239" s="925"/>
      <c r="N239" s="925"/>
      <c r="O239" s="925"/>
      <c r="P239" s="925"/>
      <c r="Q239" s="925"/>
    </row>
    <row r="240" spans="2:19">
      <c r="C240" s="930" t="s">
        <v>2193</v>
      </c>
      <c r="D240" s="925"/>
      <c r="E240" s="925"/>
      <c r="F240" s="925"/>
      <c r="G240" s="925"/>
      <c r="H240" s="925"/>
      <c r="I240" s="932" t="s">
        <v>637</v>
      </c>
      <c r="J240" s="928"/>
      <c r="K240" s="933"/>
      <c r="L240" s="932" t="s">
        <v>636</v>
      </c>
      <c r="M240" s="928"/>
      <c r="N240" s="933"/>
      <c r="O240" s="932" t="s">
        <v>638</v>
      </c>
      <c r="P240" s="928"/>
      <c r="Q240" s="933"/>
    </row>
    <row r="241" spans="3:17">
      <c r="C241" s="925"/>
      <c r="D241" s="930" t="s">
        <v>2194</v>
      </c>
      <c r="E241" s="925"/>
      <c r="F241" s="925"/>
      <c r="G241" s="963"/>
      <c r="H241" s="963"/>
      <c r="I241" s="939" t="s">
        <v>425</v>
      </c>
      <c r="J241" s="939" t="s">
        <v>426</v>
      </c>
      <c r="K241" s="939" t="s">
        <v>427</v>
      </c>
      <c r="L241" s="939" t="s">
        <v>425</v>
      </c>
      <c r="M241" s="939" t="s">
        <v>426</v>
      </c>
      <c r="N241" s="939" t="s">
        <v>427</v>
      </c>
      <c r="O241" s="939" t="s">
        <v>425</v>
      </c>
      <c r="P241" s="939" t="s">
        <v>426</v>
      </c>
      <c r="Q241" s="939" t="s">
        <v>427</v>
      </c>
    </row>
    <row r="242" spans="3:17">
      <c r="C242" s="925"/>
      <c r="D242" s="925"/>
      <c r="E242" s="934" t="s">
        <v>428</v>
      </c>
      <c r="F242" s="983"/>
      <c r="G242" s="963">
        <v>1</v>
      </c>
      <c r="H242" s="963"/>
      <c r="I242" s="987">
        <v>60</v>
      </c>
      <c r="J242" s="987">
        <v>60</v>
      </c>
      <c r="K242" s="987">
        <v>60</v>
      </c>
      <c r="L242" s="987">
        <v>60</v>
      </c>
      <c r="M242" s="987">
        <v>60</v>
      </c>
      <c r="N242" s="987">
        <v>60</v>
      </c>
      <c r="O242" s="987">
        <v>60</v>
      </c>
      <c r="P242" s="987">
        <v>60</v>
      </c>
      <c r="Q242" s="987">
        <v>60</v>
      </c>
    </row>
    <row r="243" spans="3:17">
      <c r="C243" s="925"/>
      <c r="D243" s="925"/>
      <c r="E243" s="934" t="s">
        <v>378</v>
      </c>
      <c r="F243" s="983"/>
      <c r="G243" s="963">
        <v>2</v>
      </c>
      <c r="H243" s="963"/>
      <c r="I243" s="987">
        <v>60</v>
      </c>
      <c r="J243" s="987">
        <v>60</v>
      </c>
      <c r="K243" s="987">
        <v>60</v>
      </c>
      <c r="L243" s="987">
        <v>60</v>
      </c>
      <c r="M243" s="987">
        <v>60</v>
      </c>
      <c r="N243" s="987">
        <v>60</v>
      </c>
      <c r="O243" s="987">
        <v>60</v>
      </c>
      <c r="P243" s="987">
        <v>60</v>
      </c>
      <c r="Q243" s="987">
        <v>60</v>
      </c>
    </row>
    <row r="244" spans="3:17">
      <c r="C244" s="925"/>
      <c r="D244" s="925"/>
      <c r="E244" s="934" t="s">
        <v>379</v>
      </c>
      <c r="F244" s="983"/>
      <c r="G244" s="963">
        <v>3</v>
      </c>
      <c r="H244" s="963"/>
      <c r="I244" s="987">
        <v>30</v>
      </c>
      <c r="J244" s="987">
        <v>30</v>
      </c>
      <c r="K244" s="987">
        <v>30</v>
      </c>
      <c r="L244" s="987">
        <v>30</v>
      </c>
      <c r="M244" s="987">
        <v>30</v>
      </c>
      <c r="N244" s="987">
        <v>30</v>
      </c>
      <c r="O244" s="987">
        <v>30</v>
      </c>
      <c r="P244" s="987">
        <v>30</v>
      </c>
      <c r="Q244" s="987">
        <v>30</v>
      </c>
    </row>
    <row r="245" spans="3:17">
      <c r="C245" s="925"/>
      <c r="D245" s="925"/>
      <c r="E245" s="934" t="s">
        <v>380</v>
      </c>
      <c r="F245" s="983"/>
      <c r="G245" s="963">
        <v>4</v>
      </c>
      <c r="H245" s="963"/>
      <c r="I245" s="987">
        <v>30</v>
      </c>
      <c r="J245" s="987">
        <v>30</v>
      </c>
      <c r="K245" s="987">
        <v>30</v>
      </c>
      <c r="L245" s="987">
        <v>30</v>
      </c>
      <c r="M245" s="987">
        <v>30</v>
      </c>
      <c r="N245" s="987">
        <v>30</v>
      </c>
      <c r="O245" s="987">
        <v>30</v>
      </c>
      <c r="P245" s="987">
        <v>30</v>
      </c>
      <c r="Q245" s="987">
        <v>30</v>
      </c>
    </row>
    <row r="246" spans="3:17">
      <c r="C246" s="925"/>
      <c r="D246" s="925"/>
      <c r="E246" s="934" t="s">
        <v>1643</v>
      </c>
      <c r="F246" s="983"/>
      <c r="G246" s="963">
        <v>5</v>
      </c>
      <c r="H246" s="963"/>
      <c r="I246" s="987">
        <v>60</v>
      </c>
      <c r="J246" s="987">
        <v>60</v>
      </c>
      <c r="K246" s="987">
        <v>60</v>
      </c>
      <c r="L246" s="987">
        <v>60</v>
      </c>
      <c r="M246" s="987">
        <v>60</v>
      </c>
      <c r="N246" s="987">
        <v>60</v>
      </c>
      <c r="O246" s="987">
        <v>60</v>
      </c>
      <c r="P246" s="987">
        <v>60</v>
      </c>
      <c r="Q246" s="987">
        <v>60</v>
      </c>
    </row>
    <row r="247" spans="3:17">
      <c r="C247" s="925"/>
      <c r="D247" s="925"/>
      <c r="E247" s="934" t="s">
        <v>385</v>
      </c>
      <c r="F247" s="983"/>
      <c r="G247" s="963">
        <v>6</v>
      </c>
      <c r="H247" s="963"/>
      <c r="I247" s="987">
        <v>30</v>
      </c>
      <c r="J247" s="987">
        <v>30</v>
      </c>
      <c r="K247" s="987">
        <v>30</v>
      </c>
      <c r="L247" s="987">
        <v>30</v>
      </c>
      <c r="M247" s="987">
        <v>30</v>
      </c>
      <c r="N247" s="987">
        <v>30</v>
      </c>
      <c r="O247" s="987">
        <v>30</v>
      </c>
      <c r="P247" s="987">
        <v>30</v>
      </c>
      <c r="Q247" s="987">
        <v>30</v>
      </c>
    </row>
    <row r="248" spans="3:17">
      <c r="C248" s="925"/>
      <c r="D248" s="925"/>
      <c r="E248" s="934" t="s">
        <v>382</v>
      </c>
      <c r="F248" s="983"/>
      <c r="G248" s="963">
        <v>7</v>
      </c>
      <c r="H248" s="963"/>
      <c r="I248" s="987">
        <v>60</v>
      </c>
      <c r="J248" s="987">
        <v>60</v>
      </c>
      <c r="K248" s="987">
        <v>60</v>
      </c>
      <c r="L248" s="987">
        <v>60</v>
      </c>
      <c r="M248" s="987">
        <v>60</v>
      </c>
      <c r="N248" s="987">
        <v>60</v>
      </c>
      <c r="O248" s="987">
        <v>60</v>
      </c>
      <c r="P248" s="987">
        <v>60</v>
      </c>
      <c r="Q248" s="987">
        <v>60</v>
      </c>
    </row>
    <row r="249" spans="3:17">
      <c r="C249" s="925"/>
      <c r="D249" s="925"/>
      <c r="E249" s="934" t="s">
        <v>276</v>
      </c>
      <c r="F249" s="983"/>
      <c r="G249" s="963">
        <v>8</v>
      </c>
      <c r="H249" s="963"/>
      <c r="I249" s="987">
        <v>60</v>
      </c>
      <c r="J249" s="987">
        <v>60</v>
      </c>
      <c r="K249" s="987">
        <v>60</v>
      </c>
      <c r="L249" s="987">
        <v>60</v>
      </c>
      <c r="M249" s="987">
        <v>60</v>
      </c>
      <c r="N249" s="987">
        <v>60</v>
      </c>
      <c r="O249" s="987">
        <v>60</v>
      </c>
      <c r="P249" s="987">
        <v>60</v>
      </c>
      <c r="Q249" s="987">
        <v>60</v>
      </c>
    </row>
    <row r="250" spans="3:17">
      <c r="C250" s="925"/>
      <c r="D250" s="925"/>
      <c r="E250" s="934" t="s">
        <v>384</v>
      </c>
      <c r="F250" s="983"/>
      <c r="G250" s="963">
        <v>9</v>
      </c>
      <c r="H250" s="963"/>
      <c r="I250" s="987">
        <v>30</v>
      </c>
      <c r="J250" s="987">
        <v>60</v>
      </c>
      <c r="K250" s="987">
        <v>90</v>
      </c>
      <c r="L250" s="987">
        <v>30</v>
      </c>
      <c r="M250" s="987">
        <v>60</v>
      </c>
      <c r="N250" s="987">
        <v>90</v>
      </c>
      <c r="O250" s="987">
        <v>30</v>
      </c>
      <c r="P250" s="987">
        <v>60</v>
      </c>
      <c r="Q250" s="987">
        <v>90</v>
      </c>
    </row>
    <row r="251" spans="3:17">
      <c r="C251" s="930"/>
      <c r="D251" s="930"/>
      <c r="E251" s="925"/>
      <c r="F251" s="925"/>
      <c r="G251" s="925"/>
      <c r="H251" s="925"/>
      <c r="I251" s="988"/>
      <c r="J251" s="988"/>
      <c r="K251" s="988"/>
      <c r="L251" s="988"/>
      <c r="M251" s="988"/>
      <c r="N251" s="988"/>
      <c r="O251" s="988"/>
      <c r="P251" s="988"/>
      <c r="Q251" s="988"/>
    </row>
    <row r="252" spans="3:17">
      <c r="C252" s="930" t="s">
        <v>2007</v>
      </c>
      <c r="D252" s="930"/>
      <c r="E252" s="925"/>
      <c r="F252" s="925"/>
      <c r="G252" s="925"/>
      <c r="H252" s="925"/>
      <c r="I252" s="512" t="s">
        <v>2195</v>
      </c>
      <c r="J252" s="513" t="s">
        <v>2979</v>
      </c>
      <c r="K252" s="513" t="s">
        <v>2196</v>
      </c>
      <c r="L252" s="512" t="s">
        <v>2195</v>
      </c>
      <c r="M252" s="513" t="s">
        <v>2979</v>
      </c>
      <c r="N252" s="513" t="s">
        <v>2196</v>
      </c>
      <c r="O252" s="512" t="s">
        <v>2195</v>
      </c>
      <c r="P252" s="513" t="s">
        <v>2979</v>
      </c>
      <c r="Q252" s="513" t="s">
        <v>2196</v>
      </c>
    </row>
    <row r="253" spans="3:17">
      <c r="C253" s="925"/>
      <c r="D253" s="925" t="s">
        <v>1486</v>
      </c>
      <c r="E253" s="925" t="s">
        <v>2010</v>
      </c>
      <c r="F253" s="925" t="s">
        <v>2011</v>
      </c>
      <c r="G253" s="925"/>
      <c r="H253" s="925"/>
      <c r="I253" s="989">
        <v>0.56699999999999995</v>
      </c>
      <c r="J253" s="989">
        <v>0</v>
      </c>
      <c r="K253" s="989">
        <v>0</v>
      </c>
      <c r="L253" s="989">
        <v>0.77200000000000002</v>
      </c>
      <c r="M253" s="989">
        <v>0</v>
      </c>
      <c r="N253" s="989">
        <v>0</v>
      </c>
      <c r="O253" s="989">
        <v>0.69599999999999995</v>
      </c>
      <c r="P253" s="989">
        <v>0</v>
      </c>
      <c r="Q253" s="989">
        <v>0</v>
      </c>
    </row>
    <row r="254" spans="3:17">
      <c r="C254" s="925"/>
      <c r="D254" s="925"/>
      <c r="E254" s="925" t="s">
        <v>2012</v>
      </c>
      <c r="F254" s="925" t="s">
        <v>2011</v>
      </c>
      <c r="G254" s="925"/>
      <c r="H254" s="925"/>
      <c r="I254" s="989">
        <v>0</v>
      </c>
      <c r="J254" s="989">
        <v>0</v>
      </c>
      <c r="K254" s="989">
        <v>0.56699999999999995</v>
      </c>
      <c r="L254" s="989">
        <v>0</v>
      </c>
      <c r="M254" s="989">
        <v>0</v>
      </c>
      <c r="N254" s="989">
        <v>0.77200000000000002</v>
      </c>
      <c r="O254" s="989">
        <v>0</v>
      </c>
      <c r="P254" s="989">
        <v>0</v>
      </c>
      <c r="Q254" s="989">
        <v>0.69599999999999995</v>
      </c>
    </row>
    <row r="255" spans="3:17">
      <c r="C255" s="925"/>
      <c r="D255" s="925"/>
      <c r="E255" s="925" t="s">
        <v>2013</v>
      </c>
      <c r="F255" s="925" t="s">
        <v>2014</v>
      </c>
      <c r="G255" s="925"/>
      <c r="H255" s="925"/>
      <c r="I255" s="989">
        <v>0.13600000000000001</v>
      </c>
      <c r="J255" s="989">
        <v>0</v>
      </c>
      <c r="K255" s="989">
        <v>0.13600000000000001</v>
      </c>
      <c r="L255" s="989">
        <v>3.7999999999999999E-2</v>
      </c>
      <c r="M255" s="989">
        <v>0</v>
      </c>
      <c r="N255" s="989">
        <v>3.7999999999999999E-2</v>
      </c>
      <c r="O255" s="989">
        <v>0.1</v>
      </c>
      <c r="P255" s="989">
        <v>0</v>
      </c>
      <c r="Q255" s="989">
        <v>0.1</v>
      </c>
    </row>
    <row r="256" spans="3:17">
      <c r="C256" s="925"/>
      <c r="D256" s="925"/>
      <c r="E256" s="925" t="s">
        <v>2015</v>
      </c>
      <c r="F256" s="925" t="s">
        <v>2014</v>
      </c>
      <c r="G256" s="925"/>
      <c r="H256" s="925"/>
      <c r="I256" s="989"/>
      <c r="J256" s="989">
        <v>0</v>
      </c>
      <c r="K256" s="989">
        <v>0</v>
      </c>
      <c r="L256" s="989"/>
      <c r="M256" s="989">
        <v>0</v>
      </c>
      <c r="N256" s="989">
        <v>0</v>
      </c>
      <c r="O256" s="989"/>
      <c r="P256" s="989">
        <v>0</v>
      </c>
      <c r="Q256" s="989">
        <v>0</v>
      </c>
    </row>
    <row r="257" spans="3:17">
      <c r="C257" s="925"/>
      <c r="D257" s="925"/>
      <c r="E257" s="925" t="s">
        <v>2016</v>
      </c>
      <c r="F257" s="925" t="s">
        <v>2014</v>
      </c>
      <c r="G257" s="925"/>
      <c r="H257" s="925"/>
      <c r="I257" s="989">
        <v>7.0000000000000007E-2</v>
      </c>
      <c r="J257" s="989">
        <v>0</v>
      </c>
      <c r="K257" s="989">
        <v>7.0000000000000007E-2</v>
      </c>
      <c r="L257" s="989">
        <v>0.10299999999999999</v>
      </c>
      <c r="M257" s="989">
        <v>0</v>
      </c>
      <c r="N257" s="989">
        <v>0.10299999999999999</v>
      </c>
      <c r="O257" s="989">
        <v>7.8E-2</v>
      </c>
      <c r="P257" s="989">
        <v>0</v>
      </c>
      <c r="Q257" s="989">
        <v>7.8E-2</v>
      </c>
    </row>
    <row r="258" spans="3:17">
      <c r="C258" s="925"/>
      <c r="D258" s="925"/>
      <c r="E258" s="925" t="s">
        <v>1744</v>
      </c>
      <c r="F258" s="925" t="s">
        <v>2014</v>
      </c>
      <c r="G258" s="925"/>
      <c r="H258" s="925"/>
      <c r="I258" s="989">
        <v>5.0000000000000001E-3</v>
      </c>
      <c r="J258" s="989">
        <v>0</v>
      </c>
      <c r="K258" s="989">
        <v>5.0000000000000001E-3</v>
      </c>
      <c r="L258" s="989">
        <v>1.2999999999999999E-2</v>
      </c>
      <c r="M258" s="989">
        <v>0</v>
      </c>
      <c r="N258" s="989">
        <v>1.26E-2</v>
      </c>
      <c r="O258" s="989">
        <v>8.0000000000000002E-3</v>
      </c>
      <c r="P258" s="989">
        <v>0</v>
      </c>
      <c r="Q258" s="989">
        <v>8.0000000000000002E-3</v>
      </c>
    </row>
    <row r="259" spans="3:17">
      <c r="C259" s="925"/>
      <c r="D259" s="925" t="s">
        <v>1487</v>
      </c>
      <c r="E259" s="925" t="s">
        <v>2010</v>
      </c>
      <c r="F259" s="925" t="s">
        <v>2011</v>
      </c>
      <c r="G259" s="925"/>
      <c r="H259" s="925"/>
      <c r="I259" s="989">
        <v>0.35199999999999998</v>
      </c>
      <c r="J259" s="989">
        <v>0</v>
      </c>
      <c r="K259" s="989">
        <v>0</v>
      </c>
      <c r="L259" s="989">
        <v>0.86499999999999999</v>
      </c>
      <c r="M259" s="989">
        <v>0</v>
      </c>
      <c r="N259" s="989">
        <v>0</v>
      </c>
      <c r="O259" s="989">
        <v>0.95799999999999996</v>
      </c>
      <c r="P259" s="989">
        <v>0</v>
      </c>
      <c r="Q259" s="989">
        <v>0</v>
      </c>
    </row>
    <row r="260" spans="3:17">
      <c r="C260" s="925"/>
      <c r="D260" s="925"/>
      <c r="E260" s="925" t="s">
        <v>2012</v>
      </c>
      <c r="F260" s="925" t="s">
        <v>2011</v>
      </c>
      <c r="G260" s="925"/>
      <c r="H260" s="925"/>
      <c r="I260" s="989">
        <v>0</v>
      </c>
      <c r="J260" s="989">
        <v>0</v>
      </c>
      <c r="K260" s="989">
        <v>0.35199999999999998</v>
      </c>
      <c r="L260" s="989">
        <v>0</v>
      </c>
      <c r="M260" s="989">
        <v>0</v>
      </c>
      <c r="N260" s="989">
        <v>0.86499999999999999</v>
      </c>
      <c r="O260" s="989">
        <v>0</v>
      </c>
      <c r="P260" s="989">
        <v>0</v>
      </c>
      <c r="Q260" s="989">
        <v>0.95799999999999996</v>
      </c>
    </row>
    <row r="261" spans="3:17">
      <c r="C261" s="925"/>
      <c r="D261" s="925"/>
      <c r="E261" s="925" t="s">
        <v>2013</v>
      </c>
      <c r="F261" s="925" t="s">
        <v>2014</v>
      </c>
      <c r="G261" s="925"/>
      <c r="H261" s="925"/>
      <c r="I261" s="989">
        <v>0.105</v>
      </c>
      <c r="J261" s="989">
        <v>0</v>
      </c>
      <c r="K261" s="989">
        <v>0.105</v>
      </c>
      <c r="L261" s="989">
        <v>5.0000000000000001E-3</v>
      </c>
      <c r="M261" s="989">
        <v>0</v>
      </c>
      <c r="N261" s="989">
        <v>5.0000000000000001E-3</v>
      </c>
      <c r="O261" s="989">
        <v>7.8E-2</v>
      </c>
      <c r="P261" s="989">
        <v>0</v>
      </c>
      <c r="Q261" s="989">
        <v>7.8E-2</v>
      </c>
    </row>
    <row r="262" spans="3:17">
      <c r="C262" s="925"/>
      <c r="D262" s="925"/>
      <c r="E262" s="925" t="s">
        <v>2015</v>
      </c>
      <c r="F262" s="925" t="s">
        <v>2014</v>
      </c>
      <c r="G262" s="925"/>
      <c r="H262" s="925"/>
      <c r="I262" s="989"/>
      <c r="J262" s="989">
        <v>0</v>
      </c>
      <c r="K262" s="989">
        <v>0</v>
      </c>
      <c r="L262" s="989"/>
      <c r="M262" s="989">
        <v>0</v>
      </c>
      <c r="N262" s="989">
        <v>0</v>
      </c>
      <c r="O262" s="989"/>
      <c r="P262" s="989">
        <v>0</v>
      </c>
      <c r="Q262" s="989">
        <v>0</v>
      </c>
    </row>
    <row r="263" spans="3:17">
      <c r="C263" s="925"/>
      <c r="D263" s="925"/>
      <c r="E263" s="925" t="s">
        <v>2016</v>
      </c>
      <c r="F263" s="925" t="s">
        <v>2014</v>
      </c>
      <c r="G263" s="925"/>
      <c r="H263" s="925"/>
      <c r="I263" s="989">
        <v>4.4999999999999998E-2</v>
      </c>
      <c r="J263" s="989">
        <v>0</v>
      </c>
      <c r="K263" s="989">
        <v>4.4999999999999998E-2</v>
      </c>
      <c r="L263" s="989">
        <v>0.112</v>
      </c>
      <c r="M263" s="989">
        <v>0</v>
      </c>
      <c r="N263" s="989">
        <v>0.112</v>
      </c>
      <c r="O263" s="989">
        <v>0.11</v>
      </c>
      <c r="P263" s="989">
        <v>0</v>
      </c>
      <c r="Q263" s="989">
        <v>0.11</v>
      </c>
    </row>
    <row r="264" spans="3:17">
      <c r="C264" s="925"/>
      <c r="D264" s="925"/>
      <c r="E264" s="925" t="s">
        <v>1744</v>
      </c>
      <c r="F264" s="925" t="s">
        <v>2014</v>
      </c>
      <c r="G264" s="925"/>
      <c r="H264" s="925"/>
      <c r="I264" s="989">
        <v>2E-3</v>
      </c>
      <c r="J264" s="989">
        <v>0</v>
      </c>
      <c r="K264" s="989">
        <v>2.3999999999999998E-3</v>
      </c>
      <c r="L264" s="989">
        <v>1.4999999999999999E-2</v>
      </c>
      <c r="M264" s="989">
        <v>0</v>
      </c>
      <c r="N264" s="989">
        <v>1.47E-2</v>
      </c>
      <c r="O264" s="989">
        <v>1.2E-2</v>
      </c>
      <c r="P264" s="989">
        <v>0</v>
      </c>
      <c r="Q264" s="989">
        <v>1.167E-2</v>
      </c>
    </row>
    <row r="265" spans="3:17">
      <c r="C265" s="925"/>
      <c r="D265" s="925" t="s">
        <v>1640</v>
      </c>
      <c r="E265" s="925" t="s">
        <v>2010</v>
      </c>
      <c r="F265" s="925" t="s">
        <v>1625</v>
      </c>
      <c r="G265" s="925"/>
      <c r="H265" s="925"/>
      <c r="I265" s="989">
        <v>0.34200000000000003</v>
      </c>
      <c r="J265" s="989">
        <v>0</v>
      </c>
      <c r="K265" s="989">
        <v>0</v>
      </c>
      <c r="L265" s="989">
        <v>0.88800000000000001</v>
      </c>
      <c r="M265" s="989">
        <v>0</v>
      </c>
      <c r="N265" s="989">
        <v>0</v>
      </c>
      <c r="O265" s="989">
        <v>0.307</v>
      </c>
      <c r="P265" s="989">
        <v>0</v>
      </c>
      <c r="Q265" s="989">
        <v>0</v>
      </c>
    </row>
    <row r="266" spans="3:17">
      <c r="C266" s="925"/>
      <c r="D266" s="925"/>
      <c r="E266" s="925" t="s">
        <v>2012</v>
      </c>
      <c r="F266" s="925" t="s">
        <v>2011</v>
      </c>
      <c r="G266" s="925"/>
      <c r="H266" s="925"/>
      <c r="I266" s="989">
        <v>0</v>
      </c>
      <c r="J266" s="989">
        <v>0</v>
      </c>
      <c r="K266" s="989">
        <v>0.34200000000000003</v>
      </c>
      <c r="L266" s="989">
        <v>0</v>
      </c>
      <c r="M266" s="989">
        <v>0</v>
      </c>
      <c r="N266" s="989">
        <v>0.88800000000000001</v>
      </c>
      <c r="O266" s="989">
        <v>0</v>
      </c>
      <c r="P266" s="989">
        <v>0</v>
      </c>
      <c r="Q266" s="989">
        <v>0.307</v>
      </c>
    </row>
    <row r="267" spans="3:17">
      <c r="C267" s="925"/>
      <c r="D267" s="925"/>
      <c r="E267" s="925" t="s">
        <v>2013</v>
      </c>
      <c r="F267" s="925" t="s">
        <v>2014</v>
      </c>
      <c r="G267" s="925"/>
      <c r="H267" s="925"/>
      <c r="I267" s="989">
        <v>7.1999999999999995E-2</v>
      </c>
      <c r="J267" s="989">
        <v>0</v>
      </c>
      <c r="K267" s="989">
        <v>7.1999999999999995E-2</v>
      </c>
      <c r="L267" s="989">
        <v>1.7000000000000001E-2</v>
      </c>
      <c r="M267" s="989">
        <v>0</v>
      </c>
      <c r="N267" s="989">
        <v>1.7000000000000001E-2</v>
      </c>
      <c r="O267" s="989">
        <v>7.0999999999999994E-2</v>
      </c>
      <c r="P267" s="989">
        <v>0</v>
      </c>
      <c r="Q267" s="989">
        <v>7.0999999999999994E-2</v>
      </c>
    </row>
    <row r="268" spans="3:17">
      <c r="C268" s="925"/>
      <c r="D268" s="925"/>
      <c r="E268" s="925" t="s">
        <v>2015</v>
      </c>
      <c r="F268" s="925" t="s">
        <v>2014</v>
      </c>
      <c r="G268" s="925"/>
      <c r="H268" s="925"/>
      <c r="I268" s="989"/>
      <c r="J268" s="989">
        <v>0</v>
      </c>
      <c r="K268" s="989">
        <v>0</v>
      </c>
      <c r="L268" s="989"/>
      <c r="M268" s="989">
        <v>0</v>
      </c>
      <c r="N268" s="989">
        <v>0</v>
      </c>
      <c r="O268" s="989"/>
      <c r="P268" s="989">
        <v>0</v>
      </c>
      <c r="Q268" s="989">
        <v>0</v>
      </c>
    </row>
    <row r="269" spans="3:17">
      <c r="C269" s="925"/>
      <c r="D269" s="925"/>
      <c r="E269" s="925" t="s">
        <v>2016</v>
      </c>
      <c r="F269" s="925" t="s">
        <v>2014</v>
      </c>
      <c r="G269" s="925"/>
      <c r="H269" s="925"/>
      <c r="I269" s="989">
        <v>2.4E-2</v>
      </c>
      <c r="J269" s="989">
        <v>0</v>
      </c>
      <c r="K269" s="989">
        <v>2.4E-2</v>
      </c>
      <c r="L269" s="989">
        <v>0.11799999999999999</v>
      </c>
      <c r="M269" s="989">
        <v>0</v>
      </c>
      <c r="N269" s="989">
        <v>0.11799999999999999</v>
      </c>
      <c r="O269" s="989">
        <v>5.2999999999999999E-2</v>
      </c>
      <c r="P269" s="989">
        <v>0</v>
      </c>
      <c r="Q269" s="989">
        <v>5.2999999999999999E-2</v>
      </c>
    </row>
    <row r="270" spans="3:17">
      <c r="C270" s="925"/>
      <c r="D270" s="925"/>
      <c r="E270" s="925" t="s">
        <v>1744</v>
      </c>
      <c r="F270" s="925" t="s">
        <v>2014</v>
      </c>
      <c r="G270" s="925"/>
      <c r="H270" s="925"/>
      <c r="I270" s="989">
        <v>2E-3</v>
      </c>
      <c r="J270" s="989">
        <v>0</v>
      </c>
      <c r="K270" s="989">
        <v>1.8600000000000001E-3</v>
      </c>
      <c r="L270" s="989">
        <v>1.4999999999999999E-2</v>
      </c>
      <c r="M270" s="989">
        <v>0</v>
      </c>
      <c r="N270" s="989">
        <v>1.4800000000000001E-2</v>
      </c>
      <c r="O270" s="989">
        <v>5.0000000000000001E-3</v>
      </c>
      <c r="P270" s="989">
        <v>0</v>
      </c>
      <c r="Q270" s="989">
        <v>4.8300000000000001E-3</v>
      </c>
    </row>
    <row r="271" spans="3:17">
      <c r="C271" s="925"/>
      <c r="D271" s="925" t="s">
        <v>1745</v>
      </c>
      <c r="E271" s="925" t="s">
        <v>2010</v>
      </c>
      <c r="F271" s="925" t="s">
        <v>2011</v>
      </c>
      <c r="G271" s="925"/>
      <c r="H271" s="925"/>
      <c r="I271" s="989">
        <v>0.34200000000000003</v>
      </c>
      <c r="J271" s="989">
        <v>0</v>
      </c>
      <c r="K271" s="989">
        <v>0</v>
      </c>
      <c r="L271" s="989">
        <v>0.88800000000000001</v>
      </c>
      <c r="M271" s="989">
        <v>0</v>
      </c>
      <c r="N271" s="989">
        <v>0</v>
      </c>
      <c r="O271" s="989">
        <v>0.307</v>
      </c>
      <c r="P271" s="989">
        <v>0</v>
      </c>
      <c r="Q271" s="989">
        <v>0</v>
      </c>
    </row>
    <row r="272" spans="3:17">
      <c r="C272" s="925"/>
      <c r="D272" s="925"/>
      <c r="E272" s="925" t="s">
        <v>2012</v>
      </c>
      <c r="F272" s="925" t="s">
        <v>2011</v>
      </c>
      <c r="G272" s="925"/>
      <c r="H272" s="925"/>
      <c r="I272" s="989">
        <v>0</v>
      </c>
      <c r="J272" s="989">
        <v>0</v>
      </c>
      <c r="K272" s="989">
        <v>0.34200000000000003</v>
      </c>
      <c r="L272" s="989">
        <v>0</v>
      </c>
      <c r="M272" s="989">
        <v>0</v>
      </c>
      <c r="N272" s="989">
        <v>0.88800000000000001</v>
      </c>
      <c r="O272" s="989">
        <v>0</v>
      </c>
      <c r="P272" s="989">
        <v>0</v>
      </c>
      <c r="Q272" s="989">
        <v>0.307</v>
      </c>
    </row>
    <row r="273" spans="3:17">
      <c r="C273" s="925"/>
      <c r="D273" s="925"/>
      <c r="E273" s="925" t="s">
        <v>2013</v>
      </c>
      <c r="F273" s="925" t="s">
        <v>2014</v>
      </c>
      <c r="G273" s="925"/>
      <c r="H273" s="925"/>
      <c r="I273" s="989">
        <v>7.1999999999999995E-2</v>
      </c>
      <c r="J273" s="989">
        <v>0</v>
      </c>
      <c r="K273" s="989">
        <v>7.1999999999999995E-2</v>
      </c>
      <c r="L273" s="989">
        <v>1.7000000000000001E-2</v>
      </c>
      <c r="M273" s="989">
        <v>0</v>
      </c>
      <c r="N273" s="989">
        <v>1.7000000000000001E-2</v>
      </c>
      <c r="O273" s="989">
        <v>7.0999999999999994E-2</v>
      </c>
      <c r="P273" s="989">
        <v>0</v>
      </c>
      <c r="Q273" s="989">
        <v>7.0999999999999994E-2</v>
      </c>
    </row>
    <row r="274" spans="3:17">
      <c r="C274" s="925"/>
      <c r="D274" s="925"/>
      <c r="E274" s="925" t="s">
        <v>2015</v>
      </c>
      <c r="F274" s="925" t="s">
        <v>2014</v>
      </c>
      <c r="G274" s="925"/>
      <c r="H274" s="925"/>
      <c r="I274" s="989"/>
      <c r="J274" s="989">
        <v>0</v>
      </c>
      <c r="K274" s="989">
        <v>0</v>
      </c>
      <c r="L274" s="989"/>
      <c r="M274" s="989">
        <v>0</v>
      </c>
      <c r="N274" s="989">
        <v>0</v>
      </c>
      <c r="O274" s="989"/>
      <c r="P274" s="989">
        <v>0</v>
      </c>
      <c r="Q274" s="989">
        <v>0</v>
      </c>
    </row>
    <row r="275" spans="3:17">
      <c r="C275" s="925"/>
      <c r="D275" s="925"/>
      <c r="E275" s="925" t="s">
        <v>2016</v>
      </c>
      <c r="F275" s="925" t="s">
        <v>2014</v>
      </c>
      <c r="G275" s="925"/>
      <c r="H275" s="925"/>
      <c r="I275" s="989">
        <v>2.4E-2</v>
      </c>
      <c r="J275" s="989">
        <v>0</v>
      </c>
      <c r="K275" s="989">
        <v>2.4E-2</v>
      </c>
      <c r="L275" s="989">
        <v>0.11799999999999999</v>
      </c>
      <c r="M275" s="989">
        <v>0</v>
      </c>
      <c r="N275" s="989">
        <v>0.11799999999999999</v>
      </c>
      <c r="O275" s="989">
        <v>5.2999999999999999E-2</v>
      </c>
      <c r="P275" s="989">
        <v>0</v>
      </c>
      <c r="Q275" s="989">
        <v>5.2999999999999999E-2</v>
      </c>
    </row>
    <row r="276" spans="3:17">
      <c r="C276" s="925"/>
      <c r="D276" s="925"/>
      <c r="E276" s="925" t="s">
        <v>1744</v>
      </c>
      <c r="F276" s="925" t="s">
        <v>2014</v>
      </c>
      <c r="G276" s="925"/>
      <c r="H276" s="925"/>
      <c r="I276" s="989">
        <v>2E-3</v>
      </c>
      <c r="J276" s="989">
        <v>0</v>
      </c>
      <c r="K276" s="989">
        <v>1.8600000000000001E-3</v>
      </c>
      <c r="L276" s="989">
        <v>1.4999999999999999E-2</v>
      </c>
      <c r="M276" s="989">
        <v>0</v>
      </c>
      <c r="N276" s="989">
        <v>1.4800000000000001E-2</v>
      </c>
      <c r="O276" s="989">
        <v>5.0000000000000001E-3</v>
      </c>
      <c r="P276" s="989">
        <v>0</v>
      </c>
      <c r="Q276" s="989">
        <v>4.8300000000000001E-3</v>
      </c>
    </row>
    <row r="277" spans="3:17">
      <c r="C277" s="925"/>
      <c r="D277" s="925" t="s">
        <v>1642</v>
      </c>
      <c r="E277" s="925" t="s">
        <v>2010</v>
      </c>
      <c r="F277" s="925" t="s">
        <v>2011</v>
      </c>
      <c r="G277" s="925"/>
      <c r="H277" s="925"/>
      <c r="I277" s="989">
        <v>0.34499999999999997</v>
      </c>
      <c r="J277" s="989">
        <v>0</v>
      </c>
      <c r="K277" s="989">
        <v>0</v>
      </c>
      <c r="L277" s="989">
        <v>0.88800000000000001</v>
      </c>
      <c r="M277" s="989">
        <v>0</v>
      </c>
      <c r="N277" s="989">
        <v>0</v>
      </c>
      <c r="O277" s="989">
        <v>0.86199999999999999</v>
      </c>
      <c r="P277" s="989">
        <v>0</v>
      </c>
      <c r="Q277" s="989">
        <v>0</v>
      </c>
    </row>
    <row r="278" spans="3:17">
      <c r="C278" s="925"/>
      <c r="D278" s="925"/>
      <c r="E278" s="925" t="s">
        <v>2012</v>
      </c>
      <c r="F278" s="925" t="s">
        <v>2011</v>
      </c>
      <c r="G278" s="925"/>
      <c r="H278" s="925"/>
      <c r="I278" s="989">
        <v>0</v>
      </c>
      <c r="J278" s="989">
        <v>0</v>
      </c>
      <c r="K278" s="989">
        <v>0.34499999999999997</v>
      </c>
      <c r="L278" s="989">
        <v>0</v>
      </c>
      <c r="M278" s="989">
        <v>0</v>
      </c>
      <c r="N278" s="989">
        <v>0.88800000000000001</v>
      </c>
      <c r="O278" s="989">
        <v>0</v>
      </c>
      <c r="P278" s="989">
        <v>0</v>
      </c>
      <c r="Q278" s="989">
        <v>0.86199999999999999</v>
      </c>
    </row>
    <row r="279" spans="3:17">
      <c r="C279" s="925"/>
      <c r="D279" s="925"/>
      <c r="E279" s="925" t="s">
        <v>2013</v>
      </c>
      <c r="F279" s="925" t="s">
        <v>2014</v>
      </c>
      <c r="G279" s="925"/>
      <c r="H279" s="925"/>
      <c r="I279" s="989">
        <v>0.13900000000000001</v>
      </c>
      <c r="J279" s="989">
        <v>0</v>
      </c>
      <c r="K279" s="989">
        <v>0.13900000000000001</v>
      </c>
      <c r="L279" s="989">
        <v>1.7000000000000001E-2</v>
      </c>
      <c r="M279" s="989">
        <v>0</v>
      </c>
      <c r="N279" s="989">
        <v>1.7000000000000001E-2</v>
      </c>
      <c r="O279" s="989">
        <v>5.8999999999999997E-2</v>
      </c>
      <c r="P279" s="989">
        <v>0</v>
      </c>
      <c r="Q279" s="989">
        <v>5.8999999999999997E-2</v>
      </c>
    </row>
    <row r="280" spans="3:17">
      <c r="C280" s="925"/>
      <c r="D280" s="925"/>
      <c r="E280" s="925" t="s">
        <v>2015</v>
      </c>
      <c r="F280" s="925" t="s">
        <v>2014</v>
      </c>
      <c r="G280" s="925"/>
      <c r="H280" s="925"/>
      <c r="I280" s="989"/>
      <c r="J280" s="989">
        <v>0</v>
      </c>
      <c r="K280" s="989">
        <v>0</v>
      </c>
      <c r="L280" s="989"/>
      <c r="M280" s="989">
        <v>0</v>
      </c>
      <c r="N280" s="989">
        <v>0</v>
      </c>
      <c r="O280" s="989"/>
      <c r="P280" s="989">
        <v>0</v>
      </c>
      <c r="Q280" s="989">
        <v>0</v>
      </c>
    </row>
    <row r="281" spans="3:17">
      <c r="C281" s="925"/>
      <c r="D281" s="925"/>
      <c r="E281" s="925" t="s">
        <v>2016</v>
      </c>
      <c r="F281" s="925" t="s">
        <v>2014</v>
      </c>
      <c r="G281" s="925"/>
      <c r="H281" s="925"/>
      <c r="I281" s="989">
        <v>0.04</v>
      </c>
      <c r="J281" s="989">
        <v>0</v>
      </c>
      <c r="K281" s="989">
        <v>0.04</v>
      </c>
      <c r="L281" s="989">
        <v>0.11799999999999999</v>
      </c>
      <c r="M281" s="989">
        <v>0</v>
      </c>
      <c r="N281" s="989">
        <v>0.11799999999999999</v>
      </c>
      <c r="O281" s="989">
        <v>0.1</v>
      </c>
      <c r="P281" s="989">
        <v>0</v>
      </c>
      <c r="Q281" s="989">
        <v>0.1</v>
      </c>
    </row>
    <row r="282" spans="3:17">
      <c r="C282" s="925"/>
      <c r="D282" s="925"/>
      <c r="E282" s="925" t="s">
        <v>1744</v>
      </c>
      <c r="F282" s="925" t="s">
        <v>2014</v>
      </c>
      <c r="G282" s="925"/>
      <c r="H282" s="925"/>
      <c r="I282" s="989">
        <v>4.0000000000000001E-3</v>
      </c>
      <c r="J282" s="989">
        <v>0</v>
      </c>
      <c r="K282" s="989">
        <v>4.3499999999999997E-3</v>
      </c>
      <c r="L282" s="989">
        <v>1.4999999999999999E-2</v>
      </c>
      <c r="M282" s="989">
        <v>0</v>
      </c>
      <c r="N282" s="989">
        <v>1.4800000000000001E-2</v>
      </c>
      <c r="O282" s="989">
        <v>1.2E-2</v>
      </c>
      <c r="P282" s="989">
        <v>0</v>
      </c>
      <c r="Q282" s="989">
        <v>1.227E-2</v>
      </c>
    </row>
    <row r="283" spans="3:17">
      <c r="C283" s="925"/>
      <c r="D283" s="925" t="s">
        <v>385</v>
      </c>
      <c r="E283" s="925" t="s">
        <v>2010</v>
      </c>
      <c r="F283" s="925" t="s">
        <v>2011</v>
      </c>
      <c r="G283" s="925"/>
      <c r="H283" s="925"/>
      <c r="I283" s="989">
        <v>0.35399999999999998</v>
      </c>
      <c r="J283" s="989">
        <v>0</v>
      </c>
      <c r="K283" s="989">
        <v>0</v>
      </c>
      <c r="L283" s="989">
        <v>0.77</v>
      </c>
      <c r="M283" s="989">
        <v>0</v>
      </c>
      <c r="N283" s="989">
        <v>0</v>
      </c>
      <c r="O283" s="989">
        <v>0.66900000000000004</v>
      </c>
      <c r="P283" s="989">
        <v>0</v>
      </c>
      <c r="Q283" s="989">
        <v>0</v>
      </c>
    </row>
    <row r="284" spans="3:17">
      <c r="C284" s="925"/>
      <c r="D284" s="925"/>
      <c r="E284" s="925" t="s">
        <v>2012</v>
      </c>
      <c r="F284" s="925" t="s">
        <v>2011</v>
      </c>
      <c r="G284" s="925"/>
      <c r="H284" s="925"/>
      <c r="I284" s="989">
        <v>0</v>
      </c>
      <c r="J284" s="989">
        <v>0</v>
      </c>
      <c r="K284" s="989">
        <v>0.35399999999999998</v>
      </c>
      <c r="L284" s="989">
        <v>0</v>
      </c>
      <c r="M284" s="989">
        <v>0</v>
      </c>
      <c r="N284" s="989">
        <v>0.77</v>
      </c>
      <c r="O284" s="989">
        <v>0</v>
      </c>
      <c r="P284" s="989">
        <v>0</v>
      </c>
      <c r="Q284" s="989">
        <v>0.66900000000000004</v>
      </c>
    </row>
    <row r="285" spans="3:17">
      <c r="C285" s="925"/>
      <c r="D285" s="925"/>
      <c r="E285" s="925" t="s">
        <v>2013</v>
      </c>
      <c r="F285" s="925" t="s">
        <v>2014</v>
      </c>
      <c r="G285" s="925"/>
      <c r="H285" s="925"/>
      <c r="I285" s="989">
        <v>8.7999999999999995E-2</v>
      </c>
      <c r="J285" s="989">
        <v>0</v>
      </c>
      <c r="K285" s="989">
        <v>8.7999999999999995E-2</v>
      </c>
      <c r="L285" s="989">
        <v>0.01</v>
      </c>
      <c r="M285" s="989">
        <v>0</v>
      </c>
      <c r="N285" s="989">
        <v>0.01</v>
      </c>
      <c r="O285" s="989">
        <v>7.6999999999999999E-2</v>
      </c>
      <c r="P285" s="989">
        <v>0</v>
      </c>
      <c r="Q285" s="989">
        <v>7.6999999999999999E-2</v>
      </c>
    </row>
    <row r="286" spans="3:17">
      <c r="C286" s="925"/>
      <c r="D286" s="925"/>
      <c r="E286" s="925" t="s">
        <v>2015</v>
      </c>
      <c r="F286" s="925" t="s">
        <v>2014</v>
      </c>
      <c r="G286" s="925"/>
      <c r="H286" s="925"/>
      <c r="I286" s="989"/>
      <c r="J286" s="989">
        <v>0</v>
      </c>
      <c r="K286" s="989">
        <v>0</v>
      </c>
      <c r="L286" s="989"/>
      <c r="M286" s="989">
        <v>0</v>
      </c>
      <c r="N286" s="989">
        <v>0</v>
      </c>
      <c r="O286" s="989"/>
      <c r="P286" s="989">
        <v>0</v>
      </c>
      <c r="Q286" s="989">
        <v>0</v>
      </c>
    </row>
    <row r="287" spans="3:17">
      <c r="C287" s="925"/>
      <c r="D287" s="925"/>
      <c r="E287" s="925" t="s">
        <v>2016</v>
      </c>
      <c r="F287" s="925" t="s">
        <v>2014</v>
      </c>
      <c r="G287" s="925"/>
      <c r="H287" s="925"/>
      <c r="I287" s="989">
        <v>3.1E-2</v>
      </c>
      <c r="J287" s="989">
        <v>0</v>
      </c>
      <c r="K287" s="989">
        <v>3.1E-2</v>
      </c>
      <c r="L287" s="989">
        <v>0.108</v>
      </c>
      <c r="M287" s="989">
        <v>0</v>
      </c>
      <c r="N287" s="989">
        <v>0.108</v>
      </c>
      <c r="O287" s="989">
        <v>0.08</v>
      </c>
      <c r="P287" s="989">
        <v>0</v>
      </c>
      <c r="Q287" s="989">
        <v>0.08</v>
      </c>
    </row>
    <row r="288" spans="3:17">
      <c r="C288" s="925"/>
      <c r="D288" s="925"/>
      <c r="E288" s="925" t="s">
        <v>1744</v>
      </c>
      <c r="F288" s="925" t="s">
        <v>2014</v>
      </c>
      <c r="G288" s="925"/>
      <c r="H288" s="925"/>
      <c r="I288" s="989">
        <v>2E-3</v>
      </c>
      <c r="J288" s="989">
        <v>0</v>
      </c>
      <c r="K288" s="989">
        <v>2.0999999999999999E-3</v>
      </c>
      <c r="L288" s="989">
        <v>8.9999999999999993E-3</v>
      </c>
      <c r="M288" s="989">
        <v>0</v>
      </c>
      <c r="N288" s="989">
        <v>9.1500000000000001E-3</v>
      </c>
      <c r="O288" s="989">
        <v>7.0000000000000001E-3</v>
      </c>
      <c r="P288" s="989">
        <v>0</v>
      </c>
      <c r="Q288" s="989">
        <v>6.6899999999999998E-3</v>
      </c>
    </row>
    <row r="289" spans="3:17">
      <c r="C289" s="925"/>
      <c r="D289" s="925" t="s">
        <v>1644</v>
      </c>
      <c r="E289" s="925" t="s">
        <v>2010</v>
      </c>
      <c r="F289" s="925" t="s">
        <v>2011</v>
      </c>
      <c r="G289" s="925"/>
      <c r="H289" s="925"/>
      <c r="I289" s="989">
        <v>0.317</v>
      </c>
      <c r="J289" s="989">
        <v>0</v>
      </c>
      <c r="K289" s="989">
        <v>0</v>
      </c>
      <c r="L289" s="989">
        <v>0.76600000000000001</v>
      </c>
      <c r="M289" s="989">
        <v>0</v>
      </c>
      <c r="N289" s="989">
        <v>0</v>
      </c>
      <c r="O289" s="989">
        <v>0.81200000000000006</v>
      </c>
      <c r="P289" s="989">
        <v>0</v>
      </c>
      <c r="Q289" s="989">
        <v>0</v>
      </c>
    </row>
    <row r="290" spans="3:17">
      <c r="C290" s="925"/>
      <c r="D290" s="925"/>
      <c r="E290" s="925" t="s">
        <v>2012</v>
      </c>
      <c r="F290" s="925" t="s">
        <v>2011</v>
      </c>
      <c r="G290" s="925"/>
      <c r="H290" s="925"/>
      <c r="I290" s="989">
        <v>0</v>
      </c>
      <c r="J290" s="989">
        <v>0</v>
      </c>
      <c r="K290" s="989">
        <v>0.317</v>
      </c>
      <c r="L290" s="989">
        <v>0</v>
      </c>
      <c r="M290" s="989">
        <v>0</v>
      </c>
      <c r="N290" s="989">
        <v>0.76600000000000001</v>
      </c>
      <c r="O290" s="989">
        <v>0</v>
      </c>
      <c r="P290" s="989">
        <v>0</v>
      </c>
      <c r="Q290" s="989">
        <v>0.81200000000000006</v>
      </c>
    </row>
    <row r="291" spans="3:17">
      <c r="C291" s="925"/>
      <c r="D291" s="925"/>
      <c r="E291" s="925" t="s">
        <v>2013</v>
      </c>
      <c r="F291" s="925" t="s">
        <v>2014</v>
      </c>
      <c r="G291" s="925"/>
      <c r="H291" s="925"/>
      <c r="I291" s="989">
        <v>7.3999999999999996E-2</v>
      </c>
      <c r="J291" s="989">
        <v>0</v>
      </c>
      <c r="K291" s="989">
        <v>7.3999999999999996E-2</v>
      </c>
      <c r="L291" s="989">
        <v>1.2E-2</v>
      </c>
      <c r="M291" s="989">
        <v>0</v>
      </c>
      <c r="N291" s="989">
        <v>1.2E-2</v>
      </c>
      <c r="O291" s="989">
        <v>0.66</v>
      </c>
      <c r="P291" s="989">
        <v>0</v>
      </c>
      <c r="Q291" s="989">
        <v>6.6000000000000003E-2</v>
      </c>
    </row>
    <row r="292" spans="3:17">
      <c r="C292" s="925"/>
      <c r="D292" s="925"/>
      <c r="E292" s="925" t="s">
        <v>2015</v>
      </c>
      <c r="F292" s="925" t="s">
        <v>2014</v>
      </c>
      <c r="G292" s="925"/>
      <c r="H292" s="925"/>
      <c r="I292" s="989"/>
      <c r="J292" s="989">
        <v>0</v>
      </c>
      <c r="K292" s="989">
        <v>0</v>
      </c>
      <c r="L292" s="989"/>
      <c r="M292" s="989">
        <v>0</v>
      </c>
      <c r="N292" s="989">
        <v>0</v>
      </c>
      <c r="O292" s="989"/>
      <c r="P292" s="989">
        <v>0</v>
      </c>
      <c r="Q292" s="989">
        <v>0</v>
      </c>
    </row>
    <row r="293" spans="3:17">
      <c r="C293" s="925"/>
      <c r="D293" s="925"/>
      <c r="E293" s="925" t="s">
        <v>2016</v>
      </c>
      <c r="F293" s="925" t="s">
        <v>2014</v>
      </c>
      <c r="G293" s="925"/>
      <c r="H293" s="925"/>
      <c r="I293" s="989">
        <v>3.4000000000000002E-2</v>
      </c>
      <c r="J293" s="989">
        <v>0</v>
      </c>
      <c r="K293" s="989">
        <v>3.4000000000000002E-2</v>
      </c>
      <c r="L293" s="989">
        <v>9.6000000000000002E-2</v>
      </c>
      <c r="M293" s="989">
        <v>0</v>
      </c>
      <c r="N293" s="989">
        <v>9.6000000000000002E-2</v>
      </c>
      <c r="O293" s="989">
        <v>8.8999999999999996E-2</v>
      </c>
      <c r="P293" s="989">
        <v>0</v>
      </c>
      <c r="Q293" s="989">
        <v>8.8999999999999996E-2</v>
      </c>
    </row>
    <row r="294" spans="3:17">
      <c r="C294" s="925"/>
      <c r="D294" s="925"/>
      <c r="E294" s="925" t="s">
        <v>1744</v>
      </c>
      <c r="F294" s="925" t="s">
        <v>2014</v>
      </c>
      <c r="G294" s="925"/>
      <c r="H294" s="925"/>
      <c r="I294" s="989">
        <v>2E-3</v>
      </c>
      <c r="J294" s="989">
        <v>0</v>
      </c>
      <c r="K294" s="989">
        <v>2E-3</v>
      </c>
      <c r="L294" s="989">
        <v>1.2999999999999999E-2</v>
      </c>
      <c r="M294" s="989">
        <v>0</v>
      </c>
      <c r="N294" s="989">
        <v>1.2999999999999999E-2</v>
      </c>
      <c r="O294" s="989">
        <v>0.01</v>
      </c>
      <c r="P294" s="989">
        <v>0</v>
      </c>
      <c r="Q294" s="989">
        <v>9.6900000000000007E-3</v>
      </c>
    </row>
    <row r="295" spans="3:17">
      <c r="C295" s="925"/>
      <c r="D295" s="925" t="s">
        <v>563</v>
      </c>
      <c r="E295" s="925" t="s">
        <v>2010</v>
      </c>
      <c r="F295" s="925" t="s">
        <v>2011</v>
      </c>
      <c r="G295" s="925"/>
      <c r="H295" s="925"/>
      <c r="I295" s="989">
        <v>0.436</v>
      </c>
      <c r="J295" s="989">
        <v>0</v>
      </c>
      <c r="K295" s="989">
        <v>0</v>
      </c>
      <c r="L295" s="989">
        <v>0.999</v>
      </c>
      <c r="M295" s="989">
        <v>0</v>
      </c>
      <c r="N295" s="989">
        <v>0</v>
      </c>
      <c r="O295" s="989">
        <v>0.81599999999999995</v>
      </c>
      <c r="P295" s="989">
        <v>0</v>
      </c>
      <c r="Q295" s="989">
        <v>0</v>
      </c>
    </row>
    <row r="296" spans="3:17">
      <c r="C296" s="925"/>
      <c r="D296" s="925"/>
      <c r="E296" s="925" t="s">
        <v>2012</v>
      </c>
      <c r="F296" s="925" t="s">
        <v>2011</v>
      </c>
      <c r="G296" s="925"/>
      <c r="H296" s="925"/>
      <c r="I296" s="989">
        <v>0</v>
      </c>
      <c r="J296" s="989">
        <v>0</v>
      </c>
      <c r="K296" s="989">
        <v>0.436</v>
      </c>
      <c r="L296" s="989">
        <v>0</v>
      </c>
      <c r="M296" s="989">
        <v>0</v>
      </c>
      <c r="N296" s="989">
        <v>0.999</v>
      </c>
      <c r="O296" s="989">
        <v>0</v>
      </c>
      <c r="P296" s="989">
        <v>0</v>
      </c>
      <c r="Q296" s="989">
        <v>0.81599999999999995</v>
      </c>
    </row>
    <row r="297" spans="3:17">
      <c r="C297" s="925"/>
      <c r="D297" s="925"/>
      <c r="E297" s="925" t="s">
        <v>2013</v>
      </c>
      <c r="F297" s="925" t="s">
        <v>2014</v>
      </c>
      <c r="G297" s="925"/>
      <c r="H297" s="925"/>
      <c r="I297" s="989">
        <v>0.10299999999999999</v>
      </c>
      <c r="J297" s="989">
        <v>0</v>
      </c>
      <c r="K297" s="989">
        <v>0.10299999999999999</v>
      </c>
      <c r="L297" s="989">
        <v>4.0000000000000001E-3</v>
      </c>
      <c r="M297" s="989">
        <v>0</v>
      </c>
      <c r="N297" s="989">
        <v>4.0000000000000001E-3</v>
      </c>
      <c r="O297" s="989">
        <v>8.4000000000000005E-2</v>
      </c>
      <c r="P297" s="989">
        <v>0</v>
      </c>
      <c r="Q297" s="989">
        <v>8.4000000000000005E-2</v>
      </c>
    </row>
    <row r="298" spans="3:17">
      <c r="C298" s="925"/>
      <c r="D298" s="925"/>
      <c r="E298" s="925" t="s">
        <v>2015</v>
      </c>
      <c r="F298" s="925" t="s">
        <v>2014</v>
      </c>
      <c r="G298" s="925"/>
      <c r="H298" s="925"/>
      <c r="I298" s="989"/>
      <c r="J298" s="989">
        <v>0</v>
      </c>
      <c r="K298" s="989">
        <v>0</v>
      </c>
      <c r="L298" s="989"/>
      <c r="M298" s="989">
        <v>0</v>
      </c>
      <c r="N298" s="989">
        <v>0</v>
      </c>
      <c r="O298" s="989"/>
      <c r="P298" s="989">
        <v>0</v>
      </c>
      <c r="Q298" s="989">
        <v>0</v>
      </c>
    </row>
    <row r="299" spans="3:17">
      <c r="C299" s="925"/>
      <c r="D299" s="925"/>
      <c r="E299" s="925" t="s">
        <v>2016</v>
      </c>
      <c r="F299" s="925" t="s">
        <v>2014</v>
      </c>
      <c r="G299" s="925"/>
      <c r="H299" s="925"/>
      <c r="I299" s="989">
        <v>3.4000000000000002E-2</v>
      </c>
      <c r="J299" s="989">
        <v>0</v>
      </c>
      <c r="K299" s="989">
        <v>3.4000000000000002E-2</v>
      </c>
      <c r="L299" s="989">
        <v>0.111</v>
      </c>
      <c r="M299" s="989">
        <v>0</v>
      </c>
      <c r="N299" s="989">
        <v>0.111</v>
      </c>
      <c r="O299" s="989">
        <v>9.2999999999999999E-2</v>
      </c>
      <c r="P299" s="989">
        <v>0</v>
      </c>
      <c r="Q299" s="989">
        <v>9.2999999999999999E-2</v>
      </c>
    </row>
    <row r="300" spans="3:17">
      <c r="C300" s="925"/>
      <c r="D300" s="925"/>
      <c r="E300" s="925" t="s">
        <v>1744</v>
      </c>
      <c r="F300" s="925" t="s">
        <v>2014</v>
      </c>
      <c r="G300" s="925"/>
      <c r="H300" s="925"/>
      <c r="I300" s="989">
        <v>5.0000000000000001E-3</v>
      </c>
      <c r="J300" s="989">
        <v>0</v>
      </c>
      <c r="K300" s="989">
        <v>4.7099999999999998E-3</v>
      </c>
      <c r="L300" s="989">
        <v>1.4E-2</v>
      </c>
      <c r="M300" s="989">
        <v>0</v>
      </c>
      <c r="N300" s="989">
        <v>1.434E-2</v>
      </c>
      <c r="O300" s="989">
        <v>1.2E-2</v>
      </c>
      <c r="P300" s="989">
        <v>0</v>
      </c>
      <c r="Q300" s="989">
        <v>1.248E-2</v>
      </c>
    </row>
    <row r="301" spans="3:17">
      <c r="C301" s="925"/>
      <c r="D301" s="925" t="s">
        <v>1746</v>
      </c>
      <c r="E301" s="925" t="s">
        <v>2010</v>
      </c>
      <c r="F301" s="925" t="s">
        <v>2011</v>
      </c>
      <c r="G301" s="925"/>
      <c r="H301" s="925"/>
      <c r="I301" s="989">
        <v>0.32300000000000001</v>
      </c>
      <c r="J301" s="989">
        <v>0</v>
      </c>
      <c r="K301" s="989">
        <v>0</v>
      </c>
      <c r="L301" s="989">
        <v>0.73399999999999999</v>
      </c>
      <c r="M301" s="989">
        <v>0</v>
      </c>
      <c r="N301" s="989">
        <v>0</v>
      </c>
      <c r="O301" s="989">
        <v>0.75</v>
      </c>
      <c r="P301" s="989">
        <v>0</v>
      </c>
      <c r="Q301" s="989">
        <v>0</v>
      </c>
    </row>
    <row r="302" spans="3:17">
      <c r="C302" s="925"/>
      <c r="D302" s="925"/>
      <c r="E302" s="925" t="s">
        <v>2012</v>
      </c>
      <c r="F302" s="925" t="s">
        <v>2011</v>
      </c>
      <c r="G302" s="925"/>
      <c r="H302" s="925"/>
      <c r="I302" s="989">
        <v>0</v>
      </c>
      <c r="J302" s="989">
        <v>0</v>
      </c>
      <c r="K302" s="989">
        <v>0.32300000000000001</v>
      </c>
      <c r="L302" s="989">
        <v>0</v>
      </c>
      <c r="M302" s="989">
        <v>0</v>
      </c>
      <c r="N302" s="989">
        <v>0.73399999999999999</v>
      </c>
      <c r="O302" s="989">
        <v>0</v>
      </c>
      <c r="P302" s="989">
        <v>0</v>
      </c>
      <c r="Q302" s="989">
        <v>0.75</v>
      </c>
    </row>
    <row r="303" spans="3:17">
      <c r="C303" s="925"/>
      <c r="D303" s="925"/>
      <c r="E303" s="925" t="s">
        <v>2013</v>
      </c>
      <c r="F303" s="925" t="s">
        <v>2014</v>
      </c>
      <c r="G303" s="925"/>
      <c r="H303" s="925"/>
      <c r="I303" s="989">
        <v>4.8000000000000001E-2</v>
      </c>
      <c r="J303" s="989">
        <v>0</v>
      </c>
      <c r="K303" s="989">
        <v>4.8000000000000001E-2</v>
      </c>
      <c r="L303" s="989">
        <v>1.2E-2</v>
      </c>
      <c r="M303" s="989">
        <v>0</v>
      </c>
      <c r="N303" s="989">
        <v>1.2E-2</v>
      </c>
      <c r="O303" s="989">
        <v>5.1999999999999998E-2</v>
      </c>
      <c r="P303" s="989">
        <v>0</v>
      </c>
      <c r="Q303" s="989">
        <v>5.1999999999999998E-2</v>
      </c>
    </row>
    <row r="304" spans="3:17">
      <c r="C304" s="925"/>
      <c r="D304" s="925"/>
      <c r="E304" s="925" t="s">
        <v>2015</v>
      </c>
      <c r="F304" s="925" t="s">
        <v>2014</v>
      </c>
      <c r="G304" s="925"/>
      <c r="H304" s="925"/>
      <c r="I304" s="989"/>
      <c r="J304" s="989">
        <v>0</v>
      </c>
      <c r="K304" s="989">
        <v>0</v>
      </c>
      <c r="L304" s="989"/>
      <c r="M304" s="989">
        <v>0</v>
      </c>
      <c r="N304" s="989">
        <v>0</v>
      </c>
      <c r="O304" s="989"/>
      <c r="P304" s="989">
        <v>0</v>
      </c>
      <c r="Q304" s="989">
        <v>0</v>
      </c>
    </row>
    <row r="305" spans="3:17">
      <c r="C305" s="925"/>
      <c r="D305" s="925"/>
      <c r="E305" s="925" t="s">
        <v>2016</v>
      </c>
      <c r="F305" s="925" t="s">
        <v>2014</v>
      </c>
      <c r="G305" s="925"/>
      <c r="H305" s="925"/>
      <c r="I305" s="989">
        <v>1.9E-2</v>
      </c>
      <c r="J305" s="989">
        <v>0</v>
      </c>
      <c r="K305" s="989">
        <v>1.9E-2</v>
      </c>
      <c r="L305" s="989">
        <v>0.1</v>
      </c>
      <c r="M305" s="989">
        <v>0</v>
      </c>
      <c r="N305" s="989">
        <v>0.1</v>
      </c>
      <c r="O305" s="989">
        <v>0.13600000000000001</v>
      </c>
      <c r="P305" s="989">
        <v>0</v>
      </c>
      <c r="Q305" s="989">
        <v>0.13600000000000001</v>
      </c>
    </row>
    <row r="306" spans="3:17">
      <c r="C306" s="925"/>
      <c r="D306" s="925"/>
      <c r="E306" s="925" t="s">
        <v>1744</v>
      </c>
      <c r="F306" s="925" t="s">
        <v>2014</v>
      </c>
      <c r="G306" s="925"/>
      <c r="H306" s="925"/>
      <c r="I306" s="989">
        <v>2E-3</v>
      </c>
      <c r="J306" s="989">
        <v>0</v>
      </c>
      <c r="K306" s="989">
        <v>1.98E-3</v>
      </c>
      <c r="L306" s="989">
        <v>1.2999999999999999E-2</v>
      </c>
      <c r="M306" s="989">
        <v>0</v>
      </c>
      <c r="N306" s="989">
        <v>1.329E-2</v>
      </c>
      <c r="O306" s="989">
        <v>0.125</v>
      </c>
      <c r="P306" s="989">
        <v>0</v>
      </c>
      <c r="Q306" s="989">
        <v>0.12509999999999999</v>
      </c>
    </row>
    <row r="307" spans="3:17">
      <c r="C307" s="930" t="s">
        <v>2197</v>
      </c>
      <c r="D307" s="930"/>
      <c r="E307" s="925"/>
      <c r="F307" s="925"/>
      <c r="G307" s="925"/>
      <c r="H307" s="925"/>
      <c r="I307" s="925"/>
      <c r="J307" s="988"/>
      <c r="K307" s="988"/>
      <c r="L307" s="988"/>
      <c r="M307" s="988"/>
      <c r="N307" s="988"/>
      <c r="O307" s="988"/>
      <c r="P307" s="988"/>
      <c r="Q307" s="988"/>
    </row>
    <row r="308" spans="3:17">
      <c r="C308" s="925"/>
      <c r="D308" s="930" t="s">
        <v>2198</v>
      </c>
      <c r="E308" s="925"/>
      <c r="F308" s="925"/>
      <c r="G308" s="925"/>
      <c r="H308" s="925"/>
      <c r="I308" s="982">
        <v>25</v>
      </c>
      <c r="J308" s="988" t="s">
        <v>2199</v>
      </c>
      <c r="K308" s="988"/>
      <c r="L308" s="988"/>
      <c r="M308" s="988"/>
      <c r="N308" s="988"/>
      <c r="O308" s="988"/>
      <c r="P308" s="988"/>
      <c r="Q308" s="988"/>
    </row>
    <row r="309" spans="3:17" hidden="1">
      <c r="C309" s="925"/>
      <c r="D309" s="940" t="s">
        <v>2200</v>
      </c>
      <c r="E309" s="925"/>
      <c r="F309" s="925"/>
      <c r="G309" s="925"/>
      <c r="H309" s="925"/>
      <c r="I309" s="982"/>
      <c r="J309" s="988"/>
      <c r="K309" s="988"/>
      <c r="L309" s="988"/>
      <c r="M309" s="988"/>
      <c r="N309" s="988"/>
      <c r="O309" s="988"/>
      <c r="P309" s="988"/>
      <c r="Q309" s="988"/>
    </row>
    <row r="310" spans="3:17">
      <c r="C310" s="925"/>
      <c r="D310" s="930" t="s">
        <v>2201</v>
      </c>
      <c r="E310" s="925"/>
      <c r="F310" s="930"/>
      <c r="G310" s="925"/>
      <c r="H310" s="925"/>
      <c r="I310" s="982">
        <v>18</v>
      </c>
      <c r="J310" s="988" t="s">
        <v>2199</v>
      </c>
      <c r="K310" s="988"/>
      <c r="L310" s="988"/>
      <c r="M310" s="988"/>
      <c r="N310" s="988"/>
      <c r="O310" s="988"/>
      <c r="P310" s="988"/>
      <c r="Q310" s="988"/>
    </row>
    <row r="311" spans="3:17">
      <c r="C311" s="925"/>
      <c r="D311" s="930" t="s">
        <v>2202</v>
      </c>
      <c r="E311" s="925"/>
      <c r="F311" s="930"/>
      <c r="G311" s="925"/>
      <c r="H311" s="925"/>
      <c r="I311" s="982">
        <v>15</v>
      </c>
      <c r="J311" s="988" t="s">
        <v>2199</v>
      </c>
      <c r="K311" s="988"/>
      <c r="L311" s="988"/>
      <c r="M311" s="988"/>
      <c r="N311" s="988"/>
      <c r="O311" s="988"/>
      <c r="P311" s="988"/>
      <c r="Q311" s="988"/>
    </row>
    <row r="312" spans="3:17">
      <c r="C312" s="925"/>
      <c r="D312" s="930"/>
      <c r="E312" s="925"/>
      <c r="F312" s="925"/>
      <c r="G312" s="925"/>
      <c r="H312" s="925"/>
      <c r="I312" s="925"/>
      <c r="J312" s="925"/>
      <c r="K312" s="988"/>
      <c r="L312" s="988"/>
      <c r="M312" s="988"/>
      <c r="N312" s="988"/>
      <c r="O312" s="988"/>
      <c r="P312" s="988"/>
      <c r="Q312" s="988"/>
    </row>
    <row r="313" spans="3:17">
      <c r="C313" s="925" t="s">
        <v>2203</v>
      </c>
      <c r="D313" s="925"/>
      <c r="E313" s="925"/>
      <c r="F313" s="925"/>
      <c r="G313" s="925"/>
      <c r="H313" s="925"/>
      <c r="I313" s="925"/>
      <c r="J313" s="925"/>
      <c r="K313" s="925"/>
      <c r="L313" s="925"/>
      <c r="M313" s="925"/>
      <c r="N313" s="925"/>
      <c r="O313" s="925"/>
      <c r="P313" s="925"/>
      <c r="Q313" s="925"/>
    </row>
    <row r="314" spans="3:17">
      <c r="C314" s="925"/>
      <c r="D314" s="925" t="s">
        <v>2198</v>
      </c>
      <c r="E314" s="925"/>
      <c r="F314" s="925"/>
      <c r="G314" s="925"/>
      <c r="H314" s="925"/>
      <c r="I314" s="984">
        <v>0.01</v>
      </c>
      <c r="J314" s="925" t="s">
        <v>2204</v>
      </c>
      <c r="K314" s="925"/>
      <c r="L314" s="925"/>
      <c r="M314" s="925"/>
      <c r="N314" s="925"/>
      <c r="O314" s="925"/>
      <c r="P314" s="925"/>
      <c r="Q314" s="925"/>
    </row>
    <row r="315" spans="3:17">
      <c r="C315" s="925"/>
      <c r="D315" s="925" t="s">
        <v>2201</v>
      </c>
      <c r="E315" s="925"/>
      <c r="F315" s="925"/>
      <c r="G315" s="925"/>
      <c r="H315" s="925"/>
      <c r="I315" s="984">
        <v>0.01</v>
      </c>
      <c r="J315" s="925" t="s">
        <v>2204</v>
      </c>
      <c r="K315" s="925"/>
      <c r="L315" s="925"/>
      <c r="M315" s="925"/>
      <c r="N315" s="925"/>
      <c r="O315" s="925"/>
      <c r="P315" s="925"/>
      <c r="Q315" s="925"/>
    </row>
    <row r="316" spans="3:17">
      <c r="C316" s="925"/>
      <c r="D316" s="925" t="s">
        <v>2202</v>
      </c>
      <c r="E316" s="925"/>
      <c r="F316" s="925"/>
      <c r="G316" s="925"/>
      <c r="H316" s="925"/>
      <c r="I316" s="984">
        <v>0.02</v>
      </c>
      <c r="J316" s="925" t="s">
        <v>2204</v>
      </c>
      <c r="K316" s="925"/>
      <c r="L316" s="925"/>
      <c r="M316" s="925"/>
      <c r="N316" s="925"/>
      <c r="O316" s="925"/>
      <c r="P316" s="925"/>
      <c r="Q316" s="925"/>
    </row>
    <row r="317" spans="3:17"/>
  </sheetData>
  <sheetProtection algorithmName="SHA-512" hashValue="vU6FQ3+/kix5Ud8ydlxK3HGR3u/fkJ4uWMfJOyZHHf/V8Fl2VIUCyrkFAJvh3aQwuFyERPG0izGWZUZlYVeDOg==" saltValue="kofaWNr/FKAsZX7XJd5Trw==" spinCount="100000" sheet="1" objects="1" scenarios="1"/>
  <phoneticPr fontId="22"/>
  <conditionalFormatting sqref="D4">
    <cfRule type="cellIs" dxfId="8" priority="1" stopIfTrue="1" operator="equal">
      <formula>5</formula>
    </cfRule>
    <cfRule type="cellIs" dxfId="7" priority="2" stopIfTrue="1" operator="equal">
      <formula>4</formula>
    </cfRule>
    <cfRule type="cellIs" dxfId="6" priority="3" stopIfTrue="1" operator="equal">
      <formula>2</formula>
    </cfRule>
  </conditionalFormatting>
  <conditionalFormatting sqref="D6">
    <cfRule type="cellIs" dxfId="5" priority="7" stopIfTrue="1" operator="equal">
      <formula>5</formula>
    </cfRule>
    <cfRule type="cellIs" dxfId="4" priority="8" stopIfTrue="1" operator="equal">
      <formula>4</formula>
    </cfRule>
    <cfRule type="cellIs" dxfId="3" priority="9" stopIfTrue="1" operator="equal">
      <formula>2</formula>
    </cfRule>
  </conditionalFormatting>
  <conditionalFormatting sqref="D63">
    <cfRule type="cellIs" dxfId="2" priority="4" stopIfTrue="1" operator="equal">
      <formula>5</formula>
    </cfRule>
    <cfRule type="cellIs" dxfId="1" priority="5" stopIfTrue="1" operator="equal">
      <formula>4</formula>
    </cfRule>
    <cfRule type="cellIs" dxfId="0" priority="6" stopIfTrue="1" operator="equal">
      <formula>2</formula>
    </cfRule>
  </conditionalFormatting>
  <printOptions horizontalCentered="1"/>
  <pageMargins left="0.59055118110236227" right="0.59055118110236227" top="0.78740157480314965" bottom="0.59055118110236227" header="0.51181102362204722" footer="0.51181102362204722"/>
  <pageSetup paperSize="9" scale="58" fitToHeight="0" orientation="portrait" verticalDpi="300" r:id="rId1"/>
  <headerFooter alignWithMargins="0">
    <oddHeader>&amp;L&amp;F&amp;R&amp;A</oddHeader>
    <oddFooter>&amp;C&amp;P/&amp;N</oddFooter>
  </headerFooter>
  <rowBreaks count="2" manualBreakCount="2">
    <brk id="92" max="17" man="1"/>
    <brk id="237" max="17"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autoPageBreaks="0" fitToPage="1"/>
  </sheetPr>
  <dimension ref="A1:R88"/>
  <sheetViews>
    <sheetView showGridLines="0" tabSelected="1" workbookViewId="0">
      <selection activeCell="F20" sqref="F20"/>
    </sheetView>
  </sheetViews>
  <sheetFormatPr defaultColWidth="0" defaultRowHeight="13.5" zeroHeight="1"/>
  <cols>
    <col min="1" max="1" width="1.75" customWidth="1"/>
    <col min="2" max="2" width="21.625" customWidth="1"/>
    <col min="3" max="3" width="15.125" customWidth="1"/>
    <col min="4" max="4" width="18.375" customWidth="1"/>
    <col min="5" max="5" width="13.875" customWidth="1"/>
    <col min="6" max="6" width="11.5" customWidth="1"/>
    <col min="7" max="7" width="3.125" customWidth="1"/>
    <col min="8" max="8" width="4.75" customWidth="1"/>
    <col min="9" max="9" width="13" hidden="1" customWidth="1"/>
    <col min="10" max="10" width="15.125" hidden="1" customWidth="1"/>
    <col min="11" max="11" width="6.875" hidden="1" customWidth="1"/>
    <col min="12" max="12" width="39" hidden="1" customWidth="1"/>
    <col min="13" max="13" width="28.25" hidden="1" customWidth="1"/>
    <col min="14" max="14" width="2.5" hidden="1" customWidth="1"/>
    <col min="15" max="15" width="7.5" hidden="1" customWidth="1"/>
    <col min="16" max="16" width="11.625" hidden="1" customWidth="1"/>
    <col min="17" max="17" width="16.875" hidden="1" customWidth="1"/>
    <col min="18" max="18" width="9.5" hidden="1" customWidth="1"/>
    <col min="19" max="16384" width="9" hidden="1"/>
  </cols>
  <sheetData>
    <row r="1" spans="1:11" ht="8.1" customHeight="1">
      <c r="A1" s="3"/>
      <c r="B1" s="4"/>
      <c r="C1" s="3"/>
      <c r="D1" s="3"/>
      <c r="E1" s="3"/>
      <c r="F1" s="3"/>
      <c r="G1" s="3"/>
    </row>
    <row r="2" spans="1:11" ht="25.5" customHeight="1">
      <c r="A2" s="3"/>
      <c r="B2" s="4"/>
      <c r="C2" s="3"/>
      <c r="D2" s="3"/>
      <c r="E2" s="3"/>
      <c r="F2" s="3"/>
      <c r="G2" s="3"/>
    </row>
    <row r="3" spans="1:11" ht="25.5" customHeight="1">
      <c r="A3" s="3"/>
      <c r="B3" s="4"/>
      <c r="C3" s="3"/>
      <c r="D3" s="3"/>
      <c r="E3" s="3"/>
      <c r="F3" s="3"/>
      <c r="G3" s="3"/>
      <c r="I3" s="1">
        <v>2</v>
      </c>
      <c r="J3" s="1" t="str">
        <f>IF(I3=2,J4,IF(I3=0,J5,IF(I3=3,J6,IF(I3=4,J7,""))))</f>
        <v>NC</v>
      </c>
      <c r="K3" s="1" t="str">
        <f>IF(I3=2,K4,IF(I3=0,K5,IF(I3=3,K6,IF(I3=4,K7,""))))</f>
        <v>CASBEE-建築(新築)2016年版</v>
      </c>
    </row>
    <row r="4" spans="1:11" ht="25.5" customHeight="1">
      <c r="A4" s="2628"/>
      <c r="B4" s="2613" t="s">
        <v>3619</v>
      </c>
      <c r="C4" s="2627"/>
      <c r="D4" s="2627"/>
      <c r="E4" s="2627"/>
      <c r="F4" s="2629"/>
      <c r="G4" s="2628"/>
      <c r="J4" t="s">
        <v>2794</v>
      </c>
      <c r="K4" t="s">
        <v>2734</v>
      </c>
    </row>
    <row r="5" spans="1:11" ht="14.25">
      <c r="A5" s="2628"/>
      <c r="B5" s="2614" t="s">
        <v>3649</v>
      </c>
      <c r="C5" s="5" t="s">
        <v>3811</v>
      </c>
      <c r="D5" s="5"/>
      <c r="E5" s="2628"/>
      <c r="F5" s="2628"/>
      <c r="G5" s="2628"/>
      <c r="J5" t="s">
        <v>2795</v>
      </c>
      <c r="K5" t="s">
        <v>2921</v>
      </c>
    </row>
    <row r="6" spans="1:11" ht="14.25">
      <c r="A6" s="2628"/>
      <c r="B6" s="6" t="s">
        <v>3620</v>
      </c>
      <c r="C6" s="6" t="str">
        <f>K3</f>
        <v>CASBEE-建築(新築)2016年版</v>
      </c>
      <c r="D6" s="6"/>
      <c r="E6" s="2628"/>
      <c r="F6" s="2628"/>
      <c r="G6" s="2628"/>
      <c r="J6" t="s">
        <v>2793</v>
      </c>
      <c r="K6" t="s">
        <v>2920</v>
      </c>
    </row>
    <row r="7" spans="1:11" ht="6.75" customHeight="1" thickBot="1">
      <c r="A7" s="2628"/>
      <c r="B7" s="2615"/>
      <c r="C7" s="2615"/>
      <c r="D7" s="2615"/>
      <c r="E7" s="2615"/>
      <c r="F7" s="2615"/>
      <c r="G7" s="2628"/>
      <c r="J7" t="s">
        <v>2918</v>
      </c>
      <c r="K7" t="s">
        <v>2922</v>
      </c>
    </row>
    <row r="8" spans="1:11" ht="15" customHeight="1">
      <c r="A8" s="2628"/>
      <c r="B8" s="2616" t="s">
        <v>3621</v>
      </c>
      <c r="C8" s="2630"/>
      <c r="D8" s="2630"/>
      <c r="E8" s="2630"/>
      <c r="F8" s="2631"/>
      <c r="G8" s="2628"/>
    </row>
    <row r="9" spans="1:11" ht="15" customHeight="1">
      <c r="A9" s="2628"/>
      <c r="B9" s="2617" t="s">
        <v>3622</v>
      </c>
      <c r="C9" s="2632"/>
      <c r="D9" s="2632"/>
      <c r="E9" s="2632"/>
      <c r="F9" s="2633"/>
      <c r="G9" s="2628"/>
    </row>
    <row r="10" spans="1:11" ht="15" hidden="1" customHeight="1">
      <c r="A10" s="2628"/>
      <c r="B10" s="2618"/>
      <c r="C10" s="2634"/>
      <c r="D10" s="2634"/>
      <c r="E10" s="2634"/>
      <c r="F10" s="2635"/>
      <c r="G10" s="2628"/>
    </row>
    <row r="11" spans="1:11" ht="15" customHeight="1">
      <c r="A11" s="2628"/>
      <c r="B11" s="2619" t="s">
        <v>3623</v>
      </c>
      <c r="C11" s="3091" t="s">
        <v>3650</v>
      </c>
      <c r="D11" s="3092"/>
      <c r="E11" s="3093"/>
      <c r="F11" s="2579"/>
      <c r="G11" s="2628"/>
      <c r="I11" t="s">
        <v>55</v>
      </c>
      <c r="J11" t="s">
        <v>1183</v>
      </c>
      <c r="K11">
        <v>1</v>
      </c>
    </row>
    <row r="12" spans="1:11" ht="15" customHeight="1">
      <c r="A12" s="2628"/>
      <c r="B12" s="2620" t="s">
        <v>3624</v>
      </c>
      <c r="C12" s="3094" t="s">
        <v>3651</v>
      </c>
      <c r="D12" s="3095"/>
      <c r="E12" s="3096"/>
      <c r="F12" s="2636"/>
      <c r="G12" s="2628"/>
      <c r="I12" t="s">
        <v>56</v>
      </c>
      <c r="J12" t="s">
        <v>1098</v>
      </c>
      <c r="K12">
        <v>2</v>
      </c>
    </row>
    <row r="13" spans="1:11" ht="15" hidden="1" customHeight="1">
      <c r="A13" s="2628"/>
      <c r="B13" s="2620"/>
      <c r="C13" s="2637"/>
      <c r="D13" s="2638"/>
      <c r="E13" s="2639"/>
      <c r="F13" s="2636"/>
      <c r="G13" s="2628"/>
      <c r="I13" t="s">
        <v>57</v>
      </c>
      <c r="J13" t="s">
        <v>1754</v>
      </c>
      <c r="K13">
        <v>3</v>
      </c>
    </row>
    <row r="14" spans="1:11" ht="15" customHeight="1">
      <c r="A14" s="2628"/>
      <c r="B14" s="2620" t="s">
        <v>3625</v>
      </c>
      <c r="C14" s="3094" t="s">
        <v>3652</v>
      </c>
      <c r="D14" s="3095"/>
      <c r="E14" s="3096"/>
      <c r="F14" s="2579"/>
      <c r="G14" s="2628"/>
      <c r="I14" t="s">
        <v>58</v>
      </c>
      <c r="J14" t="s">
        <v>1755</v>
      </c>
      <c r="K14">
        <v>4</v>
      </c>
    </row>
    <row r="15" spans="1:11" ht="15" customHeight="1">
      <c r="A15" s="2628"/>
      <c r="B15" s="2620" t="s">
        <v>3626</v>
      </c>
      <c r="C15" s="2640" t="s">
        <v>3653</v>
      </c>
      <c r="D15" s="2582"/>
      <c r="E15" s="2582"/>
      <c r="F15" s="2636"/>
      <c r="G15" s="2628"/>
      <c r="I15" t="s">
        <v>59</v>
      </c>
      <c r="J15" t="s">
        <v>1756</v>
      </c>
      <c r="K15">
        <v>5</v>
      </c>
    </row>
    <row r="16" spans="1:11" ht="15" hidden="1" customHeight="1">
      <c r="A16" s="2628"/>
      <c r="B16" s="2621" t="s">
        <v>3627</v>
      </c>
      <c r="C16" s="2640" t="s">
        <v>3654</v>
      </c>
      <c r="D16" s="2582"/>
      <c r="E16" s="2582"/>
      <c r="F16" s="2579"/>
      <c r="G16" s="2628"/>
      <c r="I16" t="s">
        <v>60</v>
      </c>
      <c r="J16" t="s">
        <v>1757</v>
      </c>
      <c r="K16">
        <v>6</v>
      </c>
    </row>
    <row r="17" spans="1:12" ht="15" customHeight="1">
      <c r="A17" s="2628"/>
      <c r="B17" s="2620" t="s">
        <v>3628</v>
      </c>
      <c r="C17" s="2577">
        <v>5000</v>
      </c>
      <c r="D17" s="2578" t="s">
        <v>3655</v>
      </c>
      <c r="E17" s="2578"/>
      <c r="F17" s="2579"/>
      <c r="G17" s="2628"/>
      <c r="I17" t="s">
        <v>61</v>
      </c>
      <c r="K17">
        <v>7</v>
      </c>
    </row>
    <row r="18" spans="1:12" ht="15" customHeight="1">
      <c r="A18" s="2628"/>
      <c r="B18" s="2620" t="s">
        <v>3629</v>
      </c>
      <c r="C18" s="2577">
        <v>4000</v>
      </c>
      <c r="D18" s="2578" t="s">
        <v>3655</v>
      </c>
      <c r="E18" s="2578"/>
      <c r="F18" s="2579"/>
      <c r="G18" s="2628"/>
      <c r="I18" t="s">
        <v>62</v>
      </c>
      <c r="K18">
        <v>8</v>
      </c>
    </row>
    <row r="19" spans="1:12" ht="15" customHeight="1">
      <c r="A19" s="2628"/>
      <c r="B19" s="2620" t="s">
        <v>3630</v>
      </c>
      <c r="C19" s="2580">
        <f>SUM(C63:C64)</f>
        <v>5000</v>
      </c>
      <c r="D19" s="2578" t="s">
        <v>3609</v>
      </c>
      <c r="E19" s="2578"/>
      <c r="F19" s="2579"/>
      <c r="G19" s="2628"/>
      <c r="K19" s="1" t="e">
        <f>VLOOKUP(F12,I11:K18,3)</f>
        <v>#N/A</v>
      </c>
    </row>
    <row r="20" spans="1:12" ht="15" customHeight="1">
      <c r="A20" s="2628"/>
      <c r="B20" s="2620" t="s">
        <v>3631</v>
      </c>
      <c r="C20" s="3094" t="s">
        <v>3656</v>
      </c>
      <c r="D20" s="3095"/>
      <c r="E20" s="3096"/>
      <c r="F20" s="2579"/>
      <c r="G20" s="2628"/>
    </row>
    <row r="21" spans="1:12" ht="15" customHeight="1">
      <c r="A21" s="2628"/>
      <c r="B21" s="2622"/>
      <c r="C21" s="3097" t="str">
        <f>O67</f>
        <v>事務所,</v>
      </c>
      <c r="D21" s="3098"/>
      <c r="E21" s="3099"/>
      <c r="F21" s="2579"/>
      <c r="G21" s="2628"/>
    </row>
    <row r="22" spans="1:12" ht="15" customHeight="1">
      <c r="A22" s="2628"/>
      <c r="B22" s="2620" t="s">
        <v>3632</v>
      </c>
      <c r="C22" s="2581" t="s">
        <v>3611</v>
      </c>
      <c r="D22" s="2582"/>
      <c r="E22" s="2582"/>
      <c r="F22" s="2579"/>
      <c r="G22" s="2628"/>
    </row>
    <row r="23" spans="1:12" ht="15" customHeight="1">
      <c r="A23" s="2628"/>
      <c r="B23" s="2620" t="s">
        <v>3633</v>
      </c>
      <c r="C23" s="2581"/>
      <c r="D23" s="2582"/>
      <c r="E23" s="2582"/>
      <c r="F23" s="2579"/>
      <c r="G23" s="2628"/>
      <c r="I23" t="s">
        <v>637</v>
      </c>
      <c r="J23" t="s">
        <v>636</v>
      </c>
      <c r="K23" t="s">
        <v>638</v>
      </c>
      <c r="L23" t="s">
        <v>639</v>
      </c>
    </row>
    <row r="24" spans="1:12" ht="13.5" hidden="1" customHeight="1" thickBot="1">
      <c r="A24" s="2628"/>
      <c r="B24" s="2620"/>
      <c r="C24" s="2583"/>
      <c r="D24" s="2583"/>
      <c r="E24" s="2583"/>
      <c r="F24" s="2584"/>
      <c r="G24" s="2628"/>
    </row>
    <row r="25" spans="1:12" ht="15" hidden="1" thickBot="1">
      <c r="A25" s="2628"/>
      <c r="B25" s="2623" t="s">
        <v>3634</v>
      </c>
      <c r="C25" s="2585"/>
      <c r="D25" s="2585"/>
      <c r="E25" s="2585"/>
      <c r="F25" s="2586"/>
      <c r="G25" s="2628"/>
    </row>
    <row r="26" spans="1:12" ht="14.25" hidden="1">
      <c r="A26" s="2628"/>
      <c r="B26" s="2624" t="s">
        <v>3635</v>
      </c>
      <c r="C26" s="2581" t="s">
        <v>3657</v>
      </c>
      <c r="D26" s="2582"/>
      <c r="E26" s="2582"/>
      <c r="F26" s="2587"/>
      <c r="G26" s="2628"/>
    </row>
    <row r="27" spans="1:12" ht="14.25" hidden="1">
      <c r="A27" s="2628"/>
      <c r="B27" s="2624" t="s">
        <v>3636</v>
      </c>
      <c r="C27" s="3094" t="s">
        <v>3610</v>
      </c>
      <c r="D27" s="3095"/>
      <c r="E27" s="3096"/>
      <c r="F27" s="2579"/>
      <c r="G27" s="2628"/>
    </row>
    <row r="28" spans="1:12" ht="14.25" hidden="1">
      <c r="A28" s="2628"/>
      <c r="B28" s="2624" t="s">
        <v>3637</v>
      </c>
      <c r="C28" s="2588">
        <v>41831</v>
      </c>
      <c r="D28" s="2582"/>
      <c r="E28" s="2582"/>
      <c r="F28" s="2579"/>
      <c r="G28" s="2628"/>
    </row>
    <row r="29" spans="1:12" ht="14.25" hidden="1">
      <c r="A29" s="2628"/>
      <c r="B29" s="2624" t="s">
        <v>3638</v>
      </c>
      <c r="C29" s="2589" t="s">
        <v>2923</v>
      </c>
      <c r="D29" s="2578" t="s">
        <v>3658</v>
      </c>
      <c r="E29" s="2582"/>
      <c r="F29" s="2579"/>
      <c r="G29" s="2628"/>
    </row>
    <row r="30" spans="1:12" ht="14.25" hidden="1">
      <c r="A30" s="2628"/>
      <c r="B30" s="2624" t="s">
        <v>3639</v>
      </c>
      <c r="C30" s="2581" t="s">
        <v>3612</v>
      </c>
      <c r="D30" s="2582"/>
      <c r="E30" s="2582"/>
      <c r="F30" s="2579"/>
      <c r="G30" s="2628"/>
    </row>
    <row r="31" spans="1:12" ht="14.25" hidden="1">
      <c r="A31" s="2628"/>
      <c r="B31" s="2620"/>
      <c r="C31" s="2583"/>
      <c r="D31" s="2583"/>
      <c r="E31" s="2583"/>
      <c r="F31" s="2584"/>
      <c r="G31" s="2628"/>
    </row>
    <row r="32" spans="1:12" ht="14.25">
      <c r="A32" s="2628"/>
      <c r="B32" s="2620" t="s">
        <v>3640</v>
      </c>
      <c r="C32" s="2590" t="s">
        <v>559</v>
      </c>
      <c r="D32" s="2578" t="s">
        <v>3604</v>
      </c>
      <c r="E32" s="2578"/>
      <c r="F32" s="2579"/>
      <c r="G32" s="2628"/>
    </row>
    <row r="33" spans="1:18" ht="15" thickBot="1">
      <c r="A33" s="2628"/>
      <c r="B33" s="2620" t="s">
        <v>3641</v>
      </c>
      <c r="C33" s="2590" t="s">
        <v>560</v>
      </c>
      <c r="D33" s="2578" t="s">
        <v>3613</v>
      </c>
      <c r="E33" s="2578"/>
      <c r="F33" s="2579"/>
      <c r="G33" s="2628"/>
      <c r="I33" t="s">
        <v>2953</v>
      </c>
      <c r="J33" t="s">
        <v>2954</v>
      </c>
    </row>
    <row r="34" spans="1:18" ht="15" hidden="1" thickBot="1">
      <c r="A34" s="2628"/>
      <c r="B34" s="2621" t="s">
        <v>3642</v>
      </c>
      <c r="C34" s="2590" t="s">
        <v>557</v>
      </c>
      <c r="D34" s="2591" t="s">
        <v>3614</v>
      </c>
      <c r="E34" s="2578"/>
      <c r="F34" s="2579"/>
      <c r="G34" s="2628"/>
    </row>
    <row r="35" spans="1:18" ht="15" hidden="1" thickBot="1">
      <c r="A35" s="2628"/>
      <c r="B35" s="2620"/>
      <c r="C35" s="2583"/>
      <c r="D35" s="2583"/>
      <c r="E35" s="2583"/>
      <c r="F35" s="2584"/>
      <c r="G35" s="2628"/>
    </row>
    <row r="36" spans="1:18" ht="15" hidden="1" thickBot="1">
      <c r="A36" s="2628"/>
      <c r="B36" s="2592"/>
      <c r="C36" s="2592"/>
      <c r="D36" s="2592"/>
      <c r="E36" s="2592"/>
      <c r="F36" s="2592"/>
      <c r="G36" s="2628"/>
      <c r="I36" s="1" t="s">
        <v>640</v>
      </c>
      <c r="J36" s="1">
        <v>0</v>
      </c>
    </row>
    <row r="37" spans="1:18" ht="15" hidden="1" thickBot="1">
      <c r="A37" s="2628"/>
      <c r="B37" s="2592"/>
      <c r="C37" s="2592"/>
      <c r="D37" s="2592"/>
      <c r="E37" s="2592"/>
      <c r="F37" s="2592"/>
      <c r="G37" s="2628"/>
      <c r="I37" s="1" t="s">
        <v>644</v>
      </c>
      <c r="J37" s="1">
        <v>1</v>
      </c>
    </row>
    <row r="38" spans="1:18" ht="15" thickBot="1">
      <c r="A38" s="2628"/>
      <c r="B38" s="2623" t="s">
        <v>3643</v>
      </c>
      <c r="C38" s="2585"/>
      <c r="D38" s="2585"/>
      <c r="E38" s="2585"/>
      <c r="F38" s="2586"/>
      <c r="G38" s="2628"/>
      <c r="I38" s="1" t="s">
        <v>643</v>
      </c>
      <c r="J38" s="1">
        <v>2</v>
      </c>
      <c r="L38" s="1" t="s">
        <v>641</v>
      </c>
      <c r="M38" s="1" t="s">
        <v>642</v>
      </c>
    </row>
    <row r="39" spans="1:18" ht="14.25">
      <c r="A39" s="2641"/>
      <c r="B39" s="2625" t="s">
        <v>3644</v>
      </c>
      <c r="C39" s="2588" t="s">
        <v>3785</v>
      </c>
      <c r="D39" s="2582"/>
      <c r="E39" s="2593"/>
      <c r="F39" s="2587"/>
      <c r="G39" s="2628"/>
      <c r="I39" s="1" t="s">
        <v>372</v>
      </c>
      <c r="J39" s="1">
        <v>2</v>
      </c>
      <c r="L39" s="1" t="s">
        <v>644</v>
      </c>
      <c r="M39" s="1" t="s">
        <v>370</v>
      </c>
    </row>
    <row r="40" spans="1:18" ht="14.25">
      <c r="A40" s="2641"/>
      <c r="B40" s="2625" t="s">
        <v>3645</v>
      </c>
      <c r="C40" s="2581" t="s">
        <v>3659</v>
      </c>
      <c r="D40" s="2582"/>
      <c r="E40" s="2582"/>
      <c r="F40" s="2579"/>
      <c r="G40" s="2628"/>
      <c r="I40" s="1" t="s">
        <v>2814</v>
      </c>
      <c r="J40" s="1">
        <v>3</v>
      </c>
      <c r="L40" s="1" t="s">
        <v>643</v>
      </c>
      <c r="M40" s="1" t="s">
        <v>371</v>
      </c>
    </row>
    <row r="41" spans="1:18" ht="14.25">
      <c r="A41" s="2642"/>
      <c r="B41" s="2625" t="s">
        <v>3646</v>
      </c>
      <c r="C41" s="2588" t="s">
        <v>3785</v>
      </c>
      <c r="D41" s="2582"/>
      <c r="E41" s="2582"/>
      <c r="F41" s="2579"/>
      <c r="G41" s="2628"/>
      <c r="I41" s="1" t="s">
        <v>2919</v>
      </c>
      <c r="J41" s="1">
        <v>4</v>
      </c>
      <c r="L41" s="1" t="s">
        <v>372</v>
      </c>
      <c r="M41" s="1"/>
    </row>
    <row r="42" spans="1:18" ht="14.25">
      <c r="A42" s="2642"/>
      <c r="B42" s="2625" t="s">
        <v>3647</v>
      </c>
      <c r="C42" s="2581" t="s">
        <v>3659</v>
      </c>
      <c r="D42" s="2582"/>
      <c r="E42" s="2582"/>
      <c r="F42" s="2579"/>
      <c r="G42" s="2628"/>
    </row>
    <row r="43" spans="1:18" ht="15" thickBot="1">
      <c r="A43" s="2642"/>
      <c r="B43" s="2626" t="s">
        <v>3648</v>
      </c>
      <c r="C43" s="2594" t="s">
        <v>3605</v>
      </c>
      <c r="D43" s="2595" t="str">
        <f>IF(C43=I43,L43,L44)</f>
        <v>→LCCO2算定条件シート（標準計算）を入力</v>
      </c>
      <c r="E43" s="2582"/>
      <c r="F43" s="2596"/>
      <c r="G43" s="2628"/>
      <c r="I43" t="s">
        <v>373</v>
      </c>
      <c r="L43" t="s">
        <v>374</v>
      </c>
    </row>
    <row r="44" spans="1:18" ht="15" thickBot="1">
      <c r="A44" s="2642"/>
      <c r="B44" s="2597"/>
      <c r="C44" s="2597"/>
      <c r="D44" s="2597"/>
      <c r="E44" s="2597"/>
      <c r="F44" s="2597"/>
      <c r="G44" s="2628"/>
      <c r="I44" t="s">
        <v>375</v>
      </c>
      <c r="L44" t="s">
        <v>376</v>
      </c>
    </row>
    <row r="45" spans="1:18" ht="15" customHeight="1">
      <c r="A45" s="2642"/>
      <c r="B45" s="2643" t="s">
        <v>3660</v>
      </c>
      <c r="C45" s="2598"/>
      <c r="D45" s="2598"/>
      <c r="E45" s="2598"/>
      <c r="F45" s="2599"/>
      <c r="G45" s="2628"/>
    </row>
    <row r="46" spans="1:18" ht="15" customHeight="1" thickBot="1">
      <c r="A46" s="2642"/>
      <c r="B46" s="2618" t="s">
        <v>3661</v>
      </c>
      <c r="C46" s="2600"/>
      <c r="D46" s="2601"/>
      <c r="E46" s="2601"/>
      <c r="F46" s="2602"/>
      <c r="G46" s="2628"/>
      <c r="I46" s="1"/>
      <c r="J46" s="1" t="s">
        <v>561</v>
      </c>
      <c r="K46" s="1" t="s">
        <v>1135</v>
      </c>
      <c r="L46" s="1" t="s">
        <v>562</v>
      </c>
    </row>
    <row r="47" spans="1:18" ht="15" customHeight="1">
      <c r="A47" s="2642"/>
      <c r="B47" s="2644" t="s">
        <v>3662</v>
      </c>
      <c r="C47" s="2580">
        <f>E47+E48</f>
        <v>5000</v>
      </c>
      <c r="D47" s="2578" t="s">
        <v>3663</v>
      </c>
      <c r="E47" s="2577">
        <v>5000</v>
      </c>
      <c r="F47" s="2587" t="s">
        <v>3606</v>
      </c>
      <c r="G47" s="2628"/>
      <c r="I47" s="1" t="s">
        <v>377</v>
      </c>
      <c r="J47" s="1">
        <f>C47</f>
        <v>5000</v>
      </c>
      <c r="K47" s="1">
        <f>J47/$J$66</f>
        <v>1</v>
      </c>
      <c r="L47" s="1"/>
      <c r="N47" s="1">
        <f>IF(J47=0,0,RANK(J47,$J$47:$J$64))</f>
        <v>1</v>
      </c>
      <c r="O47" s="1" t="str">
        <f>IF(AND(0&lt;N47,N47&lt;4),I47&amp;",","")</f>
        <v>事務所,</v>
      </c>
      <c r="P47" s="1358" t="s">
        <v>1486</v>
      </c>
      <c r="Q47" s="1359" t="s">
        <v>377</v>
      </c>
      <c r="R47" s="1367">
        <f>E47</f>
        <v>5000</v>
      </c>
    </row>
    <row r="48" spans="1:18" ht="15" customHeight="1">
      <c r="A48" s="2642"/>
      <c r="B48" s="2625"/>
      <c r="C48" s="2578"/>
      <c r="D48" s="2604" t="s">
        <v>3664</v>
      </c>
      <c r="E48" s="2577"/>
      <c r="F48" s="2587" t="s">
        <v>3658</v>
      </c>
      <c r="G48" s="2628"/>
      <c r="I48" s="1"/>
      <c r="J48" s="1"/>
      <c r="K48" s="1"/>
      <c r="L48" s="1"/>
      <c r="N48" s="1">
        <f t="shared" ref="N48:N64" si="0">IF(J48=0,0,RANK(J48,$J$47:$J$64))</f>
        <v>0</v>
      </c>
      <c r="O48" s="1" t="str">
        <f t="shared" ref="O48:O64" si="1">IF(AND(0&lt;N48,N48&lt;4),I48&amp;",","")</f>
        <v/>
      </c>
      <c r="P48" s="1360"/>
      <c r="Q48" s="1359" t="s">
        <v>1929</v>
      </c>
      <c r="R48" s="1367">
        <f t="shared" ref="R48:R59" si="2">E48</f>
        <v>0</v>
      </c>
    </row>
    <row r="49" spans="1:18" ht="15" customHeight="1">
      <c r="A49" s="2642"/>
      <c r="B49" s="2625" t="s">
        <v>3665</v>
      </c>
      <c r="C49" s="2580">
        <f>SUM(E49:E53)</f>
        <v>0</v>
      </c>
      <c r="D49" s="2578" t="s">
        <v>3666</v>
      </c>
      <c r="E49" s="2577"/>
      <c r="F49" s="2587" t="s">
        <v>3658</v>
      </c>
      <c r="G49" s="2628"/>
      <c r="I49" s="1" t="s">
        <v>378</v>
      </c>
      <c r="J49" s="1544">
        <f>C49</f>
        <v>0</v>
      </c>
      <c r="K49" s="1">
        <f>J49/$J$66</f>
        <v>0</v>
      </c>
      <c r="L49" s="1"/>
      <c r="N49" s="1">
        <f t="shared" si="0"/>
        <v>0</v>
      </c>
      <c r="O49" s="1" t="str">
        <f t="shared" si="1"/>
        <v/>
      </c>
      <c r="P49" s="1362" t="s">
        <v>1933</v>
      </c>
      <c r="Q49" s="1359" t="s">
        <v>1934</v>
      </c>
      <c r="R49" s="1367">
        <f t="shared" si="2"/>
        <v>0</v>
      </c>
    </row>
    <row r="50" spans="1:18" ht="15" customHeight="1">
      <c r="A50" s="2642"/>
      <c r="B50" s="2625"/>
      <c r="C50" s="2578"/>
      <c r="D50" s="2604" t="s">
        <v>3615</v>
      </c>
      <c r="E50" s="2577"/>
      <c r="F50" s="2587" t="s">
        <v>3658</v>
      </c>
      <c r="G50" s="2628"/>
      <c r="I50" s="1"/>
      <c r="J50" s="1777"/>
      <c r="K50" s="1"/>
      <c r="L50" s="1"/>
      <c r="N50" s="1">
        <f t="shared" si="0"/>
        <v>0</v>
      </c>
      <c r="O50" s="1" t="str">
        <f t="shared" si="1"/>
        <v/>
      </c>
      <c r="P50" s="1362"/>
      <c r="Q50" s="1359" t="s">
        <v>1125</v>
      </c>
      <c r="R50" s="1367">
        <f t="shared" si="2"/>
        <v>0</v>
      </c>
    </row>
    <row r="51" spans="1:18" ht="15" customHeight="1">
      <c r="A51" s="2642"/>
      <c r="B51" s="2625"/>
      <c r="C51" s="2578"/>
      <c r="D51" s="2604" t="s">
        <v>3616</v>
      </c>
      <c r="E51" s="2577"/>
      <c r="F51" s="2587" t="s">
        <v>3667</v>
      </c>
      <c r="G51" s="2628"/>
      <c r="I51" s="1"/>
      <c r="J51" s="1"/>
      <c r="K51" s="1"/>
      <c r="L51" s="1"/>
      <c r="N51" s="1">
        <f t="shared" si="0"/>
        <v>0</v>
      </c>
      <c r="O51" s="1" t="str">
        <f t="shared" si="1"/>
        <v/>
      </c>
      <c r="P51" s="1362"/>
      <c r="Q51" s="1359" t="s">
        <v>1126</v>
      </c>
      <c r="R51" s="1367">
        <f t="shared" si="2"/>
        <v>0</v>
      </c>
    </row>
    <row r="52" spans="1:18" ht="15" customHeight="1">
      <c r="A52" s="2642"/>
      <c r="B52" s="2625"/>
      <c r="C52" s="2578"/>
      <c r="D52" s="2604" t="s">
        <v>3668</v>
      </c>
      <c r="E52" s="2577"/>
      <c r="F52" s="2587" t="s">
        <v>3658</v>
      </c>
      <c r="G52" s="2628"/>
      <c r="I52" s="1"/>
      <c r="J52" s="1"/>
      <c r="K52" s="1"/>
      <c r="L52" s="1"/>
      <c r="N52" s="1">
        <f t="shared" si="0"/>
        <v>0</v>
      </c>
      <c r="O52" s="1" t="str">
        <f t="shared" si="1"/>
        <v/>
      </c>
      <c r="P52" s="1362"/>
      <c r="Q52" s="1359" t="s">
        <v>1937</v>
      </c>
      <c r="R52" s="1367">
        <f t="shared" si="2"/>
        <v>0</v>
      </c>
    </row>
    <row r="53" spans="1:18" ht="15" customHeight="1">
      <c r="A53" s="2642"/>
      <c r="B53" s="2625"/>
      <c r="C53" s="2578"/>
      <c r="D53" s="2604" t="s">
        <v>3669</v>
      </c>
      <c r="E53" s="2577"/>
      <c r="F53" s="2587" t="s">
        <v>3607</v>
      </c>
      <c r="G53" s="2628"/>
      <c r="I53" s="1"/>
      <c r="J53" s="1"/>
      <c r="K53" s="1"/>
      <c r="L53" s="1"/>
      <c r="N53" s="1">
        <f t="shared" si="0"/>
        <v>0</v>
      </c>
      <c r="O53" s="1" t="str">
        <f t="shared" si="1"/>
        <v/>
      </c>
      <c r="P53" s="1360"/>
      <c r="Q53" s="1359" t="s">
        <v>1938</v>
      </c>
      <c r="R53" s="1367">
        <f t="shared" si="2"/>
        <v>0</v>
      </c>
    </row>
    <row r="54" spans="1:18" ht="15" customHeight="1">
      <c r="A54" s="2642"/>
      <c r="B54" s="2625" t="s">
        <v>3670</v>
      </c>
      <c r="C54" s="2580">
        <f>E54+E55</f>
        <v>0</v>
      </c>
      <c r="D54" s="2578" t="s">
        <v>3671</v>
      </c>
      <c r="E54" s="2577"/>
      <c r="F54" s="2587" t="s">
        <v>3658</v>
      </c>
      <c r="G54" s="2628"/>
      <c r="I54" s="1" t="s">
        <v>379</v>
      </c>
      <c r="J54" s="1544">
        <f>C54</f>
        <v>0</v>
      </c>
      <c r="K54" s="1">
        <f>J54/$J$66</f>
        <v>0</v>
      </c>
      <c r="L54" s="1"/>
      <c r="N54" s="1">
        <f t="shared" si="0"/>
        <v>0</v>
      </c>
      <c r="O54" s="1" t="str">
        <f t="shared" si="1"/>
        <v/>
      </c>
      <c r="P54" s="1358" t="s">
        <v>1930</v>
      </c>
      <c r="Q54" s="1359" t="s">
        <v>1641</v>
      </c>
      <c r="R54" s="1367">
        <f t="shared" si="2"/>
        <v>0</v>
      </c>
    </row>
    <row r="55" spans="1:18" ht="15" customHeight="1">
      <c r="A55" s="2642"/>
      <c r="B55" s="2625"/>
      <c r="C55" s="2578"/>
      <c r="D55" s="2604" t="s">
        <v>3672</v>
      </c>
      <c r="E55" s="2577"/>
      <c r="F55" s="2587" t="s">
        <v>3658</v>
      </c>
      <c r="G55" s="2628"/>
      <c r="I55" s="1"/>
      <c r="J55" s="1"/>
      <c r="K55" s="1"/>
      <c r="L55" s="1"/>
      <c r="N55" s="1">
        <f t="shared" si="0"/>
        <v>0</v>
      </c>
      <c r="O55" s="1" t="str">
        <f t="shared" si="1"/>
        <v/>
      </c>
      <c r="P55" s="1360"/>
      <c r="Q55" s="1359" t="s">
        <v>1931</v>
      </c>
      <c r="R55" s="1367">
        <f t="shared" si="2"/>
        <v>0</v>
      </c>
    </row>
    <row r="56" spans="1:18" ht="15" customHeight="1">
      <c r="A56" s="2642"/>
      <c r="B56" s="2625" t="s">
        <v>3673</v>
      </c>
      <c r="C56" s="2603"/>
      <c r="D56" s="2578" t="s">
        <v>3658</v>
      </c>
      <c r="E56" s="2748"/>
      <c r="F56" s="2587"/>
      <c r="G56" s="2628"/>
      <c r="I56" s="1" t="s">
        <v>380</v>
      </c>
      <c r="J56" s="1777">
        <f>C56</f>
        <v>0</v>
      </c>
      <c r="K56" s="1">
        <f>J56/$J$66</f>
        <v>0</v>
      </c>
      <c r="L56" s="1"/>
      <c r="N56" s="1">
        <f t="shared" si="0"/>
        <v>0</v>
      </c>
      <c r="O56" s="1" t="str">
        <f t="shared" si="1"/>
        <v/>
      </c>
      <c r="P56" s="1359" t="s">
        <v>380</v>
      </c>
      <c r="Q56" s="1361"/>
      <c r="R56" s="1367">
        <f>C56</f>
        <v>0</v>
      </c>
    </row>
    <row r="57" spans="1:18" ht="15" customHeight="1">
      <c r="A57" s="2642"/>
      <c r="B57" s="2625" t="s">
        <v>3674</v>
      </c>
      <c r="C57" s="2580">
        <f>E57+E58+E59</f>
        <v>0</v>
      </c>
      <c r="D57" s="2578" t="s">
        <v>3675</v>
      </c>
      <c r="E57" s="2577"/>
      <c r="F57" s="2587" t="s">
        <v>3658</v>
      </c>
      <c r="G57" s="2628"/>
      <c r="I57" s="1" t="s">
        <v>381</v>
      </c>
      <c r="J57" s="1">
        <f>C57</f>
        <v>0</v>
      </c>
      <c r="K57" s="1">
        <f>J57/$J$66</f>
        <v>0</v>
      </c>
      <c r="L57" s="1"/>
      <c r="N57" s="1">
        <f t="shared" si="0"/>
        <v>0</v>
      </c>
      <c r="O57" s="1" t="str">
        <f t="shared" si="1"/>
        <v/>
      </c>
      <c r="P57" s="1358" t="s">
        <v>1939</v>
      </c>
      <c r="Q57" s="1359" t="s">
        <v>1940</v>
      </c>
      <c r="R57" s="1367">
        <f t="shared" si="2"/>
        <v>0</v>
      </c>
    </row>
    <row r="58" spans="1:18" ht="15" customHeight="1">
      <c r="A58" s="2642"/>
      <c r="B58" s="2625"/>
      <c r="C58" s="2578"/>
      <c r="D58" s="2604" t="s">
        <v>3676</v>
      </c>
      <c r="E58" s="2577"/>
      <c r="F58" s="2587" t="s">
        <v>3658</v>
      </c>
      <c r="G58" s="2628"/>
      <c r="I58" s="1"/>
      <c r="J58" s="1"/>
      <c r="K58" s="1"/>
      <c r="L58" s="1"/>
      <c r="N58" s="1">
        <f t="shared" si="0"/>
        <v>0</v>
      </c>
      <c r="O58" s="1" t="str">
        <f t="shared" si="1"/>
        <v/>
      </c>
      <c r="P58" s="1362"/>
      <c r="Q58" s="1359" t="s">
        <v>1941</v>
      </c>
      <c r="R58" s="1367">
        <f t="shared" si="2"/>
        <v>0</v>
      </c>
    </row>
    <row r="59" spans="1:18" ht="15" customHeight="1">
      <c r="A59" s="2642"/>
      <c r="B59" s="2625"/>
      <c r="C59" s="2578"/>
      <c r="D59" s="2604" t="s">
        <v>3677</v>
      </c>
      <c r="E59" s="2577"/>
      <c r="F59" s="2587" t="s">
        <v>3658</v>
      </c>
      <c r="G59" s="2628"/>
      <c r="I59" s="1"/>
      <c r="J59" s="1"/>
      <c r="K59" s="1"/>
      <c r="L59" s="1"/>
      <c r="N59" s="1">
        <f t="shared" si="0"/>
        <v>0</v>
      </c>
      <c r="O59" s="1" t="str">
        <f t="shared" si="1"/>
        <v/>
      </c>
      <c r="P59" s="1362"/>
      <c r="Q59" s="1356" t="s">
        <v>1942</v>
      </c>
      <c r="R59" s="1367">
        <f t="shared" si="2"/>
        <v>0</v>
      </c>
    </row>
    <row r="60" spans="1:18" ht="15" customHeight="1">
      <c r="A60" s="2642"/>
      <c r="B60" s="2625" t="s">
        <v>3678</v>
      </c>
      <c r="C60" s="2603"/>
      <c r="D60" s="2605" t="s">
        <v>3617</v>
      </c>
      <c r="E60" s="2577"/>
      <c r="F60" s="2587" t="s">
        <v>3667</v>
      </c>
      <c r="G60" s="2628"/>
      <c r="I60" s="1" t="s">
        <v>385</v>
      </c>
      <c r="J60" s="1">
        <f>C60</f>
        <v>0</v>
      </c>
      <c r="K60" s="1">
        <f>J60/$J$66</f>
        <v>0</v>
      </c>
      <c r="L60" s="1"/>
      <c r="N60" s="1">
        <f t="shared" si="0"/>
        <v>0</v>
      </c>
      <c r="O60" s="1" t="str">
        <f t="shared" si="1"/>
        <v/>
      </c>
      <c r="P60" s="1359" t="s">
        <v>385</v>
      </c>
      <c r="Q60" s="1361"/>
      <c r="R60" s="1367">
        <f>C60</f>
        <v>0</v>
      </c>
    </row>
    <row r="61" spans="1:18" ht="15" customHeight="1">
      <c r="A61" s="2642"/>
      <c r="B61" s="2625" t="s">
        <v>3679</v>
      </c>
      <c r="C61" s="2603"/>
      <c r="D61" s="2578" t="s">
        <v>3658</v>
      </c>
      <c r="E61" s="2748"/>
      <c r="F61" s="2587"/>
      <c r="G61" s="2628"/>
      <c r="I61" s="1" t="s">
        <v>382</v>
      </c>
      <c r="J61" s="1">
        <f>C61</f>
        <v>0</v>
      </c>
      <c r="K61" s="1">
        <f>J61/$J$66</f>
        <v>0</v>
      </c>
      <c r="L61" s="1">
        <f>J61*F68</f>
        <v>0</v>
      </c>
      <c r="N61" s="1">
        <f t="shared" si="0"/>
        <v>0</v>
      </c>
      <c r="O61" s="1" t="str">
        <f t="shared" si="1"/>
        <v/>
      </c>
      <c r="P61" s="1359" t="s">
        <v>382</v>
      </c>
      <c r="Q61" s="1361"/>
      <c r="R61" s="1367">
        <f>C61</f>
        <v>0</v>
      </c>
    </row>
    <row r="62" spans="1:18" ht="15" customHeight="1">
      <c r="A62" s="2642"/>
      <c r="B62" s="2625" t="s">
        <v>3680</v>
      </c>
      <c r="C62" s="2603"/>
      <c r="D62" s="2578" t="s">
        <v>3658</v>
      </c>
      <c r="E62" s="2748"/>
      <c r="F62" s="2587"/>
      <c r="G62" s="2628"/>
      <c r="I62" s="1" t="s">
        <v>563</v>
      </c>
      <c r="J62" s="1">
        <f>C62</f>
        <v>0</v>
      </c>
      <c r="K62" s="1">
        <f>J62/$J$66</f>
        <v>0</v>
      </c>
      <c r="L62" s="1">
        <f>J62*F69</f>
        <v>0</v>
      </c>
      <c r="N62" s="1">
        <f t="shared" si="0"/>
        <v>0</v>
      </c>
      <c r="O62" s="1" t="str">
        <f t="shared" si="1"/>
        <v/>
      </c>
      <c r="P62" s="1359" t="s">
        <v>1932</v>
      </c>
      <c r="Q62" s="1361"/>
      <c r="R62" s="1367">
        <f>C62</f>
        <v>0</v>
      </c>
    </row>
    <row r="63" spans="1:18" ht="15" customHeight="1">
      <c r="A63" s="2642"/>
      <c r="B63" s="2625" t="s">
        <v>3681</v>
      </c>
      <c r="C63" s="2580">
        <f>SUM(C47:C62)</f>
        <v>5000</v>
      </c>
      <c r="D63" s="2578" t="s">
        <v>3658</v>
      </c>
      <c r="E63" s="2748"/>
      <c r="F63" s="2587"/>
      <c r="G63" s="2628"/>
      <c r="I63" s="1"/>
      <c r="J63" s="1"/>
      <c r="K63" s="1"/>
      <c r="L63" s="1"/>
      <c r="N63" s="1">
        <f t="shared" si="0"/>
        <v>0</v>
      </c>
      <c r="O63" s="1" t="str">
        <f t="shared" si="1"/>
        <v/>
      </c>
      <c r="P63" s="1366"/>
      <c r="Q63" s="1357"/>
    </row>
    <row r="64" spans="1:18" ht="15" customHeight="1">
      <c r="A64" s="2642"/>
      <c r="B64" s="2625" t="s">
        <v>3682</v>
      </c>
      <c r="C64" s="2580">
        <f>E64+E65</f>
        <v>0</v>
      </c>
      <c r="D64" s="2578" t="s">
        <v>3618</v>
      </c>
      <c r="E64" s="2577"/>
      <c r="F64" s="2587" t="s">
        <v>3683</v>
      </c>
      <c r="G64" s="2628"/>
      <c r="I64" s="1" t="s">
        <v>384</v>
      </c>
      <c r="J64" s="1">
        <f>C64</f>
        <v>0</v>
      </c>
      <c r="K64" s="1">
        <f>J64/$J$66</f>
        <v>0</v>
      </c>
      <c r="L64" s="1777">
        <f>E64</f>
        <v>0</v>
      </c>
      <c r="N64" s="1">
        <f t="shared" si="0"/>
        <v>0</v>
      </c>
      <c r="O64" s="1" t="str">
        <f t="shared" si="1"/>
        <v/>
      </c>
      <c r="P64" s="2" t="s">
        <v>1746</v>
      </c>
      <c r="Q64" s="1363" t="s">
        <v>1963</v>
      </c>
      <c r="R64" s="1367">
        <f>E64</f>
        <v>0</v>
      </c>
    </row>
    <row r="65" spans="1:18" ht="15" customHeight="1">
      <c r="A65" s="2642"/>
      <c r="B65" s="2645"/>
      <c r="C65" s="2578"/>
      <c r="D65" s="2604" t="s">
        <v>3608</v>
      </c>
      <c r="E65" s="2577"/>
      <c r="F65" s="2587" t="s">
        <v>3658</v>
      </c>
      <c r="G65" s="2628"/>
      <c r="I65" s="1"/>
      <c r="J65" s="1"/>
      <c r="K65" s="1"/>
      <c r="L65" s="1"/>
      <c r="N65" s="1"/>
      <c r="O65" s="1"/>
      <c r="P65" s="1364"/>
      <c r="Q65" s="1359" t="s">
        <v>388</v>
      </c>
      <c r="R65" s="1367">
        <f>E65</f>
        <v>0</v>
      </c>
    </row>
    <row r="66" spans="1:18" ht="15" customHeight="1">
      <c r="A66" s="2642"/>
      <c r="B66" s="2645"/>
      <c r="C66" s="2578"/>
      <c r="D66" s="2578"/>
      <c r="E66" s="2578"/>
      <c r="F66" s="2579"/>
      <c r="G66" s="2628"/>
      <c r="I66" s="1" t="s">
        <v>386</v>
      </c>
      <c r="J66" s="1">
        <f>SUM(J47:J64)</f>
        <v>5000</v>
      </c>
      <c r="K66" s="1">
        <f>J66/$J$66</f>
        <v>1</v>
      </c>
      <c r="L66" s="1">
        <f>SUM(L47:L64)</f>
        <v>0</v>
      </c>
      <c r="O66" s="1" t="str">
        <f>IF(MAX(N47:N63)&gt;3,"等","")</f>
        <v/>
      </c>
    </row>
    <row r="67" spans="1:18" ht="15" customHeight="1">
      <c r="A67" s="2642"/>
      <c r="B67" s="2618" t="s">
        <v>3684</v>
      </c>
      <c r="C67" s="2600"/>
      <c r="D67" s="2606"/>
      <c r="E67" s="2601"/>
      <c r="F67" s="2602"/>
      <c r="G67" s="2628"/>
      <c r="O67" s="1" t="str">
        <f>O47&amp;O49&amp;O54&amp;O56&amp;O57&amp;O61&amp;O62&amp;O64&amp;O60&amp;O66</f>
        <v>事務所,</v>
      </c>
    </row>
    <row r="68" spans="1:18" ht="15" customHeight="1">
      <c r="A68" s="2642"/>
      <c r="B68" s="2625" t="s">
        <v>3685</v>
      </c>
      <c r="C68" s="2607"/>
      <c r="D68" s="2607"/>
      <c r="E68" s="2607"/>
      <c r="F68" s="2608"/>
      <c r="G68" s="2628"/>
    </row>
    <row r="69" spans="1:18" ht="15" customHeight="1">
      <c r="A69" s="2642"/>
      <c r="B69" s="2625" t="s">
        <v>3686</v>
      </c>
      <c r="C69" s="2607"/>
      <c r="D69" s="2607"/>
      <c r="E69" s="2607"/>
      <c r="F69" s="2608"/>
      <c r="G69" s="2628"/>
    </row>
    <row r="70" spans="1:18" ht="15" customHeight="1">
      <c r="A70" s="2642"/>
      <c r="B70" s="2625" t="s">
        <v>3687</v>
      </c>
      <c r="C70" s="2609"/>
      <c r="D70" s="2609"/>
      <c r="E70" s="2609"/>
      <c r="F70" s="2610">
        <f>IF(C64=0,0,E64/C64)</f>
        <v>0</v>
      </c>
      <c r="G70" s="2628"/>
    </row>
    <row r="71" spans="1:18" ht="15" customHeight="1" thickBot="1">
      <c r="A71" s="2607"/>
      <c r="B71" s="2626"/>
      <c r="C71" s="2611"/>
      <c r="D71" s="2611"/>
      <c r="E71" s="2611"/>
      <c r="F71" s="2612"/>
      <c r="G71" s="2607"/>
    </row>
    <row r="72" spans="1:18" ht="5.25" customHeight="1" thickBot="1">
      <c r="A72" s="2607"/>
      <c r="B72" s="2607"/>
      <c r="C72" s="2607"/>
      <c r="D72" s="2607"/>
      <c r="E72" s="2607"/>
      <c r="F72" s="2607"/>
      <c r="G72" s="2607"/>
    </row>
    <row r="73" spans="1:18" ht="15" customHeight="1" thickBot="1">
      <c r="A73" s="2642"/>
      <c r="B73" s="2646" t="s">
        <v>3688</v>
      </c>
      <c r="C73" s="2647"/>
      <c r="D73" s="2647"/>
      <c r="E73" s="2648"/>
      <c r="F73" s="2649"/>
      <c r="G73" s="2628"/>
    </row>
    <row r="74" spans="1:18" ht="15" customHeight="1" thickBot="1">
      <c r="A74" s="2642"/>
      <c r="B74" s="2650" t="s">
        <v>3689</v>
      </c>
      <c r="C74" s="2651" t="s">
        <v>3690</v>
      </c>
      <c r="D74" s="2652"/>
      <c r="E74" s="2653"/>
      <c r="F74" s="2654"/>
      <c r="G74" s="2628"/>
    </row>
    <row r="75" spans="1:18" ht="15" customHeight="1">
      <c r="A75" s="2642"/>
      <c r="B75" s="2655" t="s">
        <v>3691</v>
      </c>
      <c r="C75" s="2656" t="s">
        <v>3692</v>
      </c>
      <c r="D75" s="2657"/>
      <c r="E75" s="2657" t="s">
        <v>3693</v>
      </c>
      <c r="F75" s="2658"/>
      <c r="G75" s="2628"/>
    </row>
    <row r="76" spans="1:18" ht="15" customHeight="1" thickBot="1">
      <c r="A76" s="2628"/>
      <c r="B76" s="2650" t="s">
        <v>3694</v>
      </c>
      <c r="C76" s="2659" t="s">
        <v>3695</v>
      </c>
      <c r="D76" s="2660"/>
      <c r="E76" s="2660" t="s">
        <v>3696</v>
      </c>
      <c r="F76" s="2661"/>
      <c r="G76" s="2628"/>
    </row>
    <row r="77" spans="1:18" ht="5.25" customHeight="1">
      <c r="A77" s="2642"/>
      <c r="B77" s="2642"/>
      <c r="C77" s="2642"/>
      <c r="D77" s="2642"/>
      <c r="E77" s="2642"/>
      <c r="F77" s="2642"/>
      <c r="G77" s="2628"/>
    </row>
    <row r="78" spans="1:18" ht="15" customHeight="1">
      <c r="A78" s="2628"/>
      <c r="B78" s="2662" t="s">
        <v>3697</v>
      </c>
      <c r="C78" s="2663" t="s">
        <v>3698</v>
      </c>
      <c r="D78" s="2664"/>
      <c r="E78" s="2665"/>
      <c r="F78" s="2666"/>
      <c r="G78" s="2628"/>
    </row>
    <row r="79" spans="1:18" ht="15" customHeight="1">
      <c r="A79" s="2628"/>
      <c r="B79" s="2667" t="s">
        <v>3699</v>
      </c>
      <c r="C79" s="2668" t="s">
        <v>3700</v>
      </c>
      <c r="D79" s="2669"/>
      <c r="E79" s="2670"/>
      <c r="F79" s="2671"/>
      <c r="G79" s="2672"/>
    </row>
    <row r="80" spans="1:18" ht="15" customHeight="1">
      <c r="A80" s="2628"/>
      <c r="B80" s="2673" t="s">
        <v>3665</v>
      </c>
      <c r="C80" s="2674" t="s">
        <v>3701</v>
      </c>
      <c r="D80" s="2675"/>
      <c r="E80" s="2676"/>
      <c r="F80" s="2677"/>
      <c r="G80" s="2672"/>
    </row>
    <row r="81" spans="1:7" ht="15" customHeight="1">
      <c r="A81" s="2628"/>
      <c r="B81" s="2673" t="s">
        <v>3670</v>
      </c>
      <c r="C81" s="2674" t="s">
        <v>3702</v>
      </c>
      <c r="D81" s="2675"/>
      <c r="E81" s="2676"/>
      <c r="F81" s="2677"/>
      <c r="G81" s="2672"/>
    </row>
    <row r="82" spans="1:7" ht="15" customHeight="1">
      <c r="A82" s="2628"/>
      <c r="B82" s="2673" t="s">
        <v>3673</v>
      </c>
      <c r="C82" s="2674" t="s">
        <v>3703</v>
      </c>
      <c r="D82" s="2675"/>
      <c r="E82" s="2676"/>
      <c r="F82" s="2677"/>
      <c r="G82" s="2672"/>
    </row>
    <row r="83" spans="1:7" ht="15" customHeight="1">
      <c r="A83" s="2628"/>
      <c r="B83" s="2673" t="s">
        <v>3674</v>
      </c>
      <c r="C83" s="2678" t="s">
        <v>3704</v>
      </c>
      <c r="D83" s="2675"/>
      <c r="E83" s="2676"/>
      <c r="F83" s="2677"/>
      <c r="G83" s="2672"/>
    </row>
    <row r="84" spans="1:7" ht="15" customHeight="1">
      <c r="A84" s="2628"/>
      <c r="B84" s="2673" t="s">
        <v>3678</v>
      </c>
      <c r="C84" s="2674" t="s">
        <v>3705</v>
      </c>
      <c r="D84" s="2675"/>
      <c r="E84" s="2679"/>
      <c r="F84" s="2677"/>
      <c r="G84" s="2672"/>
    </row>
    <row r="85" spans="1:7" ht="15" customHeight="1">
      <c r="A85" s="2628"/>
      <c r="B85" s="2673" t="s">
        <v>3679</v>
      </c>
      <c r="C85" s="2674" t="s">
        <v>3706</v>
      </c>
      <c r="D85" s="2675"/>
      <c r="E85" s="2676"/>
      <c r="F85" s="2677"/>
      <c r="G85" s="2672"/>
    </row>
    <row r="86" spans="1:7" ht="15" customHeight="1">
      <c r="A86" s="2628"/>
      <c r="B86" s="2673" t="s">
        <v>3680</v>
      </c>
      <c r="C86" s="2674" t="s">
        <v>3707</v>
      </c>
      <c r="D86" s="2675"/>
      <c r="E86" s="2676"/>
      <c r="F86" s="2677"/>
      <c r="G86" s="2672"/>
    </row>
    <row r="87" spans="1:7" ht="15" customHeight="1">
      <c r="A87" s="2628"/>
      <c r="B87" s="2680" t="s">
        <v>3682</v>
      </c>
      <c r="C87" s="2681" t="s">
        <v>3708</v>
      </c>
      <c r="D87" s="2682"/>
      <c r="E87" s="2683"/>
      <c r="F87" s="2684"/>
      <c r="G87" s="2672"/>
    </row>
    <row r="88" spans="1:7" ht="14.25">
      <c r="A88" s="2628"/>
      <c r="B88" s="2628"/>
      <c r="C88" s="2628"/>
      <c r="D88" s="2628"/>
      <c r="E88" s="2628"/>
      <c r="F88" s="2628"/>
      <c r="G88" s="2628"/>
    </row>
  </sheetData>
  <sheetProtection algorithmName="SHA-512" hashValue="UbzQ+KSzJs33YEmHlnO4YKmHPxd/V/wyDDuZ786ytoq46NOw3ydBSQ2vkX/41rny6PjBbXtmkHsXiWbGeGPHJQ==" saltValue="TLZUIWgzc76UsBk0hfkVPg==" spinCount="100000" sheet="1" objects="1" scenarios="1"/>
  <mergeCells count="6">
    <mergeCell ref="C11:E11"/>
    <mergeCell ref="C27:E27"/>
    <mergeCell ref="C12:E12"/>
    <mergeCell ref="C14:E14"/>
    <mergeCell ref="C20:E20"/>
    <mergeCell ref="C21:E21"/>
  </mergeCells>
  <phoneticPr fontId="22"/>
  <conditionalFormatting sqref="C11:C18 F12:F13 D12:E14 F15 C20:E20 C22:C23 E39 E47:E55 C56 C60:C62 E64:E65">
    <cfRule type="cellIs" dxfId="131" priority="8" stopIfTrue="1" operator="equal">
      <formula>0</formula>
    </cfRule>
  </conditionalFormatting>
  <conditionalFormatting sqref="C26">
    <cfRule type="cellIs" dxfId="130" priority="5" stopIfTrue="1" operator="equal">
      <formula>0</formula>
    </cfRule>
  </conditionalFormatting>
  <conditionalFormatting sqref="C29:C30">
    <cfRule type="cellIs" dxfId="129" priority="2" stopIfTrue="1" operator="equal">
      <formula>0</formula>
    </cfRule>
  </conditionalFormatting>
  <conditionalFormatting sqref="C32:C34">
    <cfRule type="cellIs" dxfId="128" priority="6" stopIfTrue="1" operator="equal">
      <formula>0</formula>
    </cfRule>
  </conditionalFormatting>
  <conditionalFormatting sqref="C39:C41">
    <cfRule type="cellIs" dxfId="127" priority="1" stopIfTrue="1" operator="equal">
      <formula>0</formula>
    </cfRule>
  </conditionalFormatting>
  <conditionalFormatting sqref="C27:E27">
    <cfRule type="cellIs" dxfId="126" priority="4" stopIfTrue="1" operator="equal">
      <formula>0</formula>
    </cfRule>
  </conditionalFormatting>
  <conditionalFormatting sqref="E57:E60">
    <cfRule type="cellIs" dxfId="125" priority="7" stopIfTrue="1" operator="equal">
      <formula>0</formula>
    </cfRule>
  </conditionalFormatting>
  <conditionalFormatting sqref="F68">
    <cfRule type="expression" dxfId="124" priority="10" stopIfTrue="1">
      <formula>AND($C$61&gt;0,F68=0)</formula>
    </cfRule>
  </conditionalFormatting>
  <conditionalFormatting sqref="F69">
    <cfRule type="expression" dxfId="123" priority="9" stopIfTrue="1">
      <formula>AND($C$62&gt;0,F69=0)</formula>
    </cfRule>
  </conditionalFormatting>
  <dataValidations count="7">
    <dataValidation type="list" allowBlank="1" showInputMessage="1" showErrorMessage="1" sqref="F15" xr:uid="{00000000-0002-0000-0200-000000000000}">
      <formula1>"予定,竣工"</formula1>
    </dataValidation>
    <dataValidation type="decimal" allowBlank="1" showInputMessage="1" showErrorMessage="1" sqref="F68:F69" xr:uid="{00000000-0002-0000-0200-000001000000}">
      <formula1>0</formula1>
      <formula2>1</formula2>
    </dataValidation>
    <dataValidation type="list" allowBlank="1" showInputMessage="1" showErrorMessage="1" sqref="C23" xr:uid="{00000000-0002-0000-0200-000002000000}">
      <formula1>$I$23:$L$23</formula1>
    </dataValidation>
    <dataValidation type="list" allowBlank="1" showInputMessage="1" showErrorMessage="1" sqref="C43" xr:uid="{00000000-0002-0000-0200-000003000000}">
      <formula1>$I$43:$I$44</formula1>
    </dataValidation>
    <dataValidation type="list" allowBlank="1" showInputMessage="1" showErrorMessage="1" sqref="F13" xr:uid="{00000000-0002-0000-0200-000004000000}">
      <formula1>$I$11:$I$16</formula1>
    </dataValidation>
    <dataValidation type="list" allowBlank="1" showInputMessage="1" showErrorMessage="1" sqref="F12" xr:uid="{00000000-0002-0000-0200-000005000000}">
      <formula1>$I$11:$I$18</formula1>
    </dataValidation>
    <dataValidation type="list" allowBlank="1" showInputMessage="1" showErrorMessage="1" sqref="E39" xr:uid="{00000000-0002-0000-0200-000006000000}">
      <formula1>$I$37:$I$39</formula1>
    </dataValidation>
  </dataValidations>
  <hyperlinks>
    <hyperlink ref="C75" location="結果!A1" tooltip="[結果]シート" display="●結果　" xr:uid="{00000000-0004-0000-0200-000000000000}"/>
    <hyperlink ref="C74" location="スコア!A1" tooltip="[スコア入力]シート" display="●スコア" xr:uid="{00000000-0004-0000-0200-000001000000}"/>
    <hyperlink ref="C76" location="'条件(標準)'!A1" tooltip="[条件（標準）]シート" display="●標準計算" xr:uid="{00000000-0004-0000-0200-000002000000}"/>
    <hyperlink ref="E76" location="'条件(個別)'!A1" tooltip="[条件（個別 ）]シート" display="●個別計算" xr:uid="{00000000-0004-0000-0200-000003000000}"/>
    <hyperlink ref="E75" location="CO2計算!A1" tooltip="[CO2計算]シート" display="●LCCO2計算" xr:uid="{00000000-0004-0000-0200-000004000000}"/>
  </hyperlinks>
  <printOptions horizontalCentered="1"/>
  <pageMargins left="0.59055118110236227" right="0.59055118110236227" top="0.78740157480314965" bottom="0.59055118110236227" header="0.51181102362204722" footer="0.51181102362204722"/>
  <pageSetup paperSize="9" scale="96" orientation="portrait" verticalDpi="4294967293" r:id="rId1"/>
  <headerFooter alignWithMargins="0">
    <oddHeader>&amp;L&amp;F&amp;R&amp;A</oddHeader>
    <oddFooter>&amp;C&amp;P/&amp;N</oddFooter>
  </headerFooter>
  <colBreaks count="1" manualBreakCount="1">
    <brk id="15" max="1048575"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pageSetUpPr fitToPage="1"/>
  </sheetPr>
  <dimension ref="A1:S38"/>
  <sheetViews>
    <sheetView showGridLines="0" workbookViewId="0"/>
  </sheetViews>
  <sheetFormatPr defaultColWidth="0" defaultRowHeight="13.5" customHeight="1" zeroHeight="1"/>
  <cols>
    <col min="1" max="1" width="1.125" customWidth="1"/>
    <col min="2" max="18" width="8.75" customWidth="1"/>
    <col min="19" max="19" width="1.5" customWidth="1"/>
    <col min="20" max="16384" width="8.75" hidden="1"/>
  </cols>
  <sheetData>
    <row r="1" spans="2:18" ht="13.5" customHeight="1">
      <c r="B1" s="1279"/>
      <c r="C1" s="1279"/>
      <c r="D1" s="1279"/>
      <c r="E1" s="1279"/>
      <c r="F1" s="1279"/>
      <c r="G1" s="1279"/>
      <c r="H1" s="1279"/>
      <c r="I1" s="1279"/>
      <c r="J1" s="1279"/>
      <c r="K1" s="1279"/>
      <c r="L1" s="1279"/>
      <c r="M1" s="1279"/>
      <c r="N1" s="1279"/>
      <c r="O1" s="1279"/>
      <c r="P1" s="1279"/>
      <c r="Q1" s="1279"/>
      <c r="R1" s="1279"/>
    </row>
    <row r="2" spans="2:18" ht="13.5" customHeight="1">
      <c r="B2" s="1279"/>
      <c r="C2" s="1279"/>
      <c r="D2" s="1279"/>
      <c r="E2" s="1279"/>
      <c r="F2" s="1279"/>
      <c r="G2" s="1279"/>
      <c r="H2" s="1279"/>
      <c r="I2" s="1279"/>
      <c r="J2" s="1279"/>
      <c r="K2" s="1279"/>
      <c r="L2" s="1279"/>
      <c r="M2" s="1279"/>
      <c r="N2" s="1279"/>
      <c r="O2" s="1279"/>
      <c r="P2" s="1279"/>
      <c r="Q2" s="1279"/>
      <c r="R2" s="1279"/>
    </row>
    <row r="3" spans="2:18" ht="13.5" customHeight="1">
      <c r="B3" s="1279"/>
      <c r="C3" s="1279"/>
      <c r="D3" s="1279"/>
      <c r="E3" s="1279"/>
      <c r="F3" s="1279"/>
      <c r="G3" s="1279"/>
      <c r="H3" s="1279"/>
      <c r="I3" s="1279"/>
      <c r="J3" s="1279"/>
      <c r="K3" s="1279"/>
      <c r="L3" s="1279"/>
      <c r="M3" s="1279"/>
      <c r="N3" s="1279"/>
      <c r="O3" s="1279"/>
      <c r="P3" s="1279"/>
      <c r="Q3" s="1279"/>
      <c r="R3" s="1279"/>
    </row>
    <row r="4" spans="2:18" ht="13.5" customHeight="1">
      <c r="B4" s="1279"/>
      <c r="C4" s="1279"/>
      <c r="D4" s="1279"/>
      <c r="E4" s="1279"/>
      <c r="F4" s="1279"/>
      <c r="G4" s="1279"/>
      <c r="H4" s="1279"/>
      <c r="I4" s="1279"/>
      <c r="J4" s="1279"/>
      <c r="K4" s="1279"/>
      <c r="L4" s="1279"/>
      <c r="M4" s="1279"/>
      <c r="N4" s="1279"/>
      <c r="O4" s="1279"/>
      <c r="P4" s="1279"/>
      <c r="Q4" s="1279"/>
      <c r="R4" s="1279"/>
    </row>
    <row r="5" spans="2:18" ht="13.5" customHeight="1">
      <c r="B5" s="1279"/>
      <c r="C5" s="1279"/>
      <c r="D5" s="1279"/>
      <c r="E5" s="1279"/>
      <c r="F5" s="1279"/>
      <c r="G5" s="1279"/>
      <c r="H5" s="1279"/>
      <c r="I5" s="1279"/>
      <c r="J5" s="1279"/>
      <c r="K5" s="1279"/>
      <c r="L5" s="1279"/>
      <c r="M5" s="1279"/>
      <c r="N5" s="1279"/>
      <c r="O5" s="1279"/>
      <c r="P5" s="1279"/>
      <c r="Q5" s="1279"/>
      <c r="R5" s="1279"/>
    </row>
    <row r="6" spans="2:18" ht="13.5" customHeight="1">
      <c r="B6" s="1279"/>
      <c r="C6" s="1279"/>
      <c r="D6" s="1279"/>
      <c r="E6" s="1279"/>
      <c r="F6" s="1279"/>
      <c r="G6" s="1279"/>
      <c r="H6" s="1279"/>
      <c r="I6" s="1279"/>
      <c r="J6" s="1279"/>
      <c r="K6" s="1279"/>
      <c r="L6" s="1279"/>
      <c r="M6" s="1279"/>
      <c r="N6" s="1279"/>
      <c r="O6" s="1279"/>
      <c r="P6" s="1279"/>
      <c r="Q6" s="1279"/>
      <c r="R6" s="1279"/>
    </row>
    <row r="7" spans="2:18" ht="13.5" customHeight="1">
      <c r="B7" s="1279"/>
      <c r="C7" s="1279"/>
      <c r="D7" s="1279"/>
      <c r="E7" s="1279"/>
      <c r="F7" s="1279"/>
      <c r="G7" s="1279"/>
      <c r="H7" s="1279"/>
      <c r="I7" s="1279"/>
      <c r="J7" s="1279"/>
      <c r="K7" s="1279"/>
      <c r="L7" s="1279"/>
      <c r="M7" s="1279"/>
      <c r="N7" s="1279"/>
      <c r="O7" s="1279"/>
      <c r="P7" s="1279"/>
      <c r="Q7" s="1279"/>
      <c r="R7" s="1279"/>
    </row>
    <row r="8" spans="2:18" ht="13.5" customHeight="1">
      <c r="B8" s="1279"/>
      <c r="C8" s="1279"/>
      <c r="D8" s="1279"/>
      <c r="E8" s="1279"/>
      <c r="F8" s="1279"/>
      <c r="G8" s="1279"/>
      <c r="H8" s="1279"/>
      <c r="I8" s="1279"/>
      <c r="J8" s="1279"/>
      <c r="K8" s="1279"/>
      <c r="L8" s="1279"/>
      <c r="M8" s="1279"/>
      <c r="N8" s="1279"/>
      <c r="O8" s="1279"/>
      <c r="P8" s="1279"/>
      <c r="Q8" s="1279"/>
      <c r="R8" s="1279"/>
    </row>
    <row r="9" spans="2:18" ht="13.5" customHeight="1">
      <c r="B9" s="1279"/>
      <c r="C9" s="1279"/>
      <c r="D9" s="1279"/>
      <c r="E9" s="1279"/>
      <c r="F9" s="1279"/>
      <c r="G9" s="1279"/>
      <c r="H9" s="1279"/>
      <c r="I9" s="1279"/>
      <c r="J9" s="1279"/>
      <c r="K9" s="1279"/>
      <c r="L9" s="1279"/>
      <c r="M9" s="1279"/>
      <c r="N9" s="1279"/>
      <c r="O9" s="1279"/>
      <c r="P9" s="1279"/>
      <c r="Q9" s="1279"/>
      <c r="R9" s="1279"/>
    </row>
    <row r="10" spans="2:18" ht="13.5" customHeight="1">
      <c r="B10" s="1279"/>
      <c r="C10" s="1279"/>
      <c r="D10" s="1279"/>
      <c r="E10" s="1279"/>
      <c r="F10" s="1279"/>
      <c r="G10" s="1279"/>
      <c r="H10" s="1279"/>
      <c r="I10" s="1279"/>
      <c r="J10" s="1279"/>
      <c r="K10" s="1279"/>
      <c r="L10" s="1279"/>
      <c r="M10" s="1279"/>
      <c r="N10" s="1279"/>
      <c r="O10" s="1279"/>
      <c r="P10" s="1279"/>
      <c r="Q10" s="1279"/>
      <c r="R10" s="1279"/>
    </row>
    <row r="11" spans="2:18" ht="13.5" customHeight="1">
      <c r="B11" s="1279"/>
      <c r="C11" s="1279"/>
      <c r="D11" s="1279"/>
      <c r="E11" s="1279"/>
      <c r="F11" s="1279"/>
      <c r="G11" s="1279"/>
      <c r="H11" s="1279"/>
      <c r="I11" s="1279"/>
      <c r="J11" s="1279"/>
      <c r="K11" s="1279"/>
      <c r="L11" s="1279"/>
      <c r="M11" s="1279"/>
      <c r="N11" s="1279"/>
      <c r="O11" s="1279"/>
      <c r="P11" s="1279"/>
      <c r="Q11" s="1279"/>
      <c r="R11" s="1279"/>
    </row>
    <row r="12" spans="2:18" ht="13.5" customHeight="1">
      <c r="B12" s="1279"/>
      <c r="C12" s="1279"/>
      <c r="D12" s="1279"/>
      <c r="E12" s="1279"/>
      <c r="F12" s="1279"/>
      <c r="G12" s="1279"/>
      <c r="H12" s="1279"/>
      <c r="I12" s="1279"/>
      <c r="J12" s="1279"/>
      <c r="K12" s="1279"/>
      <c r="L12" s="1279"/>
      <c r="M12" s="1279"/>
      <c r="N12" s="1279"/>
      <c r="O12" s="1279"/>
      <c r="P12" s="1279"/>
      <c r="Q12" s="1279"/>
      <c r="R12" s="1279"/>
    </row>
    <row r="13" spans="2:18" ht="18.75">
      <c r="B13" s="1279"/>
      <c r="C13" s="1279"/>
      <c r="D13" s="1279"/>
      <c r="E13" s="1280"/>
      <c r="F13" s="1279"/>
      <c r="G13" s="1279"/>
      <c r="H13" s="1279"/>
      <c r="I13" s="1279"/>
      <c r="J13" s="1279"/>
      <c r="K13" s="1279"/>
      <c r="L13" s="1279"/>
      <c r="M13" s="1279"/>
      <c r="N13" s="1279"/>
      <c r="O13" s="1279"/>
      <c r="P13" s="1279"/>
      <c r="Q13" s="1279"/>
      <c r="R13" s="1279"/>
    </row>
    <row r="14" spans="2:18" ht="13.5" customHeight="1">
      <c r="B14" s="1279"/>
      <c r="C14" s="1279"/>
      <c r="D14" s="1279"/>
      <c r="E14" s="1279"/>
      <c r="F14" s="1279"/>
      <c r="G14" s="1279"/>
      <c r="H14" s="1279"/>
      <c r="I14" s="1279"/>
      <c r="J14" s="1279"/>
      <c r="K14" s="1279"/>
      <c r="L14" s="1279"/>
      <c r="M14" s="1279"/>
      <c r="N14" s="1279"/>
      <c r="O14" s="1279"/>
      <c r="P14" s="1279"/>
      <c r="Q14" s="1279"/>
      <c r="R14" s="1279"/>
    </row>
    <row r="15" spans="2:18" ht="13.5" customHeight="1">
      <c r="B15" s="1279"/>
      <c r="C15" s="1279"/>
      <c r="D15" s="1279"/>
      <c r="E15" s="1279"/>
      <c r="F15" s="1279"/>
      <c r="G15" s="1279"/>
      <c r="H15" s="1279"/>
      <c r="I15" s="1279"/>
      <c r="J15" s="1279"/>
      <c r="K15" s="1279"/>
      <c r="L15" s="1279"/>
      <c r="M15" s="1279"/>
      <c r="N15" s="1279"/>
      <c r="O15" s="1279"/>
      <c r="P15" s="1279"/>
      <c r="Q15" s="1279"/>
      <c r="R15" s="1279"/>
    </row>
    <row r="16" spans="2:18" ht="13.5" customHeight="1">
      <c r="B16" s="1279"/>
      <c r="C16" s="1279"/>
      <c r="D16" s="1279"/>
      <c r="E16" s="1279"/>
      <c r="F16" s="1279"/>
      <c r="G16" s="1279"/>
      <c r="H16" s="1279"/>
      <c r="I16" s="1279"/>
      <c r="J16" s="1279"/>
      <c r="K16" s="1279"/>
      <c r="L16" s="1279"/>
      <c r="M16" s="1279"/>
      <c r="N16" s="1279"/>
      <c r="O16" s="1279"/>
      <c r="P16" s="1279"/>
      <c r="Q16" s="1279"/>
      <c r="R16" s="1279"/>
    </row>
    <row r="17" spans="2:18" ht="13.5" customHeight="1">
      <c r="B17" s="1279"/>
      <c r="C17" s="1279"/>
      <c r="D17" s="1279"/>
      <c r="E17" s="1279"/>
      <c r="F17" s="1279"/>
      <c r="G17" s="1279"/>
      <c r="H17" s="1279"/>
      <c r="I17" s="1279"/>
      <c r="J17" s="1279"/>
      <c r="K17" s="1279"/>
      <c r="L17" s="1279"/>
      <c r="M17" s="1279"/>
      <c r="N17" s="1279"/>
      <c r="O17" s="1279"/>
      <c r="P17" s="1279"/>
      <c r="Q17" s="1279"/>
      <c r="R17" s="1279"/>
    </row>
    <row r="18" spans="2:18" ht="13.5" customHeight="1">
      <c r="B18" s="1279"/>
      <c r="C18" s="1279"/>
      <c r="D18" s="1279"/>
      <c r="E18" s="1279"/>
      <c r="F18" s="1279"/>
      <c r="G18" s="1279"/>
      <c r="H18" s="1279"/>
      <c r="I18" s="1279"/>
      <c r="J18" s="1279"/>
      <c r="K18" s="1279"/>
      <c r="L18" s="1279"/>
      <c r="M18" s="1279"/>
      <c r="N18" s="1279"/>
      <c r="O18" s="1279"/>
      <c r="P18" s="1279"/>
      <c r="Q18" s="1279"/>
      <c r="R18" s="1279"/>
    </row>
    <row r="19" spans="2:18" ht="13.5" customHeight="1">
      <c r="B19" s="1279"/>
      <c r="C19" s="1279"/>
      <c r="D19" s="1279"/>
      <c r="E19" s="1279"/>
      <c r="F19" s="1279"/>
      <c r="G19" s="1279"/>
      <c r="H19" s="1279"/>
      <c r="I19" s="1279"/>
      <c r="J19" s="1279"/>
      <c r="K19" s="1279"/>
      <c r="L19" s="1279"/>
      <c r="M19" s="1279"/>
      <c r="N19" s="1279"/>
      <c r="O19" s="1279"/>
      <c r="P19" s="1279"/>
      <c r="Q19" s="1279"/>
      <c r="R19" s="1279"/>
    </row>
    <row r="20" spans="2:18" ht="13.5" customHeight="1">
      <c r="B20" s="1279"/>
      <c r="C20" s="1279"/>
      <c r="D20" s="1279"/>
      <c r="E20" s="1279"/>
      <c r="F20" s="1279"/>
      <c r="G20" s="1279"/>
      <c r="H20" s="1279"/>
      <c r="I20" s="1279"/>
      <c r="J20" s="1279"/>
      <c r="K20" s="1279"/>
      <c r="L20" s="1279"/>
      <c r="M20" s="1279"/>
      <c r="N20" s="1279"/>
      <c r="O20" s="1279"/>
      <c r="P20" s="1279"/>
      <c r="Q20" s="1279"/>
      <c r="R20" s="1279"/>
    </row>
    <row r="21" spans="2:18" ht="13.5" customHeight="1">
      <c r="B21" s="1279"/>
      <c r="C21" s="1279"/>
      <c r="D21" s="1279"/>
      <c r="E21" s="1279"/>
      <c r="F21" s="1279"/>
      <c r="G21" s="1279"/>
      <c r="H21" s="1279"/>
      <c r="I21" s="1279"/>
      <c r="J21" s="1279"/>
      <c r="K21" s="1279"/>
      <c r="L21" s="1279"/>
      <c r="M21" s="1279"/>
      <c r="N21" s="1279"/>
      <c r="O21" s="1279"/>
      <c r="P21" s="1279"/>
      <c r="Q21" s="1279"/>
      <c r="R21" s="1279"/>
    </row>
    <row r="22" spans="2:18" ht="13.5" customHeight="1">
      <c r="B22" s="1279"/>
      <c r="C22" s="1279"/>
      <c r="D22" s="1279"/>
      <c r="E22" s="1279"/>
      <c r="F22" s="1279"/>
      <c r="G22" s="1279"/>
      <c r="H22" s="1279"/>
      <c r="I22" s="1279"/>
      <c r="J22" s="1279"/>
      <c r="K22" s="1279"/>
      <c r="L22" s="1279"/>
      <c r="M22" s="1279"/>
      <c r="N22" s="1279"/>
      <c r="O22" s="1279"/>
      <c r="P22" s="1279"/>
      <c r="Q22" s="1279"/>
      <c r="R22" s="1279"/>
    </row>
    <row r="23" spans="2:18" ht="13.5" customHeight="1">
      <c r="B23" s="1279"/>
      <c r="C23" s="1279"/>
      <c r="D23" s="1279"/>
      <c r="E23" s="1279"/>
      <c r="F23" s="1279"/>
      <c r="G23" s="1279"/>
      <c r="H23" s="1279"/>
      <c r="I23" s="1279"/>
      <c r="J23" s="1279"/>
      <c r="K23" s="1279"/>
      <c r="L23" s="1279"/>
      <c r="M23" s="1279"/>
      <c r="N23" s="1279"/>
      <c r="O23" s="1279"/>
      <c r="P23" s="1279"/>
      <c r="Q23" s="1279"/>
      <c r="R23" s="1279"/>
    </row>
    <row r="24" spans="2:18" ht="13.5" customHeight="1">
      <c r="B24" s="1279"/>
      <c r="C24" s="1279"/>
      <c r="D24" s="1279"/>
      <c r="E24" s="1279"/>
      <c r="F24" s="1279"/>
      <c r="G24" s="1279"/>
      <c r="H24" s="1279"/>
      <c r="I24" s="1279"/>
      <c r="J24" s="1279"/>
      <c r="K24" s="1279"/>
      <c r="L24" s="1279"/>
      <c r="M24" s="1279"/>
      <c r="N24" s="1279"/>
      <c r="O24" s="1279"/>
      <c r="P24" s="1279"/>
      <c r="Q24" s="1279"/>
      <c r="R24" s="1279"/>
    </row>
    <row r="25" spans="2:18" ht="13.5" customHeight="1">
      <c r="B25" s="1279"/>
      <c r="C25" s="1279"/>
      <c r="D25" s="1279"/>
      <c r="E25" s="1279"/>
      <c r="F25" s="1279"/>
      <c r="G25" s="1279"/>
      <c r="H25" s="1279"/>
      <c r="I25" s="1279"/>
      <c r="J25" s="1279"/>
      <c r="K25" s="1279"/>
      <c r="L25" s="1279"/>
      <c r="M25" s="1279"/>
      <c r="N25" s="1279"/>
      <c r="O25" s="1279"/>
      <c r="P25" s="1279"/>
      <c r="Q25" s="1279"/>
      <c r="R25" s="1279"/>
    </row>
    <row r="26" spans="2:18" ht="13.5" customHeight="1">
      <c r="B26" s="1279"/>
      <c r="C26" s="1279"/>
      <c r="D26" s="1279"/>
      <c r="E26" s="1279"/>
      <c r="F26" s="1279"/>
      <c r="G26" s="1279"/>
      <c r="H26" s="1279"/>
      <c r="I26" s="1279"/>
      <c r="J26" s="1279"/>
      <c r="K26" s="1279"/>
      <c r="L26" s="1279"/>
      <c r="M26" s="1279"/>
      <c r="N26" s="1279"/>
      <c r="O26" s="1279"/>
      <c r="P26" s="1279"/>
      <c r="Q26" s="1279"/>
      <c r="R26" s="1279"/>
    </row>
    <row r="27" spans="2:18" ht="13.5" customHeight="1">
      <c r="B27" s="1279"/>
      <c r="C27" s="1279"/>
      <c r="D27" s="1279"/>
      <c r="E27" s="1279"/>
      <c r="F27" s="1279"/>
      <c r="G27" s="1279"/>
      <c r="H27" s="1279"/>
      <c r="I27" s="1279"/>
      <c r="J27" s="1279"/>
      <c r="K27" s="1279"/>
      <c r="L27" s="1279"/>
      <c r="M27" s="1279"/>
      <c r="N27" s="1279"/>
      <c r="O27" s="1279"/>
      <c r="P27" s="1279"/>
      <c r="Q27" s="1279"/>
      <c r="R27" s="1279"/>
    </row>
    <row r="28" spans="2:18" ht="13.5" customHeight="1">
      <c r="B28" s="1279"/>
      <c r="C28" s="1279"/>
      <c r="D28" s="1279"/>
      <c r="E28" s="1279"/>
      <c r="F28" s="1279"/>
      <c r="G28" s="1279"/>
      <c r="H28" s="1279"/>
      <c r="I28" s="1279"/>
      <c r="J28" s="1279"/>
      <c r="K28" s="1279"/>
      <c r="L28" s="1279"/>
      <c r="M28" s="1279"/>
      <c r="N28" s="1279"/>
      <c r="O28" s="1279"/>
      <c r="P28" s="1279"/>
      <c r="Q28" s="1279"/>
      <c r="R28" s="1279"/>
    </row>
    <row r="29" spans="2:18" ht="13.5" customHeight="1">
      <c r="B29" s="1279"/>
      <c r="C29" s="1279"/>
      <c r="D29" s="1279"/>
      <c r="E29" s="1279"/>
      <c r="F29" s="1279"/>
      <c r="G29" s="1279"/>
      <c r="H29" s="1279"/>
      <c r="I29" s="1279"/>
      <c r="J29" s="1279"/>
      <c r="K29" s="1279"/>
      <c r="L29" s="1279"/>
      <c r="M29" s="1279"/>
      <c r="N29" s="1279"/>
      <c r="O29" s="1279"/>
      <c r="P29" s="1279"/>
      <c r="Q29" s="1279"/>
      <c r="R29" s="1279"/>
    </row>
    <row r="30" spans="2:18" ht="13.5" customHeight="1">
      <c r="B30" s="1279"/>
      <c r="C30" s="1279"/>
      <c r="D30" s="1279"/>
      <c r="E30" s="1279"/>
      <c r="F30" s="1279"/>
      <c r="G30" s="1279"/>
      <c r="H30" s="1279"/>
      <c r="I30" s="1279"/>
      <c r="J30" s="1279"/>
      <c r="K30" s="1279"/>
      <c r="L30" s="1279"/>
      <c r="M30" s="1279"/>
      <c r="N30" s="1279"/>
      <c r="O30" s="1279"/>
      <c r="P30" s="1279"/>
      <c r="Q30" s="1279"/>
      <c r="R30" s="1279"/>
    </row>
    <row r="31" spans="2:18" ht="13.5" customHeight="1">
      <c r="B31" s="1279"/>
      <c r="C31" s="1279"/>
      <c r="D31" s="1279"/>
      <c r="E31" s="1279"/>
      <c r="F31" s="1279"/>
      <c r="G31" s="1279"/>
      <c r="H31" s="1279"/>
      <c r="I31" s="1279"/>
      <c r="J31" s="1279"/>
      <c r="K31" s="1279"/>
      <c r="L31" s="1279"/>
      <c r="M31" s="1279"/>
      <c r="N31" s="1279"/>
      <c r="O31" s="1279"/>
      <c r="P31" s="1279"/>
      <c r="Q31" s="1279"/>
      <c r="R31" s="1279"/>
    </row>
    <row r="32" spans="2:18" ht="13.5" customHeight="1">
      <c r="B32" s="1279"/>
      <c r="C32" s="1279"/>
      <c r="D32" s="1279"/>
      <c r="E32" s="1279"/>
      <c r="F32" s="1279"/>
      <c r="G32" s="1279"/>
      <c r="H32" s="1279"/>
      <c r="I32" s="1279"/>
      <c r="J32" s="1279"/>
      <c r="K32" s="1279"/>
      <c r="L32" s="1279"/>
      <c r="M32" s="1279"/>
      <c r="N32" s="1279"/>
      <c r="O32" s="1279"/>
      <c r="P32" s="1279"/>
      <c r="Q32" s="1279"/>
      <c r="R32" s="1279"/>
    </row>
    <row r="33" spans="2:18" ht="13.5" customHeight="1">
      <c r="B33" s="1279"/>
      <c r="C33" s="1279"/>
      <c r="D33" s="1279"/>
      <c r="E33" s="1279"/>
      <c r="F33" s="1279"/>
      <c r="G33" s="1279"/>
      <c r="H33" s="1279"/>
      <c r="I33" s="1279"/>
      <c r="J33" s="1279"/>
      <c r="K33" s="1279"/>
      <c r="L33" s="1279"/>
      <c r="M33" s="1279"/>
      <c r="N33" s="1279"/>
      <c r="O33" s="1279"/>
      <c r="P33" s="1279"/>
      <c r="Q33" s="1279"/>
      <c r="R33" s="1279"/>
    </row>
    <row r="34" spans="2:18" ht="13.5" customHeight="1">
      <c r="B34" s="1279"/>
      <c r="C34" s="1279"/>
      <c r="D34" s="1279"/>
      <c r="E34" s="1279"/>
      <c r="F34" s="1279"/>
      <c r="G34" s="1279"/>
      <c r="H34" s="1279"/>
      <c r="I34" s="1279"/>
      <c r="J34" s="1279"/>
      <c r="K34" s="1279"/>
      <c r="L34" s="1279"/>
      <c r="M34" s="1279"/>
      <c r="N34" s="1279"/>
      <c r="O34" s="1279"/>
      <c r="P34" s="1279"/>
      <c r="Q34" s="1279"/>
      <c r="R34" s="1279"/>
    </row>
    <row r="35" spans="2:18" ht="13.5" customHeight="1">
      <c r="B35" s="1279"/>
      <c r="C35" s="1279"/>
      <c r="D35" s="1279"/>
      <c r="E35" s="1279"/>
      <c r="F35" s="1279"/>
      <c r="G35" s="1279"/>
      <c r="H35" s="1279"/>
      <c r="I35" s="1279"/>
      <c r="J35" s="1279"/>
      <c r="K35" s="1279"/>
      <c r="L35" s="1279"/>
      <c r="M35" s="1279"/>
      <c r="N35" s="1279"/>
      <c r="O35" s="1279"/>
      <c r="P35" s="1279"/>
      <c r="Q35" s="1279"/>
      <c r="R35" s="1279"/>
    </row>
    <row r="36" spans="2:18" ht="13.5" customHeight="1">
      <c r="B36" s="1279"/>
      <c r="C36" s="1279"/>
      <c r="D36" s="1279"/>
      <c r="E36" s="1279"/>
      <c r="F36" s="1279"/>
      <c r="G36" s="1279"/>
      <c r="H36" s="1279"/>
      <c r="I36" s="1279"/>
      <c r="J36" s="1279"/>
      <c r="K36" s="1279"/>
      <c r="L36" s="1279"/>
      <c r="M36" s="1279"/>
      <c r="N36" s="1279"/>
      <c r="O36" s="1279"/>
      <c r="P36" s="1279"/>
      <c r="Q36" s="1279"/>
      <c r="R36" s="1279"/>
    </row>
    <row r="37" spans="2:18" ht="13.5" customHeight="1">
      <c r="G37" s="1279"/>
      <c r="H37" s="1279"/>
      <c r="I37" s="1279"/>
      <c r="J37" s="1279"/>
      <c r="K37" s="1279"/>
      <c r="L37" s="1279"/>
      <c r="M37" s="1279"/>
      <c r="N37" s="1279"/>
      <c r="O37" s="1279"/>
      <c r="P37" s="1279"/>
      <c r="Q37" s="1279"/>
      <c r="R37" s="1279"/>
    </row>
    <row r="38" spans="2:18" ht="13.5" hidden="1" customHeight="1">
      <c r="J38" s="1279"/>
      <c r="K38" s="1279"/>
      <c r="L38" s="1279"/>
      <c r="M38" s="1279"/>
      <c r="N38" s="1279"/>
      <c r="O38" s="1279"/>
      <c r="P38" s="1279"/>
      <c r="Q38" s="1279"/>
      <c r="R38" s="1279"/>
    </row>
  </sheetData>
  <sheetProtection password="B2FC" sheet="1" objects="1" scenarios="1"/>
  <phoneticPr fontId="22"/>
  <printOptions horizontalCentered="1"/>
  <pageMargins left="0.59055118110236227" right="0.59055118110236227" top="0.78740157480314965" bottom="0.59055118110236227" header="0.51181102362204722" footer="0.51181102362204722"/>
  <pageSetup paperSize="0" orientation="portrait" horizontalDpi="0" verticalDpi="0" copies="0" r:id="rId1"/>
  <headerFooter alignWithMargins="0">
    <oddHeader>&amp;L&amp;F&amp;R&amp;A</oddHeader>
    <oddFooter>&amp;C&amp;P/&amp;N</oddFooter>
  </headerFooter>
  <rowBreaks count="1" manualBreakCount="1">
    <brk id="37" max="1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I212"/>
  <sheetViews>
    <sheetView showGridLines="0" workbookViewId="0"/>
  </sheetViews>
  <sheetFormatPr defaultColWidth="0" defaultRowHeight="0" customHeight="1" zeroHeight="1"/>
  <cols>
    <col min="1" max="1" width="0.75" style="55" customWidth="1"/>
    <col min="2" max="2" width="2.125" style="72" customWidth="1"/>
    <col min="3" max="3" width="13.375" style="72" customWidth="1"/>
    <col min="4" max="4" width="5.375" style="73" customWidth="1"/>
    <col min="5" max="5" width="9.75" style="74" customWidth="1"/>
    <col min="6" max="6" width="6.25" style="75" customWidth="1"/>
    <col min="7" max="7" width="6.5" style="75" customWidth="1"/>
    <col min="8" max="8" width="13.125" style="75" customWidth="1"/>
    <col min="9" max="9" width="6.875" style="76" customWidth="1"/>
    <col min="10" max="10" width="12.125" style="76" customWidth="1"/>
    <col min="11" max="12" width="11.875" style="75" customWidth="1"/>
    <col min="13" max="13" width="11.75" style="96" customWidth="1"/>
    <col min="14" max="14" width="8.625" style="96" customWidth="1"/>
    <col min="15" max="15" width="11.5" style="96" customWidth="1"/>
    <col min="16" max="16" width="0.75" style="55" customWidth="1"/>
    <col min="17" max="17" width="3.875" style="55" bestFit="1" customWidth="1"/>
    <col min="18" max="18" width="9.875" style="64" hidden="1" customWidth="1"/>
    <col min="19" max="19" width="9.875" style="418" hidden="1" customWidth="1"/>
    <col min="20" max="20" width="9.875" style="64" hidden="1" customWidth="1"/>
    <col min="21" max="21" width="9.125" style="64" hidden="1" customWidth="1"/>
    <col min="22" max="22" width="14.5" style="64" hidden="1" customWidth="1"/>
    <col min="23" max="23" width="11.125" style="64" hidden="1" customWidth="1"/>
    <col min="24" max="24" width="20.5" style="64" hidden="1" customWidth="1"/>
    <col min="25" max="25" width="18.625" style="64" hidden="1" customWidth="1"/>
    <col min="26" max="26" width="23" style="64" hidden="1" customWidth="1"/>
    <col min="27" max="27" width="4.5" style="64" hidden="1" customWidth="1"/>
    <col min="28" max="29" width="6.375" style="64" hidden="1" customWidth="1"/>
    <col min="30" max="31" width="5" style="64" hidden="1" customWidth="1"/>
    <col min="32" max="32" width="5.125" style="64" hidden="1" customWidth="1"/>
    <col min="33" max="16384" width="9" style="64" hidden="1"/>
  </cols>
  <sheetData>
    <row r="1" spans="1:27" s="53" customFormat="1" ht="6" customHeight="1" thickBot="1">
      <c r="A1" s="46"/>
      <c r="B1" s="47"/>
      <c r="C1" s="48"/>
      <c r="D1" s="49"/>
      <c r="E1" s="46"/>
      <c r="F1" s="50"/>
      <c r="G1" s="50"/>
      <c r="H1" s="50"/>
      <c r="I1" s="51"/>
      <c r="J1" s="51"/>
      <c r="K1" s="50"/>
      <c r="L1" s="52"/>
      <c r="M1" s="46"/>
      <c r="N1" s="46"/>
      <c r="O1" s="46"/>
      <c r="P1" s="46"/>
      <c r="Q1" s="46"/>
      <c r="S1" s="54"/>
    </row>
    <row r="2" spans="1:27" ht="18.75" customHeight="1" thickTop="1">
      <c r="B2" s="56"/>
      <c r="C2" s="57"/>
      <c r="D2" s="58"/>
      <c r="E2" s="59"/>
      <c r="F2" s="60"/>
      <c r="G2" s="60"/>
      <c r="H2" s="60"/>
      <c r="I2" s="61"/>
      <c r="J2" s="62"/>
      <c r="K2" s="62"/>
      <c r="L2" s="62"/>
      <c r="M2" s="62"/>
      <c r="N2" s="60"/>
      <c r="O2" s="63"/>
      <c r="Q2" s="3072" t="s">
        <v>1877</v>
      </c>
      <c r="S2" s="64"/>
    </row>
    <row r="3" spans="1:27" ht="18.75" customHeight="1">
      <c r="B3" s="56"/>
      <c r="C3" s="57"/>
      <c r="D3" s="58"/>
      <c r="E3" s="59"/>
      <c r="F3" s="60"/>
      <c r="G3" s="60"/>
      <c r="H3" s="60"/>
      <c r="I3" s="61"/>
      <c r="J3" s="62"/>
      <c r="K3" s="62"/>
      <c r="L3" s="62"/>
      <c r="M3" s="62"/>
      <c r="N3" s="60"/>
      <c r="O3" s="65"/>
      <c r="Q3" s="3073"/>
      <c r="S3" s="64"/>
    </row>
    <row r="4" spans="1:27" ht="18.75" customHeight="1">
      <c r="B4" s="56"/>
      <c r="C4" s="57"/>
      <c r="D4" s="58"/>
      <c r="E4" s="59"/>
      <c r="F4" s="60"/>
      <c r="G4" s="60"/>
      <c r="H4" s="60"/>
      <c r="I4" s="66"/>
      <c r="J4" s="62"/>
      <c r="K4" s="62"/>
      <c r="L4" s="62"/>
      <c r="M4" s="62"/>
      <c r="N4" s="60"/>
      <c r="O4" s="63"/>
      <c r="Q4" s="3073"/>
      <c r="S4" s="64"/>
    </row>
    <row r="5" spans="1:27" ht="13.5" customHeight="1" thickBot="1">
      <c r="B5" s="67"/>
      <c r="C5" s="68"/>
      <c r="D5" s="58"/>
      <c r="E5" s="59"/>
      <c r="F5" s="60"/>
      <c r="G5" s="60"/>
      <c r="H5" s="60"/>
      <c r="I5" s="69"/>
      <c r="J5" s="70" t="s">
        <v>1798</v>
      </c>
      <c r="K5" s="3075" t="str">
        <f>メイン!C6</f>
        <v>CASBEE-建築(新築)2016年版</v>
      </c>
      <c r="L5" s="3076"/>
      <c r="M5" s="70" t="s">
        <v>1878</v>
      </c>
      <c r="N5" s="3075" t="str">
        <f>メイン!C5</f>
        <v>CASBEE-BD_NC_2016(v4.02)</v>
      </c>
      <c r="O5" s="3077"/>
      <c r="Q5" s="3074"/>
      <c r="R5" s="86" t="s">
        <v>1881</v>
      </c>
      <c r="S5" s="64"/>
      <c r="U5" s="86" t="s">
        <v>1882</v>
      </c>
    </row>
    <row r="6" spans="1:27" ht="6" customHeight="1" thickTop="1" thickBot="1">
      <c r="B6" s="71"/>
      <c r="J6" s="77"/>
      <c r="K6" s="77"/>
      <c r="L6" s="78"/>
      <c r="M6" s="74"/>
      <c r="N6" s="74"/>
      <c r="O6" s="74"/>
      <c r="S6" s="64"/>
    </row>
    <row r="7" spans="1:27" ht="19.5" customHeight="1" thickBot="1">
      <c r="B7" s="79" t="s">
        <v>1879</v>
      </c>
      <c r="C7" s="80"/>
      <c r="D7" s="81"/>
      <c r="E7" s="80"/>
      <c r="F7" s="80"/>
      <c r="G7" s="80"/>
      <c r="H7" s="82"/>
      <c r="I7" s="83"/>
      <c r="J7" s="83"/>
      <c r="K7" s="83"/>
      <c r="L7" s="84" t="s">
        <v>1880</v>
      </c>
      <c r="M7" s="80"/>
      <c r="N7" s="80"/>
      <c r="O7" s="85"/>
      <c r="R7" s="98" t="s">
        <v>2029</v>
      </c>
      <c r="S7" s="98">
        <f>スコア!AD8</f>
        <v>2.988</v>
      </c>
      <c r="U7" s="99"/>
      <c r="V7" s="99" t="s">
        <v>1885</v>
      </c>
      <c r="W7" s="100" t="s">
        <v>2030</v>
      </c>
      <c r="X7" s="100">
        <v>4</v>
      </c>
      <c r="Y7" s="100">
        <v>2</v>
      </c>
      <c r="Z7" s="101" t="s">
        <v>2031</v>
      </c>
      <c r="AA7" s="98" t="s">
        <v>2032</v>
      </c>
    </row>
    <row r="8" spans="1:27" ht="19.5" customHeight="1">
      <c r="B8" s="87" t="s">
        <v>1883</v>
      </c>
      <c r="C8" s="88"/>
      <c r="D8" s="89" t="str">
        <f>メイン!C11</f>
        <v>○○ビル</v>
      </c>
      <c r="E8" s="88"/>
      <c r="F8" s="88"/>
      <c r="G8" s="90"/>
      <c r="H8" s="91" t="s">
        <v>1884</v>
      </c>
      <c r="I8" s="92"/>
      <c r="J8" s="93" t="str">
        <f>メイン!C22</f>
        <v>地上○○F</v>
      </c>
      <c r="K8" s="94"/>
      <c r="L8" s="95"/>
      <c r="O8" s="97"/>
      <c r="R8" s="98" t="s">
        <v>2033</v>
      </c>
      <c r="S8" s="98" t="e">
        <f>スコア!AD121</f>
        <v>#VALUE!</v>
      </c>
      <c r="U8" s="101" t="s">
        <v>2034</v>
      </c>
      <c r="V8" s="99" t="s">
        <v>617</v>
      </c>
      <c r="W8" s="100">
        <v>5</v>
      </c>
      <c r="X8" s="100">
        <v>4</v>
      </c>
      <c r="Y8" s="100">
        <v>2</v>
      </c>
      <c r="Z8" s="112">
        <f>V46</f>
        <v>2.9</v>
      </c>
      <c r="AA8" s="98">
        <v>3</v>
      </c>
    </row>
    <row r="9" spans="1:27" ht="19.5" customHeight="1">
      <c r="B9" s="102" t="s">
        <v>1887</v>
      </c>
      <c r="C9" s="103"/>
      <c r="D9" s="104" t="str">
        <f>メイン!C12</f>
        <v>○○県○○市</v>
      </c>
      <c r="E9" s="103"/>
      <c r="F9" s="105"/>
      <c r="G9" s="64"/>
      <c r="H9" s="106" t="s">
        <v>1888</v>
      </c>
      <c r="I9" s="107"/>
      <c r="J9" s="108">
        <f>メイン!C23</f>
        <v>0</v>
      </c>
      <c r="K9" s="109"/>
      <c r="L9" s="110"/>
      <c r="M9" s="64"/>
      <c r="N9" s="64"/>
      <c r="O9" s="111"/>
      <c r="R9" s="101" t="s">
        <v>618</v>
      </c>
      <c r="S9" s="101">
        <f>25*(S7-1)</f>
        <v>49.7</v>
      </c>
      <c r="U9" s="101" t="s">
        <v>619</v>
      </c>
      <c r="V9" s="118" t="s">
        <v>1895</v>
      </c>
      <c r="W9" s="100">
        <v>5</v>
      </c>
      <c r="X9" s="100">
        <v>4</v>
      </c>
      <c r="Y9" s="100">
        <v>2</v>
      </c>
      <c r="Z9" s="112">
        <f>Y46</f>
        <v>3</v>
      </c>
      <c r="AA9" s="98">
        <v>3</v>
      </c>
    </row>
    <row r="10" spans="1:27" ht="18.75" customHeight="1">
      <c r="B10" s="102" t="s">
        <v>279</v>
      </c>
      <c r="C10" s="113"/>
      <c r="D10" s="104" t="str">
        <f>メイン!C14</f>
        <v>商業地域、防火地域</v>
      </c>
      <c r="E10" s="113"/>
      <c r="F10" s="113"/>
      <c r="G10" s="64"/>
      <c r="H10" s="91" t="s">
        <v>1893</v>
      </c>
      <c r="I10" s="92"/>
      <c r="J10" s="114" t="str">
        <f>メイン!C32</f>
        <v>XX</v>
      </c>
      <c r="K10" s="105" t="s">
        <v>1894</v>
      </c>
      <c r="L10" s="115"/>
      <c r="M10" s="116"/>
      <c r="N10" s="116"/>
      <c r="O10" s="117"/>
      <c r="R10" s="101" t="s">
        <v>1896</v>
      </c>
      <c r="S10" s="101" t="e">
        <f>25*(5-S8)</f>
        <v>#VALUE!</v>
      </c>
      <c r="U10" s="101" t="s">
        <v>1527</v>
      </c>
      <c r="V10" s="124" t="s">
        <v>1897</v>
      </c>
      <c r="W10" s="100">
        <v>5</v>
      </c>
      <c r="X10" s="100">
        <v>4</v>
      </c>
      <c r="Y10" s="100">
        <v>2</v>
      </c>
      <c r="Z10" s="112" t="e">
        <f>Y57</f>
        <v>#VALUE!</v>
      </c>
      <c r="AA10" s="98">
        <v>3</v>
      </c>
    </row>
    <row r="11" spans="1:27" ht="18.75" customHeight="1">
      <c r="B11" s="119" t="s">
        <v>2593</v>
      </c>
      <c r="C11" s="120"/>
      <c r="D11" s="108" t="str">
        <f>IF(メイン!F12="","",メイン!F12)</f>
        <v/>
      </c>
      <c r="E11" s="120"/>
      <c r="F11" s="121"/>
      <c r="G11" s="122"/>
      <c r="H11" s="106" t="str">
        <f>IF(メイン!I3=3,メイン!J33,メイン!I33)</f>
        <v>年間使用時間</v>
      </c>
      <c r="I11" s="107"/>
      <c r="J11" s="123" t="str">
        <f>IF(メイン!I3=3,メイン!C34,メイン!C33)</f>
        <v>XXX</v>
      </c>
      <c r="K11" s="1873" t="str">
        <f>IF(メイン!I3=3,メイン!D34,メイン!D33)</f>
        <v>時間/年（想定値）</v>
      </c>
      <c r="L11" s="115"/>
      <c r="M11" s="116"/>
      <c r="N11" s="116"/>
      <c r="O11" s="117"/>
      <c r="R11" s="101" t="s">
        <v>1901</v>
      </c>
      <c r="S11" s="101" t="e">
        <f>S9/S10</f>
        <v>#VALUE!</v>
      </c>
      <c r="U11" s="101" t="s">
        <v>1999</v>
      </c>
      <c r="V11" s="124" t="s">
        <v>1902</v>
      </c>
      <c r="W11" s="100">
        <v>5</v>
      </c>
      <c r="X11" s="100">
        <v>4</v>
      </c>
      <c r="Y11" s="100">
        <v>2</v>
      </c>
      <c r="Z11" s="112">
        <f>V57</f>
        <v>3</v>
      </c>
      <c r="AA11" s="98">
        <v>3</v>
      </c>
    </row>
    <row r="12" spans="1:27" ht="18.75" customHeight="1">
      <c r="B12" s="125" t="s">
        <v>1898</v>
      </c>
      <c r="C12" s="126"/>
      <c r="D12" s="127" t="str">
        <f>メイン!C21</f>
        <v>事務所,</v>
      </c>
      <c r="E12" s="126"/>
      <c r="F12" s="126"/>
      <c r="G12" s="128"/>
      <c r="H12" s="106" t="s">
        <v>1899</v>
      </c>
      <c r="I12" s="129"/>
      <c r="J12" s="108" t="str">
        <f>IF(メイン!E39=0,"",メイン!E39&amp;"評価")</f>
        <v/>
      </c>
      <c r="K12" s="130"/>
      <c r="L12" s="115"/>
      <c r="M12" s="131" t="s">
        <v>1900</v>
      </c>
      <c r="N12" s="116"/>
      <c r="O12" s="117"/>
      <c r="R12" s="101" t="s">
        <v>620</v>
      </c>
      <c r="S12" s="136" t="e">
        <f>ROUNDDOWN(S11,1)</f>
        <v>#VALUE!</v>
      </c>
      <c r="U12" s="101" t="s">
        <v>621</v>
      </c>
      <c r="V12" s="124" t="s">
        <v>622</v>
      </c>
      <c r="W12" s="100">
        <v>5</v>
      </c>
      <c r="X12" s="100">
        <v>4</v>
      </c>
      <c r="Y12" s="100">
        <v>2</v>
      </c>
      <c r="Z12" s="112">
        <f>S57</f>
        <v>3</v>
      </c>
      <c r="AA12" s="98">
        <v>3</v>
      </c>
    </row>
    <row r="13" spans="1:27" ht="17.25" customHeight="1">
      <c r="B13" s="1724" t="s">
        <v>494</v>
      </c>
      <c r="C13" s="1725"/>
      <c r="D13" s="3078" t="str">
        <f>メイン!C15</f>
        <v>202●年●月</v>
      </c>
      <c r="E13" s="3079"/>
      <c r="F13" s="1726">
        <f>メイン!F15</f>
        <v>0</v>
      </c>
      <c r="G13" s="1727"/>
      <c r="H13" s="91" t="s">
        <v>495</v>
      </c>
      <c r="I13" s="132"/>
      <c r="J13" s="133" t="str">
        <f>IF(メイン!C39=0,"",メイン!C39)</f>
        <v>202●年●月●日</v>
      </c>
      <c r="K13" s="134"/>
      <c r="L13" s="115"/>
      <c r="M13" s="135" t="s">
        <v>2508</v>
      </c>
      <c r="N13" s="116"/>
      <c r="O13" s="117"/>
      <c r="R13" s="101" t="s">
        <v>501</v>
      </c>
      <c r="S13" s="142" t="e">
        <f>IF(AND($S$9&gt;=50,$S$11&gt;=3),1,IF(S12&lt;0.5,1,IF(S12&lt;1,2,IF(S12&lt;1.5,3,IF(S12&lt;3,4,4))))/5)</f>
        <v>#VALUE!</v>
      </c>
      <c r="U13" s="101" t="s">
        <v>624</v>
      </c>
      <c r="V13" s="118" t="s">
        <v>498</v>
      </c>
      <c r="W13" s="100">
        <v>5</v>
      </c>
      <c r="X13" s="100">
        <v>4</v>
      </c>
      <c r="Y13" s="100">
        <v>2</v>
      </c>
      <c r="Z13" s="112">
        <f>IF(S46=0,1,S46)</f>
        <v>3</v>
      </c>
      <c r="AA13" s="98">
        <v>3</v>
      </c>
    </row>
    <row r="14" spans="1:27" ht="17.25" hidden="1" customHeight="1">
      <c r="B14" s="1670" t="s">
        <v>2837</v>
      </c>
      <c r="C14" s="94"/>
      <c r="D14" s="3080" t="str">
        <f>メイン!C16</f>
        <v>2016年６月～８月</v>
      </c>
      <c r="E14" s="3081"/>
      <c r="F14"/>
      <c r="G14"/>
      <c r="H14" s="91"/>
      <c r="I14" s="132"/>
      <c r="J14" s="133"/>
      <c r="K14" s="134"/>
      <c r="L14" s="115"/>
      <c r="M14" s="135"/>
      <c r="N14" s="116"/>
      <c r="O14" s="117"/>
      <c r="R14" s="101" t="s">
        <v>504</v>
      </c>
      <c r="S14" s="148" t="e">
        <f>1-S13</f>
        <v>#VALUE!</v>
      </c>
    </row>
    <row r="15" spans="1:27" ht="14.25">
      <c r="B15" s="1728" t="s">
        <v>496</v>
      </c>
      <c r="C15" s="1729"/>
      <c r="D15" s="1730"/>
      <c r="E15" s="1731">
        <f>メイン!C17</f>
        <v>5000</v>
      </c>
      <c r="F15" s="1726" t="s">
        <v>623</v>
      </c>
      <c r="G15" s="1727"/>
      <c r="H15" s="91" t="s">
        <v>497</v>
      </c>
      <c r="I15" s="132"/>
      <c r="J15" s="141" t="str">
        <f>IF(メイン!C40=0,"",メイン!C40)</f>
        <v>○○○</v>
      </c>
      <c r="K15" s="134"/>
      <c r="L15" s="115"/>
      <c r="M15" s="135" t="s">
        <v>2509</v>
      </c>
      <c r="N15" s="116"/>
      <c r="O15" s="117"/>
      <c r="S15" s="64"/>
    </row>
    <row r="16" spans="1:27" ht="18.75" customHeight="1">
      <c r="B16" s="91" t="s">
        <v>499</v>
      </c>
      <c r="C16" s="137"/>
      <c r="D16" s="138"/>
      <c r="E16" s="139">
        <f>メイン!C18</f>
        <v>4000</v>
      </c>
      <c r="F16" s="140" t="s">
        <v>625</v>
      </c>
      <c r="G16" s="64"/>
      <c r="H16" s="91" t="s">
        <v>500</v>
      </c>
      <c r="I16" s="132"/>
      <c r="J16" s="133" t="str">
        <f>IF(メイン!C41=0,"",メイン!C41)</f>
        <v>202●年●月●日</v>
      </c>
      <c r="K16" s="134"/>
      <c r="L16" s="115"/>
      <c r="M16" s="116"/>
      <c r="N16" s="116"/>
      <c r="O16" s="117"/>
      <c r="S16" s="64"/>
      <c r="V16" s="55"/>
      <c r="Z16" s="55"/>
    </row>
    <row r="17" spans="2:28" ht="18" customHeight="1" thickBot="1">
      <c r="B17" s="91" t="s">
        <v>502</v>
      </c>
      <c r="C17" s="137"/>
      <c r="D17" s="138"/>
      <c r="E17" s="143">
        <f>メイン!J66</f>
        <v>5000</v>
      </c>
      <c r="F17" s="144" t="s">
        <v>623</v>
      </c>
      <c r="G17" s="64"/>
      <c r="H17" s="91" t="s">
        <v>503</v>
      </c>
      <c r="I17" s="132"/>
      <c r="J17" s="141" t="str">
        <f>IF(メイン!C42=0,"",メイン!C42)</f>
        <v>○○○</v>
      </c>
      <c r="K17" s="134"/>
      <c r="L17" s="145"/>
      <c r="M17" s="146"/>
      <c r="N17" s="146"/>
      <c r="O17" s="147"/>
      <c r="S17" s="64"/>
      <c r="T17" s="55"/>
      <c r="U17" s="149"/>
      <c r="V17" s="55"/>
      <c r="W17" s="55"/>
      <c r="X17" s="55"/>
      <c r="Y17" s="55"/>
      <c r="Z17" s="55"/>
      <c r="AA17" s="55"/>
      <c r="AB17" s="55"/>
    </row>
    <row r="18" spans="2:28" ht="15" hidden="1" thickBot="1">
      <c r="B18" s="1669" t="s">
        <v>505</v>
      </c>
      <c r="C18" s="64"/>
      <c r="D18" s="1671" t="s">
        <v>2749</v>
      </c>
      <c r="E18"/>
      <c r="F18"/>
      <c r="G18"/>
      <c r="H18"/>
      <c r="I18"/>
      <c r="J18"/>
      <c r="K18"/>
      <c r="L18" s="150" t="s">
        <v>506</v>
      </c>
      <c r="M18" s="151" t="s">
        <v>507</v>
      </c>
      <c r="N18" s="1671" t="s">
        <v>2749</v>
      </c>
      <c r="O18" s="111"/>
      <c r="R18" s="55"/>
      <c r="S18" s="55"/>
      <c r="T18" s="55"/>
      <c r="U18" s="55"/>
      <c r="V18" s="55"/>
      <c r="W18" s="55"/>
      <c r="X18" s="55"/>
      <c r="Y18" s="55"/>
      <c r="Z18" s="55"/>
      <c r="AA18" s="55"/>
      <c r="AB18" s="55"/>
    </row>
    <row r="19" spans="2:28" ht="15" hidden="1" thickBot="1">
      <c r="B19" s="1669" t="s">
        <v>508</v>
      </c>
      <c r="C19" s="152"/>
      <c r="D19" s="1671" t="s">
        <v>2749</v>
      </c>
      <c r="E19"/>
      <c r="F19"/>
      <c r="G19"/>
      <c r="H19"/>
      <c r="I19"/>
      <c r="J19"/>
      <c r="K19"/>
      <c r="L19" s="153"/>
      <c r="M19" s="151" t="s">
        <v>509</v>
      </c>
      <c r="N19" s="1671" t="s">
        <v>2749</v>
      </c>
      <c r="O19" s="154"/>
      <c r="R19" s="144"/>
      <c r="S19" s="92"/>
      <c r="T19" s="55"/>
      <c r="U19" s="55"/>
      <c r="V19" s="92"/>
      <c r="W19" s="96"/>
      <c r="X19" s="55"/>
      <c r="Y19" s="55"/>
      <c r="Z19" s="55"/>
      <c r="AA19" s="55"/>
      <c r="AB19" s="55"/>
    </row>
    <row r="20" spans="2:28" ht="15" hidden="1" thickBot="1">
      <c r="B20" s="1669" t="s">
        <v>510</v>
      </c>
      <c r="C20" s="92"/>
      <c r="D20" s="1671" t="s">
        <v>2749</v>
      </c>
      <c r="E20"/>
      <c r="F20"/>
      <c r="G20"/>
      <c r="H20"/>
      <c r="I20"/>
      <c r="J20"/>
      <c r="K20"/>
      <c r="L20" s="153"/>
      <c r="M20" s="151" t="s">
        <v>511</v>
      </c>
      <c r="N20" s="1671" t="s">
        <v>2749</v>
      </c>
      <c r="O20" s="154"/>
      <c r="R20" s="144"/>
      <c r="S20" s="92"/>
      <c r="T20" s="55"/>
      <c r="U20" s="55"/>
      <c r="V20" s="92"/>
      <c r="W20" s="96"/>
      <c r="X20" s="55"/>
      <c r="Y20" s="55"/>
      <c r="Z20" s="55"/>
      <c r="AA20" s="55"/>
      <c r="AB20" s="55"/>
    </row>
    <row r="21" spans="2:28" ht="15" hidden="1" thickBot="1">
      <c r="B21" s="1669" t="s">
        <v>512</v>
      </c>
      <c r="C21" s="113"/>
      <c r="D21" s="1671" t="s">
        <v>2749</v>
      </c>
      <c r="E21"/>
      <c r="F21"/>
      <c r="G21"/>
      <c r="H21"/>
      <c r="I21"/>
      <c r="J21"/>
      <c r="K21"/>
      <c r="L21" s="157"/>
      <c r="M21" s="158" t="s">
        <v>513</v>
      </c>
      <c r="N21" s="1671" t="s">
        <v>2749</v>
      </c>
      <c r="O21" s="159"/>
      <c r="R21" s="144"/>
      <c r="S21" s="92"/>
      <c r="T21" s="55"/>
      <c r="U21" s="55"/>
      <c r="V21" s="92"/>
      <c r="W21" s="96"/>
      <c r="X21" s="55"/>
      <c r="Y21" s="55"/>
      <c r="Z21" s="55"/>
      <c r="AA21" s="55"/>
      <c r="AB21" s="55"/>
    </row>
    <row r="22" spans="2:28" ht="6.75" customHeight="1" thickBot="1">
      <c r="B22" s="160"/>
      <c r="C22" s="161"/>
      <c r="D22" s="160"/>
      <c r="E22" s="162"/>
      <c r="F22" s="162"/>
      <c r="G22" s="162"/>
      <c r="H22" s="162"/>
      <c r="I22" s="163"/>
      <c r="J22" s="164"/>
      <c r="K22" s="165"/>
      <c r="L22" s="162"/>
      <c r="M22" s="162"/>
      <c r="N22" s="162"/>
      <c r="O22" s="162"/>
      <c r="R22" s="144"/>
      <c r="S22" s="92"/>
      <c r="T22" s="55"/>
      <c r="U22" s="55"/>
      <c r="V22" s="92"/>
      <c r="W22" s="96"/>
      <c r="X22" s="55"/>
      <c r="Y22" s="55"/>
      <c r="Z22" s="55"/>
      <c r="AA22" s="55"/>
      <c r="AB22" s="55"/>
    </row>
    <row r="23" spans="2:28" ht="19.5" thickBot="1">
      <c r="B23" s="166" t="s">
        <v>514</v>
      </c>
      <c r="C23" s="167"/>
      <c r="D23" s="168"/>
      <c r="E23" s="169"/>
      <c r="F23" s="169"/>
      <c r="G23" s="169"/>
      <c r="H23" s="170" t="s">
        <v>515</v>
      </c>
      <c r="I23" s="171"/>
      <c r="J23" s="172"/>
      <c r="K23" s="172"/>
      <c r="L23" s="173" t="s">
        <v>516</v>
      </c>
      <c r="M23" s="167"/>
      <c r="N23" s="168"/>
      <c r="O23" s="169"/>
      <c r="R23" s="101" t="s">
        <v>626</v>
      </c>
      <c r="S23" s="99" t="s">
        <v>517</v>
      </c>
      <c r="T23" s="99" t="s">
        <v>518</v>
      </c>
      <c r="U23" s="99" t="s">
        <v>519</v>
      </c>
      <c r="AB23" s="55"/>
    </row>
    <row r="24" spans="2:28" ht="15" customHeight="1">
      <c r="B24" s="110"/>
      <c r="C24" s="64"/>
      <c r="D24" s="64"/>
      <c r="E24" s="64"/>
      <c r="F24" s="64"/>
      <c r="G24" s="64"/>
      <c r="H24" s="174"/>
      <c r="I24" s="175"/>
      <c r="J24" s="162"/>
      <c r="K24" s="176"/>
      <c r="L24" s="177"/>
      <c r="M24" s="64"/>
      <c r="N24" s="64"/>
      <c r="O24" s="111"/>
      <c r="P24" s="64"/>
      <c r="Q24" s="64"/>
      <c r="R24" s="101" t="s">
        <v>520</v>
      </c>
      <c r="S24" s="112"/>
      <c r="T24" s="178" t="e">
        <f>S10</f>
        <v>#VALUE!</v>
      </c>
      <c r="U24" s="112">
        <v>0</v>
      </c>
      <c r="V24" s="55"/>
      <c r="W24" s="99" t="s">
        <v>521</v>
      </c>
      <c r="X24" s="99"/>
      <c r="Y24" s="55"/>
      <c r="Z24" s="99" t="s">
        <v>522</v>
      </c>
      <c r="AA24" s="99"/>
      <c r="AB24" s="55"/>
    </row>
    <row r="25" spans="2:28" ht="15" customHeight="1">
      <c r="B25" s="179"/>
      <c r="C25" s="180" t="e">
        <f>S12</f>
        <v>#VALUE!</v>
      </c>
      <c r="D25" s="64"/>
      <c r="E25" s="64"/>
      <c r="F25" s="64"/>
      <c r="G25" s="64"/>
      <c r="H25" s="181"/>
      <c r="I25" s="182"/>
      <c r="J25" s="183"/>
      <c r="K25" s="184"/>
      <c r="L25" s="185"/>
      <c r="M25" s="64"/>
      <c r="N25" s="64"/>
      <c r="O25" s="111"/>
      <c r="P25" s="64"/>
      <c r="Q25" s="64"/>
      <c r="R25" s="101" t="s">
        <v>523</v>
      </c>
      <c r="S25" s="112"/>
      <c r="T25" s="178">
        <f>S9</f>
        <v>49.7</v>
      </c>
      <c r="U25" s="112">
        <v>0</v>
      </c>
      <c r="V25" s="55"/>
      <c r="W25" s="112">
        <v>50</v>
      </c>
      <c r="X25" s="112">
        <v>50</v>
      </c>
      <c r="Y25" s="55"/>
      <c r="Z25" s="112">
        <v>0</v>
      </c>
      <c r="AA25" s="112">
        <v>100</v>
      </c>
      <c r="AB25" s="55"/>
    </row>
    <row r="26" spans="2:28" ht="15" customHeight="1">
      <c r="B26" s="110"/>
      <c r="C26" s="64"/>
      <c r="D26" s="64"/>
      <c r="E26" s="64"/>
      <c r="F26" s="64"/>
      <c r="G26" s="64"/>
      <c r="H26" s="181"/>
      <c r="I26" s="64"/>
      <c r="J26" s="183"/>
      <c r="K26" s="184"/>
      <c r="L26" s="185"/>
      <c r="M26" s="64"/>
      <c r="N26" s="64"/>
      <c r="O26" s="111"/>
      <c r="P26" s="64"/>
      <c r="Q26" s="64"/>
      <c r="R26" s="112">
        <v>0</v>
      </c>
      <c r="S26" s="99" t="e">
        <f>T24</f>
        <v>#VALUE!</v>
      </c>
      <c r="T26" s="186" t="e">
        <f>T24</f>
        <v>#VALUE!</v>
      </c>
      <c r="U26" s="99">
        <v>0.1</v>
      </c>
      <c r="V26" s="55"/>
      <c r="W26" s="112">
        <v>0</v>
      </c>
      <c r="X26" s="112">
        <v>100</v>
      </c>
      <c r="Y26" s="55"/>
      <c r="Z26" s="112">
        <v>50</v>
      </c>
      <c r="AA26" s="112">
        <v>50</v>
      </c>
      <c r="AB26" s="55"/>
    </row>
    <row r="27" spans="2:28" ht="15" customHeight="1">
      <c r="B27" s="187"/>
      <c r="C27" s="188"/>
      <c r="D27" s="188"/>
      <c r="E27" s="188"/>
      <c r="F27" s="188"/>
      <c r="G27" s="188"/>
      <c r="H27" s="189"/>
      <c r="I27" s="190"/>
      <c r="J27" s="191"/>
      <c r="K27" s="192"/>
      <c r="L27" s="110"/>
      <c r="M27" s="64"/>
      <c r="O27" s="111"/>
      <c r="P27" s="64"/>
      <c r="Q27" s="64"/>
      <c r="R27" s="112">
        <v>0</v>
      </c>
      <c r="S27" s="99">
        <v>0</v>
      </c>
      <c r="T27" s="99">
        <f>T25</f>
        <v>49.7</v>
      </c>
      <c r="U27" s="193">
        <f>T25</f>
        <v>49.7</v>
      </c>
      <c r="V27" s="55"/>
      <c r="W27" s="55"/>
      <c r="X27" s="55"/>
      <c r="Y27" s="55"/>
      <c r="Z27" s="55"/>
      <c r="AA27" s="55"/>
      <c r="AB27" s="55"/>
    </row>
    <row r="28" spans="2:28" ht="15" customHeight="1">
      <c r="B28" s="110"/>
      <c r="C28" s="64"/>
      <c r="D28" s="64"/>
      <c r="E28" s="64"/>
      <c r="F28" s="64"/>
      <c r="G28" s="64"/>
      <c r="H28" s="194" t="str">
        <f>U36</f>
        <v>標準計算</v>
      </c>
      <c r="I28" s="64"/>
      <c r="J28" s="183"/>
      <c r="K28" s="183"/>
      <c r="L28" s="110"/>
      <c r="M28" s="64"/>
      <c r="N28" s="64"/>
      <c r="O28" s="111"/>
      <c r="P28" s="64"/>
      <c r="Q28" s="64"/>
      <c r="S28" s="64"/>
      <c r="V28" s="55"/>
      <c r="W28" s="55"/>
      <c r="X28" s="55"/>
      <c r="Y28" s="55"/>
      <c r="Z28" s="55"/>
      <c r="AA28" s="55"/>
      <c r="AB28" s="55"/>
    </row>
    <row r="29" spans="2:28" ht="15" customHeight="1">
      <c r="B29" s="110"/>
      <c r="C29" s="64"/>
      <c r="D29" s="64"/>
      <c r="E29" s="64"/>
      <c r="F29" s="64"/>
      <c r="G29" s="64"/>
      <c r="H29" s="110"/>
      <c r="I29" s="64"/>
      <c r="J29" s="183"/>
      <c r="K29" s="184"/>
      <c r="L29" s="195"/>
      <c r="M29" s="196"/>
      <c r="N29" s="197"/>
      <c r="O29" s="198"/>
      <c r="P29" s="64"/>
      <c r="Q29" s="64"/>
      <c r="R29" s="199" t="s">
        <v>627</v>
      </c>
      <c r="S29" s="99" t="s">
        <v>628</v>
      </c>
      <c r="T29" s="200">
        <v>0</v>
      </c>
      <c r="U29" s="200">
        <f>100/6</f>
        <v>16.666666666666668</v>
      </c>
      <c r="V29" s="201">
        <f>U29*2</f>
        <v>33.333333333333336</v>
      </c>
      <c r="W29" s="200">
        <f>U29*3</f>
        <v>50</v>
      </c>
      <c r="X29" s="200">
        <f>U29*4</f>
        <v>66.666666666666671</v>
      </c>
      <c r="Y29" s="200">
        <f>U29*5</f>
        <v>83.333333333333343</v>
      </c>
      <c r="Z29" s="200">
        <v>100</v>
      </c>
      <c r="AA29" s="55"/>
      <c r="AB29" s="55"/>
    </row>
    <row r="30" spans="2:28" ht="15" customHeight="1">
      <c r="B30" s="110"/>
      <c r="C30" s="64"/>
      <c r="D30" s="64"/>
      <c r="E30" s="64"/>
      <c r="F30" s="64"/>
      <c r="G30" s="64"/>
      <c r="H30" s="110"/>
      <c r="I30" s="64"/>
      <c r="J30" s="183"/>
      <c r="K30" s="184"/>
      <c r="L30" s="195"/>
      <c r="M30" s="196"/>
      <c r="N30" s="197"/>
      <c r="O30" s="198"/>
      <c r="P30" s="64"/>
      <c r="Q30" s="64"/>
      <c r="R30" s="199"/>
      <c r="S30" s="99" t="s">
        <v>629</v>
      </c>
      <c r="T30" s="200">
        <v>100</v>
      </c>
      <c r="U30" s="200">
        <v>100</v>
      </c>
      <c r="V30" s="200">
        <v>100</v>
      </c>
      <c r="W30" s="200">
        <v>100</v>
      </c>
      <c r="X30" s="200">
        <v>100</v>
      </c>
      <c r="Y30" s="200">
        <v>100</v>
      </c>
      <c r="Z30" s="200">
        <v>100</v>
      </c>
      <c r="AA30" s="55"/>
      <c r="AB30" s="55"/>
    </row>
    <row r="31" spans="2:28" ht="15" customHeight="1">
      <c r="B31" s="110"/>
      <c r="C31" s="64"/>
      <c r="D31" s="64"/>
      <c r="E31" s="64"/>
      <c r="F31" s="64"/>
      <c r="G31" s="64"/>
      <c r="H31" s="110"/>
      <c r="I31" s="64"/>
      <c r="J31" s="183"/>
      <c r="K31" s="184"/>
      <c r="L31" s="202"/>
      <c r="M31" s="203"/>
      <c r="N31" s="204"/>
      <c r="O31" s="205"/>
      <c r="P31" s="64"/>
      <c r="Q31" s="64"/>
      <c r="R31" s="199">
        <v>3</v>
      </c>
      <c r="S31" s="99" t="s">
        <v>630</v>
      </c>
      <c r="T31" s="200">
        <v>50</v>
      </c>
      <c r="U31" s="200">
        <f t="shared" ref="U31:V34" si="0">U$29*$R31</f>
        <v>50</v>
      </c>
      <c r="V31" s="200">
        <f t="shared" si="0"/>
        <v>100</v>
      </c>
      <c r="W31" s="200">
        <v>100</v>
      </c>
      <c r="X31" s="200">
        <v>100</v>
      </c>
      <c r="Y31" s="200">
        <v>100</v>
      </c>
      <c r="Z31" s="200">
        <v>100</v>
      </c>
      <c r="AA31" s="55"/>
      <c r="AB31" s="55"/>
    </row>
    <row r="32" spans="2:28" ht="15" customHeight="1">
      <c r="B32" s="110"/>
      <c r="C32" s="64"/>
      <c r="D32" s="64"/>
      <c r="E32" s="64"/>
      <c r="F32" s="64"/>
      <c r="G32" s="64"/>
      <c r="H32" s="110"/>
      <c r="I32" s="64"/>
      <c r="J32" s="183"/>
      <c r="K32" s="184"/>
      <c r="L32" s="195"/>
      <c r="M32" s="196"/>
      <c r="N32" s="197"/>
      <c r="O32" s="198"/>
      <c r="P32" s="64"/>
      <c r="Q32" s="64"/>
      <c r="R32" s="199">
        <v>1.5</v>
      </c>
      <c r="S32" s="99" t="s">
        <v>631</v>
      </c>
      <c r="T32" s="200">
        <v>0</v>
      </c>
      <c r="U32" s="200">
        <f t="shared" si="0"/>
        <v>25</v>
      </c>
      <c r="V32" s="200">
        <f t="shared" si="0"/>
        <v>50</v>
      </c>
      <c r="W32" s="200">
        <f t="shared" ref="W32:X34" si="1">W$29*$R32</f>
        <v>75</v>
      </c>
      <c r="X32" s="200">
        <f t="shared" si="1"/>
        <v>100</v>
      </c>
      <c r="Y32" s="200">
        <v>100</v>
      </c>
      <c r="Z32" s="200">
        <v>100</v>
      </c>
      <c r="AA32" s="55"/>
      <c r="AB32" s="55"/>
    </row>
    <row r="33" spans="2:35" ht="15" customHeight="1">
      <c r="B33" s="110"/>
      <c r="C33" s="64"/>
      <c r="D33" s="64"/>
      <c r="E33" s="64"/>
      <c r="F33" s="64"/>
      <c r="G33" s="64"/>
      <c r="H33" s="110"/>
      <c r="I33" s="64"/>
      <c r="J33" s="183"/>
      <c r="K33" s="184"/>
      <c r="L33" s="195"/>
      <c r="M33" s="196"/>
      <c r="N33" s="197"/>
      <c r="O33" s="198"/>
      <c r="P33" s="64"/>
      <c r="Q33" s="64"/>
      <c r="R33" s="199">
        <v>1</v>
      </c>
      <c r="S33" s="99" t="s">
        <v>632</v>
      </c>
      <c r="T33" s="200">
        <v>0</v>
      </c>
      <c r="U33" s="200">
        <f t="shared" si="0"/>
        <v>16.666666666666668</v>
      </c>
      <c r="V33" s="200">
        <f t="shared" si="0"/>
        <v>33.333333333333336</v>
      </c>
      <c r="W33" s="200">
        <f t="shared" si="1"/>
        <v>50</v>
      </c>
      <c r="X33" s="200">
        <f t="shared" si="1"/>
        <v>66.666666666666671</v>
      </c>
      <c r="Y33" s="200">
        <f>Y$29*$R33</f>
        <v>83.333333333333343</v>
      </c>
      <c r="Z33" s="200">
        <f>Z$29*$R33</f>
        <v>100</v>
      </c>
      <c r="AA33" s="55"/>
      <c r="AB33" s="55"/>
    </row>
    <row r="34" spans="2:35" ht="15" customHeight="1">
      <c r="B34" s="110"/>
      <c r="C34" s="64"/>
      <c r="D34" s="64"/>
      <c r="E34" s="64"/>
      <c r="F34" s="64"/>
      <c r="G34" s="64"/>
      <c r="H34" s="110"/>
      <c r="I34" s="64"/>
      <c r="J34" s="183"/>
      <c r="K34" s="184"/>
      <c r="L34" s="195"/>
      <c r="M34" s="196"/>
      <c r="N34" s="197"/>
      <c r="O34" s="198"/>
      <c r="P34" s="64"/>
      <c r="Q34" s="64"/>
      <c r="R34" s="199">
        <v>0.5</v>
      </c>
      <c r="S34" s="99" t="s">
        <v>633</v>
      </c>
      <c r="T34" s="200">
        <v>0</v>
      </c>
      <c r="U34" s="200">
        <f t="shared" si="0"/>
        <v>8.3333333333333339</v>
      </c>
      <c r="V34" s="200">
        <f t="shared" si="0"/>
        <v>16.666666666666668</v>
      </c>
      <c r="W34" s="200">
        <f t="shared" si="1"/>
        <v>25</v>
      </c>
      <c r="X34" s="200">
        <f t="shared" si="1"/>
        <v>33.333333333333336</v>
      </c>
      <c r="Y34" s="200">
        <f>Y$29*$R34</f>
        <v>41.666666666666671</v>
      </c>
      <c r="Z34" s="200">
        <f>Z$29*$R34</f>
        <v>50</v>
      </c>
      <c r="AA34" s="55"/>
      <c r="AB34" s="55"/>
    </row>
    <row r="35" spans="2:35" ht="15" customHeight="1">
      <c r="B35" s="110"/>
      <c r="C35" s="64"/>
      <c r="D35" s="64"/>
      <c r="E35" s="64"/>
      <c r="F35" s="64"/>
      <c r="G35" s="64"/>
      <c r="H35" s="181"/>
      <c r="I35" s="182"/>
      <c r="J35" s="183"/>
      <c r="K35" s="184"/>
      <c r="L35" s="195"/>
      <c r="M35" s="64"/>
      <c r="N35" s="64"/>
      <c r="O35" s="111"/>
      <c r="P35" s="64"/>
      <c r="Q35" s="64"/>
      <c r="R35" s="206"/>
      <c r="S35" s="149"/>
      <c r="T35" s="207"/>
      <c r="U35" s="207"/>
      <c r="V35" s="207"/>
      <c r="W35" s="207"/>
      <c r="X35" s="207"/>
      <c r="Y35" s="207"/>
      <c r="Z35" s="207"/>
      <c r="AA35" s="55"/>
      <c r="AB35" s="55"/>
    </row>
    <row r="36" spans="2:35" ht="15" customHeight="1">
      <c r="B36" s="110"/>
      <c r="C36" s="64"/>
      <c r="D36" s="64"/>
      <c r="E36" s="64"/>
      <c r="F36" s="64"/>
      <c r="G36" s="64"/>
      <c r="H36" s="208"/>
      <c r="I36" s="209"/>
      <c r="J36" s="209"/>
      <c r="K36" s="210"/>
      <c r="L36" s="195"/>
      <c r="M36" s="64"/>
      <c r="N36" s="211"/>
      <c r="O36" s="111"/>
      <c r="P36" s="64"/>
      <c r="Q36" s="64"/>
      <c r="R36" s="101" t="s">
        <v>634</v>
      </c>
      <c r="S36" s="142" t="e">
        <f>IF(T36&lt;=0.3,1,IF(T36&lt;=0.6,0.8,IF(T36&lt;=0.8,0.6,IF(T36&lt;=1,0.4,0.2))))</f>
        <v>#VALUE!</v>
      </c>
      <c r="T36" s="207" t="e">
        <f>IF(U36=W36,X42,X43)</f>
        <v>#VALUE!</v>
      </c>
      <c r="U36" s="212" t="str">
        <f>メイン!C43</f>
        <v>標準計算</v>
      </c>
      <c r="V36" s="213" t="s">
        <v>635</v>
      </c>
      <c r="W36" s="212" t="s">
        <v>373</v>
      </c>
      <c r="X36" s="212" t="s">
        <v>524</v>
      </c>
      <c r="Y36" s="207"/>
      <c r="Z36" s="207"/>
      <c r="AA36" s="55"/>
      <c r="AB36" s="55"/>
    </row>
    <row r="37" spans="2:35" ht="15" customHeight="1">
      <c r="B37" s="110"/>
      <c r="C37" s="64"/>
      <c r="D37" s="64"/>
      <c r="E37" s="64"/>
      <c r="F37" s="64"/>
      <c r="G37" s="64"/>
      <c r="H37" s="3100" t="str">
        <f>IF(U36=W36,X36,X37)</f>
        <v>このグラフは、LR3中の「地球温暖化への配慮」の内容を、一般的な建物（参照値）と比べたライフサイクルCO2 排出量の目安で示したものです</v>
      </c>
      <c r="I37" s="3101"/>
      <c r="J37" s="3101"/>
      <c r="K37" s="3102"/>
      <c r="L37" s="195"/>
      <c r="M37" s="64"/>
      <c r="N37" s="214"/>
      <c r="O37" s="111"/>
      <c r="P37" s="64"/>
      <c r="Q37" s="64"/>
      <c r="R37" s="101" t="s">
        <v>1192</v>
      </c>
      <c r="S37" s="148" t="e">
        <f>1-S36</f>
        <v>#VALUE!</v>
      </c>
      <c r="T37" s="207"/>
      <c r="U37" s="212" t="s">
        <v>1761</v>
      </c>
      <c r="V37" s="207" t="str">
        <f>IF(U36=W37,V36,"")</f>
        <v/>
      </c>
      <c r="W37" s="212" t="s">
        <v>375</v>
      </c>
      <c r="X37" s="212" t="s">
        <v>590</v>
      </c>
      <c r="Y37" s="207"/>
      <c r="Z37" s="207"/>
      <c r="AA37" s="55"/>
      <c r="AB37" s="55"/>
    </row>
    <row r="38" spans="2:35" ht="15" customHeight="1">
      <c r="B38" s="110"/>
      <c r="C38" s="50"/>
      <c r="D38" s="64"/>
      <c r="E38" s="64"/>
      <c r="F38" s="64"/>
      <c r="G38" s="64"/>
      <c r="H38" s="3100"/>
      <c r="I38" s="3101"/>
      <c r="J38" s="3101"/>
      <c r="K38" s="3102"/>
      <c r="L38" s="110"/>
      <c r="M38" s="215"/>
      <c r="N38" s="64"/>
      <c r="O38" s="111"/>
      <c r="P38" s="64"/>
      <c r="Q38" s="64"/>
      <c r="S38" s="64"/>
      <c r="AA38" s="55"/>
      <c r="AB38" s="55"/>
    </row>
    <row r="39" spans="2:35" ht="15" customHeight="1" thickBot="1">
      <c r="B39" s="216"/>
      <c r="C39" s="155"/>
      <c r="D39" s="155"/>
      <c r="E39" s="155"/>
      <c r="F39" s="155"/>
      <c r="G39" s="155"/>
      <c r="H39" s="3103"/>
      <c r="I39" s="3104"/>
      <c r="J39" s="3104"/>
      <c r="K39" s="3105"/>
      <c r="L39" s="216"/>
      <c r="M39" s="217"/>
      <c r="N39" s="155"/>
      <c r="O39" s="218"/>
      <c r="P39" s="64"/>
      <c r="Q39" s="64"/>
      <c r="R39" s="219" t="s">
        <v>1193</v>
      </c>
      <c r="S39" s="220" t="s">
        <v>591</v>
      </c>
      <c r="T39" s="220" t="s">
        <v>592</v>
      </c>
      <c r="U39" s="220" t="s">
        <v>593</v>
      </c>
      <c r="V39" s="220" t="s">
        <v>1194</v>
      </c>
      <c r="W39" s="220" t="s">
        <v>1195</v>
      </c>
      <c r="X39" s="220" t="s">
        <v>1196</v>
      </c>
      <c r="Y39" s="98" t="s">
        <v>1197</v>
      </c>
      <c r="AA39" s="212"/>
    </row>
    <row r="40" spans="2:35" ht="18" customHeight="1" thickBot="1">
      <c r="B40" s="221" t="s">
        <v>1198</v>
      </c>
      <c r="C40" s="222"/>
      <c r="D40" s="223"/>
      <c r="E40" s="222"/>
      <c r="F40" s="222"/>
      <c r="G40" s="222"/>
      <c r="H40" s="224"/>
      <c r="I40" s="225"/>
      <c r="J40" s="222"/>
      <c r="K40" s="222"/>
      <c r="L40" s="222"/>
      <c r="M40" s="226"/>
      <c r="N40" s="226"/>
      <c r="O40" s="227"/>
      <c r="R40" s="98" t="s">
        <v>594</v>
      </c>
      <c r="S40" s="228">
        <f>IF($U$36=$W$36,'条件(標準)'!$D9,'条件(個別)'!$D9)</f>
        <v>13.998000000000001</v>
      </c>
      <c r="T40" s="228">
        <f>IF($U$36=$W$36,'条件(標準)'!$D34,'条件(個別)'!$D34)</f>
        <v>16.21</v>
      </c>
      <c r="U40" s="228" t="e">
        <f>IF($U$36=$W$36,'条件(標準)'!$D46,'条件(個別)'!$D46)</f>
        <v>#VALUE!</v>
      </c>
      <c r="V40" s="229"/>
      <c r="W40" s="229"/>
      <c r="X40" s="230">
        <v>1</v>
      </c>
      <c r="Y40" s="98" t="e">
        <f>IF(COUNTIF(S40:W40,Z41)&gt;0,Z41,SUM(S40:W40))</f>
        <v>#VALUE!</v>
      </c>
      <c r="AA40" s="231"/>
    </row>
    <row r="41" spans="2:35" ht="18.75">
      <c r="B41" s="232" t="s">
        <v>595</v>
      </c>
      <c r="C41" s="233"/>
      <c r="D41" s="233"/>
      <c r="E41" s="234"/>
      <c r="F41" s="233"/>
      <c r="G41" s="233"/>
      <c r="H41" s="233"/>
      <c r="I41" s="233"/>
      <c r="J41" s="233"/>
      <c r="K41" s="235"/>
      <c r="L41" s="236"/>
      <c r="M41" s="237" t="s">
        <v>596</v>
      </c>
      <c r="N41" s="238">
        <f>スコア!U8</f>
        <v>2.9</v>
      </c>
      <c r="O41" s="239"/>
      <c r="R41" s="98" t="s">
        <v>597</v>
      </c>
      <c r="S41" s="228">
        <f>IF($U$36=$W$36,'条件(標準)'!$E9,'条件(個別)'!$E9)</f>
        <v>13.998000000000001</v>
      </c>
      <c r="T41" s="228">
        <f>IF($U$36=$W$36,'条件(標準)'!$E34,'条件(個別)'!$E34)</f>
        <v>16.21</v>
      </c>
      <c r="U41" s="228" t="e">
        <f>IF($U$36=$W$36,'条件(標準)'!$E46,'条件(個別)'!$E46)</f>
        <v>#VALUE!</v>
      </c>
      <c r="V41" s="229"/>
      <c r="W41" s="229"/>
      <c r="X41" s="230" t="e">
        <f>IF(OR(Y40=Z41,Y41=Z41),Z41,Y41/Y40)</f>
        <v>#VALUE!</v>
      </c>
      <c r="Y41" s="98" t="e">
        <f>IF(COUNTIF(S41:W41,Z41)&gt;0,Z41,SUM(S41:W41))</f>
        <v>#VALUE!</v>
      </c>
      <c r="Z41" s="64" t="str">
        <f>CO2計算!R115</f>
        <v>N.A.</v>
      </c>
      <c r="AA41" s="231"/>
    </row>
    <row r="42" spans="2:35" ht="15">
      <c r="B42" s="110"/>
      <c r="C42" s="86" t="str">
        <f>スコア!B9&amp;" "&amp;スコア!C9</f>
        <v>Q1 室内環境</v>
      </c>
      <c r="D42" s="240"/>
      <c r="E42" s="240"/>
      <c r="F42" s="240"/>
      <c r="G42" s="240"/>
      <c r="H42" s="240" t="str">
        <f>"     "&amp;スコア!B62&amp;" "&amp;スコア!C62</f>
        <v xml:space="preserve">     Q2 サービス性能</v>
      </c>
      <c r="I42" s="240"/>
      <c r="J42" s="55"/>
      <c r="K42" s="55"/>
      <c r="L42" s="241" t="str">
        <f>スコア!B112&amp;" "&amp;スコア!C112</f>
        <v>Q3 室外環境（敷地内）</v>
      </c>
      <c r="M42" s="241"/>
      <c r="N42" s="55"/>
      <c r="O42" s="154"/>
      <c r="R42" s="98" t="s">
        <v>598</v>
      </c>
      <c r="S42" s="228"/>
      <c r="T42" s="228"/>
      <c r="U42" s="228"/>
      <c r="V42" s="242" t="e">
        <f>IF($U$36=$W$36,'条件(標準)'!E9+'条件(標準)'!E34+'条件(標準)'!E47,'条件(個別)'!E9+'条件(個別)'!E34+'条件(個別)'!E47)</f>
        <v>#VALUE!</v>
      </c>
      <c r="W42" s="229"/>
      <c r="X42" s="230" t="e">
        <f>IF(OR(Y40=Z42,Y42=Z42),Z42,Y42/Y40)</f>
        <v>#VALUE!</v>
      </c>
      <c r="Y42" s="98" t="e">
        <f>IF(COUNTIF(S42:W42,Z42)&gt;0,Z42,SUM(S42:W42))</f>
        <v>#VALUE!</v>
      </c>
      <c r="Z42" s="64" t="str">
        <f>CO2計算!R115</f>
        <v>N.A.</v>
      </c>
      <c r="AA42" s="231"/>
    </row>
    <row r="43" spans="2:35" ht="15" customHeight="1">
      <c r="B43" s="110"/>
      <c r="C43" s="243"/>
      <c r="D43" s="244"/>
      <c r="E43" s="245"/>
      <c r="F43" s="64"/>
      <c r="G43" s="240">
        <f>S46</f>
        <v>3</v>
      </c>
      <c r="H43" s="64"/>
      <c r="I43" s="245"/>
      <c r="J43" s="64"/>
      <c r="K43" s="240">
        <f>V46</f>
        <v>2.9</v>
      </c>
      <c r="L43" s="64"/>
      <c r="M43" s="246"/>
      <c r="N43" s="245"/>
      <c r="O43" s="247">
        <f>Y46</f>
        <v>3</v>
      </c>
      <c r="R43" s="98" t="s">
        <v>599</v>
      </c>
      <c r="S43" s="228"/>
      <c r="T43" s="228"/>
      <c r="U43" s="228"/>
      <c r="V43" s="242"/>
      <c r="W43" s="248" t="e">
        <f>IF($U$36=$W$36,'条件(標準)'!E9+'条件(標準)'!E34+'条件(標準)'!E52,'条件(個別)'!E9+'条件(個別)'!E34+'条件(個別)'!E52)</f>
        <v>#VALUE!</v>
      </c>
      <c r="X43" s="230" t="e">
        <f>IF(OR(Y40=Z43,Y43=Z43),Z43,Y43/Y40)</f>
        <v>#VALUE!</v>
      </c>
      <c r="Y43" s="98" t="e">
        <f>IF(COUNTIF(S43:W43,Z43)&gt;0,Z43,SUM(S43:W43))</f>
        <v>#VALUE!</v>
      </c>
      <c r="Z43" s="64" t="str">
        <f>CO2計算!R115</f>
        <v>N.A.</v>
      </c>
      <c r="AA43" s="231"/>
    </row>
    <row r="44" spans="2:35" ht="15" customHeight="1">
      <c r="B44" s="110"/>
      <c r="C44" s="64"/>
      <c r="D44" s="64"/>
      <c r="E44" s="64"/>
      <c r="F44" s="64"/>
      <c r="L44" s="55"/>
      <c r="M44" s="55"/>
      <c r="N44" s="55"/>
      <c r="O44" s="154"/>
      <c r="S44" s="64"/>
      <c r="AA44" s="55"/>
      <c r="AB44" s="55"/>
      <c r="AC44" s="249"/>
      <c r="AF44" s="249"/>
      <c r="AG44" s="249"/>
      <c r="AI44" s="249"/>
    </row>
    <row r="45" spans="2:35" ht="15" customHeight="1">
      <c r="B45" s="110"/>
      <c r="C45" s="64"/>
      <c r="D45" s="64"/>
      <c r="E45" s="64"/>
      <c r="F45" s="64"/>
      <c r="L45" s="55"/>
      <c r="M45" s="55"/>
      <c r="N45" s="55"/>
      <c r="O45" s="154"/>
      <c r="R45" s="101"/>
      <c r="S45" s="101" t="s">
        <v>1886</v>
      </c>
      <c r="T45" s="101" t="s">
        <v>600</v>
      </c>
      <c r="U45" s="101"/>
      <c r="V45" s="101" t="s">
        <v>1886</v>
      </c>
      <c r="W45" s="101" t="s">
        <v>600</v>
      </c>
      <c r="X45" s="101"/>
      <c r="Y45" s="101" t="s">
        <v>1886</v>
      </c>
      <c r="Z45" s="101" t="s">
        <v>600</v>
      </c>
      <c r="AA45" s="55"/>
      <c r="AB45" s="55"/>
    </row>
    <row r="46" spans="2:35" ht="15" customHeight="1">
      <c r="B46" s="110"/>
      <c r="C46" s="64"/>
      <c r="D46" s="64"/>
      <c r="E46" s="64"/>
      <c r="F46" s="64"/>
      <c r="L46" s="55"/>
      <c r="M46" s="55"/>
      <c r="N46" s="55"/>
      <c r="O46" s="154"/>
      <c r="R46" s="250" t="s">
        <v>781</v>
      </c>
      <c r="S46" s="251">
        <f>スコア!U9</f>
        <v>3</v>
      </c>
      <c r="T46" s="101">
        <f>スコア!AD9</f>
        <v>3</v>
      </c>
      <c r="U46" s="99" t="s">
        <v>1199</v>
      </c>
      <c r="V46" s="252">
        <f>スコア!U62</f>
        <v>2.9</v>
      </c>
      <c r="W46" s="101">
        <f>スコア!AD62</f>
        <v>2.96</v>
      </c>
      <c r="X46" s="250" t="s">
        <v>782</v>
      </c>
      <c r="Y46" s="252">
        <f>スコア!U112</f>
        <v>3</v>
      </c>
      <c r="Z46" s="101">
        <f>スコア!AD112</f>
        <v>3</v>
      </c>
      <c r="AA46" s="55"/>
      <c r="AB46" s="55"/>
    </row>
    <row r="47" spans="2:35" ht="15" customHeight="1">
      <c r="B47" s="110"/>
      <c r="C47" s="64"/>
      <c r="D47" s="64"/>
      <c r="E47" s="64"/>
      <c r="F47" s="64"/>
      <c r="L47" s="55"/>
      <c r="M47" s="55"/>
      <c r="N47" s="55"/>
      <c r="O47" s="154"/>
      <c r="S47" s="64"/>
      <c r="AA47" s="55"/>
      <c r="AB47" s="55"/>
    </row>
    <row r="48" spans="2:35" ht="15" customHeight="1">
      <c r="B48" s="110"/>
      <c r="C48" s="64"/>
      <c r="D48" s="64"/>
      <c r="E48" s="64"/>
      <c r="F48" s="64"/>
      <c r="L48" s="55"/>
      <c r="M48" s="55"/>
      <c r="N48" s="55"/>
      <c r="O48" s="154"/>
      <c r="R48" s="101"/>
      <c r="S48" s="101" t="s">
        <v>1200</v>
      </c>
      <c r="T48" s="101" t="s">
        <v>1201</v>
      </c>
      <c r="U48" s="101"/>
      <c r="V48" s="101" t="s">
        <v>1200</v>
      </c>
      <c r="W48" s="101" t="s">
        <v>1201</v>
      </c>
      <c r="X48" s="101"/>
      <c r="Y48" s="253" t="s">
        <v>1200</v>
      </c>
      <c r="Z48" s="101" t="s">
        <v>1201</v>
      </c>
      <c r="AA48" s="55"/>
      <c r="AB48" s="55"/>
    </row>
    <row r="49" spans="1:28" ht="15" customHeight="1">
      <c r="B49" s="110"/>
      <c r="C49" s="64"/>
      <c r="D49" s="64"/>
      <c r="E49" s="64"/>
      <c r="F49" s="64"/>
      <c r="G49" s="254"/>
      <c r="H49" s="254"/>
      <c r="L49" s="55"/>
      <c r="M49" s="55"/>
      <c r="N49" s="55"/>
      <c r="O49" s="154"/>
      <c r="R49" s="255" t="s">
        <v>783</v>
      </c>
      <c r="S49" s="251">
        <f>スコア!U10</f>
        <v>3</v>
      </c>
      <c r="T49" s="101" t="str">
        <f>IF(S49=0,"N.A.","")</f>
        <v/>
      </c>
      <c r="U49" s="99" t="s">
        <v>784</v>
      </c>
      <c r="V49" s="252">
        <f>スコア!U63</f>
        <v>2.9</v>
      </c>
      <c r="W49" s="101" t="str">
        <f>IF(V49=0,"N.A.","")</f>
        <v/>
      </c>
      <c r="X49" s="255" t="s">
        <v>785</v>
      </c>
      <c r="Y49" s="252">
        <f>スコア!U113</f>
        <v>3</v>
      </c>
      <c r="Z49" s="101" t="str">
        <f>IF(Y49=0,"N.A.","")</f>
        <v/>
      </c>
      <c r="AA49" s="55"/>
      <c r="AB49" s="55"/>
    </row>
    <row r="50" spans="1:28" ht="15" customHeight="1">
      <c r="B50" s="110"/>
      <c r="C50" s="64"/>
      <c r="D50" s="64"/>
      <c r="E50" s="64"/>
      <c r="F50" s="64"/>
      <c r="G50" s="254"/>
      <c r="H50" s="254"/>
      <c r="L50" s="55"/>
      <c r="M50" s="55"/>
      <c r="N50" s="55"/>
      <c r="O50" s="154"/>
      <c r="R50" s="255" t="s">
        <v>786</v>
      </c>
      <c r="S50" s="251">
        <f>スコア!U20</f>
        <v>3</v>
      </c>
      <c r="T50" s="101" t="str">
        <f>IF(S50=0,"N.A.","")</f>
        <v/>
      </c>
      <c r="U50" s="99" t="s">
        <v>787</v>
      </c>
      <c r="V50" s="252">
        <f>スコア!U78</f>
        <v>3</v>
      </c>
      <c r="W50" s="101" t="str">
        <f>IF(V50=0,"N.A.","")</f>
        <v/>
      </c>
      <c r="X50" s="255" t="s">
        <v>1202</v>
      </c>
      <c r="Y50" s="252">
        <f>スコア!U116</f>
        <v>3</v>
      </c>
      <c r="Z50" s="101" t="str">
        <f>IF(Y50=0,"N.A.","")</f>
        <v/>
      </c>
      <c r="AA50" s="55"/>
      <c r="AB50" s="55"/>
    </row>
    <row r="51" spans="1:28" ht="15" customHeight="1">
      <c r="B51" s="110"/>
      <c r="C51" s="64"/>
      <c r="D51" s="64"/>
      <c r="E51" s="64"/>
      <c r="F51" s="64"/>
      <c r="G51" s="134"/>
      <c r="H51" s="129"/>
      <c r="I51" s="256"/>
      <c r="J51" s="256"/>
      <c r="K51" s="257"/>
      <c r="L51" s="258"/>
      <c r="M51" s="258"/>
      <c r="N51" s="258"/>
      <c r="O51" s="259"/>
      <c r="R51" s="255" t="s">
        <v>788</v>
      </c>
      <c r="S51" s="251">
        <f>スコア!U35</f>
        <v>3</v>
      </c>
      <c r="T51" s="101" t="str">
        <f>IF(S51=0,"N.A.","")</f>
        <v/>
      </c>
      <c r="U51" s="99" t="s">
        <v>789</v>
      </c>
      <c r="V51" s="252">
        <f>スコア!U100</f>
        <v>3</v>
      </c>
      <c r="W51" s="101" t="str">
        <f>IF(V51=0,"N.A.","")</f>
        <v/>
      </c>
      <c r="X51" s="255" t="s">
        <v>70</v>
      </c>
      <c r="Y51" s="252">
        <f>スコア!U117</f>
        <v>3</v>
      </c>
      <c r="Z51" s="101" t="str">
        <f>IF(Y51=0,"N.A.","")</f>
        <v/>
      </c>
      <c r="AA51" s="55"/>
      <c r="AB51" s="55"/>
    </row>
    <row r="52" spans="1:28" ht="18" customHeight="1">
      <c r="A52" s="260"/>
      <c r="B52" s="261" t="s">
        <v>1203</v>
      </c>
      <c r="C52" s="262"/>
      <c r="D52" s="263"/>
      <c r="E52" s="262"/>
      <c r="F52" s="262"/>
      <c r="G52" s="262"/>
      <c r="H52" s="233"/>
      <c r="I52" s="233"/>
      <c r="J52" s="233"/>
      <c r="K52" s="235"/>
      <c r="L52" s="236"/>
      <c r="M52" s="237" t="s">
        <v>1204</v>
      </c>
      <c r="N52" s="264" t="e">
        <f>スコア!U121</f>
        <v>#VALUE!</v>
      </c>
      <c r="O52" s="239"/>
      <c r="R52" s="255" t="s">
        <v>71</v>
      </c>
      <c r="S52" s="251">
        <f>スコア!U48</f>
        <v>3</v>
      </c>
      <c r="T52" s="101" t="str">
        <f>IF(S52=0,"N.A.","")</f>
        <v/>
      </c>
      <c r="U52" s="55"/>
      <c r="V52" s="55"/>
      <c r="W52" s="55"/>
      <c r="X52" s="55"/>
      <c r="Y52" s="55"/>
      <c r="Z52" s="55"/>
      <c r="AA52" s="55"/>
      <c r="AB52" s="55"/>
    </row>
    <row r="53" spans="1:28" ht="15">
      <c r="B53" s="265"/>
      <c r="C53" s="241" t="str">
        <f>スコア!B122&amp;" "&amp;スコア!C122</f>
        <v>LR1 エネルギー</v>
      </c>
      <c r="D53" s="241"/>
      <c r="E53" s="266"/>
      <c r="F53" s="241"/>
      <c r="G53" s="241"/>
      <c r="H53" s="241" t="str">
        <f>"     "&amp;スコア!B145&amp;" "&amp;スコア!C145</f>
        <v xml:space="preserve">     LR2 資源・マテリアル</v>
      </c>
      <c r="I53" s="241"/>
      <c r="J53" s="241"/>
      <c r="K53" s="241"/>
      <c r="L53" s="86" t="str">
        <f>スコア!B172&amp;" "&amp;スコア!C172</f>
        <v>LR3 敷地外環境</v>
      </c>
      <c r="M53" s="241"/>
      <c r="N53" s="241"/>
      <c r="O53" s="267"/>
      <c r="R53" s="55"/>
      <c r="S53" s="55"/>
      <c r="T53" s="101"/>
      <c r="U53" s="55"/>
      <c r="V53" s="55"/>
      <c r="W53" s="55"/>
      <c r="X53" s="55"/>
      <c r="Y53" s="55"/>
      <c r="Z53" s="55"/>
      <c r="AA53" s="55"/>
      <c r="AB53" s="55"/>
    </row>
    <row r="54" spans="1:28" ht="15">
      <c r="B54" s="268"/>
      <c r="C54" s="243"/>
      <c r="D54" s="244"/>
      <c r="E54" s="245"/>
      <c r="F54" s="64"/>
      <c r="G54" s="240">
        <f>S57</f>
        <v>3</v>
      </c>
      <c r="H54" s="64"/>
      <c r="I54" s="245"/>
      <c r="J54" s="64"/>
      <c r="K54" s="240">
        <f>V57</f>
        <v>3</v>
      </c>
      <c r="L54" s="245"/>
      <c r="M54" s="64"/>
      <c r="N54" s="269"/>
      <c r="O54" s="247" t="e">
        <f>Y57</f>
        <v>#VALUE!</v>
      </c>
      <c r="R54" s="55" t="str">
        <f>IF(S49=0,"N.A.","")</f>
        <v/>
      </c>
      <c r="S54" s="55"/>
      <c r="T54" s="55"/>
      <c r="U54" s="55"/>
      <c r="V54" s="55"/>
      <c r="W54" s="55"/>
      <c r="X54" s="55"/>
      <c r="Y54" s="55"/>
      <c r="Z54" s="55"/>
      <c r="AA54" s="55"/>
      <c r="AB54" s="55"/>
    </row>
    <row r="55" spans="1:28" ht="14.25">
      <c r="B55" s="268"/>
      <c r="C55" s="270"/>
      <c r="D55" s="270"/>
      <c r="E55" s="271"/>
      <c r="F55" s="134"/>
      <c r="G55" s="134"/>
      <c r="H55" s="134"/>
      <c r="O55" s="97"/>
      <c r="S55" s="64"/>
      <c r="AA55" s="55"/>
      <c r="AB55" s="55"/>
    </row>
    <row r="56" spans="1:28" ht="15.75" customHeight="1">
      <c r="B56" s="268"/>
      <c r="C56" s="96"/>
      <c r="D56" s="272"/>
      <c r="I56" s="273"/>
      <c r="O56" s="97"/>
      <c r="R56" s="101"/>
      <c r="S56" s="101" t="s">
        <v>1205</v>
      </c>
      <c r="T56" s="101" t="s">
        <v>1206</v>
      </c>
      <c r="U56" s="101"/>
      <c r="V56" s="101" t="s">
        <v>1205</v>
      </c>
      <c r="W56" s="101" t="s">
        <v>1206</v>
      </c>
      <c r="X56" s="101"/>
      <c r="Y56" s="101" t="s">
        <v>1205</v>
      </c>
      <c r="Z56" s="101" t="s">
        <v>1206</v>
      </c>
      <c r="AA56" s="55"/>
      <c r="AB56" s="55"/>
    </row>
    <row r="57" spans="1:28" ht="15.75" customHeight="1">
      <c r="B57" s="268"/>
      <c r="I57" s="273"/>
      <c r="O57" s="97"/>
      <c r="R57" s="99" t="s">
        <v>1207</v>
      </c>
      <c r="S57" s="252">
        <f>スコア!U122</f>
        <v>3</v>
      </c>
      <c r="T57" s="101">
        <f>スコア!AD122</f>
        <v>3.0000000000000004</v>
      </c>
      <c r="U57" s="99" t="s">
        <v>72</v>
      </c>
      <c r="V57" s="274">
        <f>スコア!U145</f>
        <v>3</v>
      </c>
      <c r="W57" s="101">
        <f>スコア!AD145</f>
        <v>3.0000000000000004</v>
      </c>
      <c r="X57" s="99" t="s">
        <v>1996</v>
      </c>
      <c r="Y57" s="252" t="e">
        <f>スコア!U172</f>
        <v>#VALUE!</v>
      </c>
      <c r="Z57" s="101" t="e">
        <f>スコア!AD172</f>
        <v>#VALUE!</v>
      </c>
      <c r="AA57" s="55"/>
      <c r="AB57" s="55"/>
    </row>
    <row r="58" spans="1:28" ht="15.75" customHeight="1">
      <c r="B58" s="275"/>
      <c r="I58" s="273"/>
      <c r="O58" s="97"/>
      <c r="S58" s="64"/>
      <c r="Y58" s="276"/>
      <c r="AA58" s="55"/>
      <c r="AB58" s="55"/>
    </row>
    <row r="59" spans="1:28" ht="15.75" customHeight="1">
      <c r="B59" s="275"/>
      <c r="I59" s="273"/>
      <c r="O59" s="97"/>
      <c r="R59" s="101"/>
      <c r="S59" s="101" t="s">
        <v>1208</v>
      </c>
      <c r="T59" s="101" t="s">
        <v>1209</v>
      </c>
      <c r="U59" s="101"/>
      <c r="V59" s="101" t="s">
        <v>1208</v>
      </c>
      <c r="W59" s="101" t="s">
        <v>1209</v>
      </c>
      <c r="X59" s="101"/>
      <c r="Y59" s="253" t="s">
        <v>1208</v>
      </c>
      <c r="Z59" s="101" t="s">
        <v>1209</v>
      </c>
      <c r="AA59" s="55"/>
      <c r="AB59" s="55"/>
    </row>
    <row r="60" spans="1:28" ht="15.75" customHeight="1">
      <c r="B60" s="275"/>
      <c r="I60" s="273"/>
      <c r="O60" s="97"/>
      <c r="R60" s="99" t="s">
        <v>1997</v>
      </c>
      <c r="S60" s="277">
        <f>スコア!U123</f>
        <v>3</v>
      </c>
      <c r="T60" s="101" t="str">
        <f>IF(S60=0,"N.A.","")</f>
        <v/>
      </c>
      <c r="U60" s="278" t="s">
        <v>1998</v>
      </c>
      <c r="V60" s="252">
        <f>スコア!U146</f>
        <v>3</v>
      </c>
      <c r="W60" s="101" t="str">
        <f>IF(V60=0,"N.A.","")</f>
        <v/>
      </c>
      <c r="X60" s="99" t="s">
        <v>2212</v>
      </c>
      <c r="Y60" s="252" t="e">
        <f>スコア!U173</f>
        <v>#VALUE!</v>
      </c>
      <c r="Z60" s="101" t="e">
        <f>IF(Y60=0,"N.A.","")</f>
        <v>#VALUE!</v>
      </c>
      <c r="AA60" s="55"/>
      <c r="AB60" s="55"/>
    </row>
    <row r="61" spans="1:28" ht="15.75" customHeight="1">
      <c r="B61" s="275"/>
      <c r="I61" s="273"/>
      <c r="O61" s="97"/>
      <c r="R61" s="99" t="s">
        <v>2213</v>
      </c>
      <c r="S61" s="277">
        <f>スコア!U124</f>
        <v>3</v>
      </c>
      <c r="T61" s="101" t="str">
        <f>IF(S61=0,"N.A.","")</f>
        <v/>
      </c>
      <c r="U61" s="278" t="s">
        <v>2214</v>
      </c>
      <c r="V61" s="252">
        <f>スコア!U151</f>
        <v>3</v>
      </c>
      <c r="W61" s="101" t="str">
        <f>IF(V61=0,"N.A.","")</f>
        <v/>
      </c>
      <c r="X61" s="99" t="s">
        <v>2215</v>
      </c>
      <c r="Y61" s="252">
        <f>スコア!U174</f>
        <v>3</v>
      </c>
      <c r="Z61" s="101" t="str">
        <f>IF(Y61=0,"N.A.","")</f>
        <v/>
      </c>
      <c r="AA61" s="55"/>
      <c r="AB61" s="55"/>
    </row>
    <row r="62" spans="1:28" ht="15.75" customHeight="1" thickBot="1">
      <c r="B62" s="279"/>
      <c r="C62" s="280"/>
      <c r="D62" s="281"/>
      <c r="E62" s="280"/>
      <c r="F62" s="282"/>
      <c r="G62" s="282"/>
      <c r="H62" s="282"/>
      <c r="I62" s="283"/>
      <c r="J62" s="156"/>
      <c r="K62" s="156"/>
      <c r="L62" s="156"/>
      <c r="M62" s="284"/>
      <c r="N62" s="284"/>
      <c r="O62" s="285"/>
      <c r="R62" s="99" t="s">
        <v>2216</v>
      </c>
      <c r="S62" s="277">
        <f>スコア!U129</f>
        <v>3</v>
      </c>
      <c r="T62" s="101" t="str">
        <f>IF(S62=0,"N.A.","")</f>
        <v/>
      </c>
      <c r="U62" s="286" t="s">
        <v>2217</v>
      </c>
      <c r="V62" s="287">
        <f>スコア!U166</f>
        <v>3</v>
      </c>
      <c r="W62" s="101" t="str">
        <f>IF(V62=0,"N.A.","")</f>
        <v/>
      </c>
      <c r="X62" s="99" t="s">
        <v>2218</v>
      </c>
      <c r="Y62" s="252">
        <f>スコア!U183</f>
        <v>3</v>
      </c>
      <c r="Z62" s="101" t="str">
        <f>IF(Y62=0,"N.A.","")</f>
        <v/>
      </c>
      <c r="AA62" s="55"/>
      <c r="AB62" s="55"/>
    </row>
    <row r="63" spans="1:28" ht="6" customHeight="1" thickBot="1">
      <c r="B63" s="288"/>
      <c r="C63" s="273"/>
      <c r="D63" s="289"/>
      <c r="R63" s="99" t="s">
        <v>2219</v>
      </c>
      <c r="S63" s="277">
        <f>スコア!U138</f>
        <v>3</v>
      </c>
      <c r="T63" s="101" t="str">
        <f>IF(S63=0,"N.A.","")</f>
        <v/>
      </c>
      <c r="U63" s="55"/>
      <c r="V63" s="290"/>
      <c r="W63" s="290"/>
      <c r="X63" s="290"/>
      <c r="Y63" s="290"/>
      <c r="Z63" s="290"/>
      <c r="AA63" s="55"/>
      <c r="AB63" s="55"/>
    </row>
    <row r="64" spans="1:28" ht="15.75">
      <c r="B64" s="166" t="s">
        <v>2220</v>
      </c>
      <c r="C64" s="291"/>
      <c r="D64" s="292"/>
      <c r="E64" s="291"/>
      <c r="F64" s="291"/>
      <c r="G64" s="291"/>
      <c r="H64" s="293"/>
      <c r="I64" s="294"/>
      <c r="J64" s="291"/>
      <c r="K64" s="291"/>
      <c r="L64" s="291"/>
      <c r="M64" s="295"/>
      <c r="N64" s="295"/>
      <c r="O64" s="296"/>
      <c r="R64" s="55"/>
      <c r="S64" s="55"/>
      <c r="T64" s="55"/>
      <c r="U64" s="55"/>
      <c r="V64" s="290"/>
      <c r="W64" s="290"/>
      <c r="X64" s="290"/>
      <c r="Y64" s="290"/>
      <c r="Z64" s="290"/>
      <c r="AA64" s="55"/>
      <c r="AB64" s="55"/>
    </row>
    <row r="65" spans="1:28" ht="14.25">
      <c r="B65" s="297" t="s">
        <v>2221</v>
      </c>
      <c r="C65" s="298"/>
      <c r="D65" s="299"/>
      <c r="E65" s="298"/>
      <c r="F65" s="298"/>
      <c r="G65" s="298"/>
      <c r="H65" s="298"/>
      <c r="I65" s="298"/>
      <c r="J65" s="298"/>
      <c r="K65" s="300"/>
      <c r="L65" s="301" t="s">
        <v>2222</v>
      </c>
      <c r="M65" s="302"/>
      <c r="N65" s="302"/>
      <c r="O65" s="303"/>
      <c r="R65" s="304"/>
      <c r="S65" s="55"/>
      <c r="T65" s="55"/>
      <c r="U65" s="55"/>
      <c r="V65" s="290"/>
      <c r="W65" s="290"/>
      <c r="X65" s="290"/>
      <c r="Y65" s="290"/>
      <c r="Z65" s="290"/>
      <c r="AA65" s="55"/>
      <c r="AB65" s="55"/>
    </row>
    <row r="66" spans="1:28" ht="52.5" customHeight="1">
      <c r="B66" s="3082" t="str">
        <f>IF(配慮!D4=配慮!C4,"",配慮!D4)</f>
        <v/>
      </c>
      <c r="C66" s="3083"/>
      <c r="D66" s="3083"/>
      <c r="E66" s="3083"/>
      <c r="F66" s="3083"/>
      <c r="G66" s="3083"/>
      <c r="H66" s="3083"/>
      <c r="I66" s="3083"/>
      <c r="J66" s="3083"/>
      <c r="K66" s="3084"/>
      <c r="L66" s="3085" t="str">
        <f>IF(配慮!D11=配慮!C11,"",配慮!D11)</f>
        <v/>
      </c>
      <c r="M66" s="3086"/>
      <c r="N66" s="3086"/>
      <c r="O66" s="3087"/>
      <c r="R66" s="55"/>
      <c r="S66" s="55"/>
      <c r="T66" s="55"/>
      <c r="U66" s="55"/>
      <c r="V66" s="290"/>
      <c r="W66" s="290"/>
      <c r="X66" s="290"/>
      <c r="Y66" s="290"/>
      <c r="Z66" s="290"/>
      <c r="AA66" s="55"/>
      <c r="AB66" s="55"/>
    </row>
    <row r="67" spans="1:28" ht="15">
      <c r="B67" s="305" t="str">
        <f>配慮!B5</f>
        <v>Q1 
室内環境</v>
      </c>
      <c r="C67" s="302"/>
      <c r="D67" s="302"/>
      <c r="E67" s="302"/>
      <c r="F67" s="302"/>
      <c r="G67" s="306"/>
      <c r="H67" s="307" t="str">
        <f>配慮!B6</f>
        <v>Q2 
サービス性能</v>
      </c>
      <c r="I67" s="308"/>
      <c r="J67" s="308"/>
      <c r="K67" s="309"/>
      <c r="L67" s="310" t="str">
        <f>配慮!B7</f>
        <v>Q3 
室外環境（敷地内）</v>
      </c>
      <c r="M67" s="311"/>
      <c r="N67" s="312"/>
      <c r="O67" s="313"/>
      <c r="R67" s="55"/>
      <c r="S67" s="55"/>
      <c r="T67" s="55"/>
      <c r="U67" s="55"/>
      <c r="V67" s="55"/>
      <c r="W67" s="55"/>
      <c r="X67" s="55"/>
      <c r="Y67" s="55"/>
      <c r="Z67" s="55"/>
      <c r="AA67" s="55"/>
      <c r="AB67" s="55"/>
    </row>
    <row r="68" spans="1:28" ht="50.25" customHeight="1">
      <c r="B68" s="3088" t="str">
        <f>IF(配慮!D5=配慮!C5,"",配慮!D5)</f>
        <v/>
      </c>
      <c r="C68" s="3086"/>
      <c r="D68" s="3086"/>
      <c r="E68" s="3086"/>
      <c r="F68" s="3086"/>
      <c r="G68" s="3089"/>
      <c r="H68" s="3090" t="str">
        <f>IF(配慮!D6=配慮!C6,"",配慮!D6)</f>
        <v/>
      </c>
      <c r="I68" s="3086"/>
      <c r="J68" s="3086"/>
      <c r="K68" s="3089"/>
      <c r="L68" s="3090" t="str">
        <f>IF(配慮!D7=配慮!C7,"",配慮!D7)</f>
        <v/>
      </c>
      <c r="M68" s="3086"/>
      <c r="N68" s="3086"/>
      <c r="O68" s="3087"/>
      <c r="R68" s="55"/>
      <c r="S68" s="55"/>
      <c r="T68" s="55"/>
      <c r="U68" s="55"/>
      <c r="V68" s="55"/>
      <c r="W68" s="55"/>
      <c r="X68" s="55"/>
      <c r="Y68" s="55"/>
      <c r="Z68" s="55"/>
      <c r="AA68" s="55"/>
      <c r="AB68" s="55"/>
    </row>
    <row r="69" spans="1:28" ht="15">
      <c r="B69" s="314" t="str">
        <f>配慮!B8</f>
        <v>LR1 
エネルギー</v>
      </c>
      <c r="C69" s="315"/>
      <c r="D69" s="299"/>
      <c r="E69" s="299"/>
      <c r="F69" s="299"/>
      <c r="G69" s="316"/>
      <c r="H69" s="317" t="str">
        <f>配慮!B9</f>
        <v>LR2 
資源・マテリアル</v>
      </c>
      <c r="I69" s="302"/>
      <c r="J69" s="302"/>
      <c r="K69" s="306"/>
      <c r="L69" s="318" t="str">
        <f>配慮!B10</f>
        <v>LR3 
敷地外環境</v>
      </c>
      <c r="M69" s="315"/>
      <c r="N69" s="299"/>
      <c r="O69" s="319"/>
      <c r="R69" s="55"/>
      <c r="S69" s="55"/>
      <c r="T69" s="55"/>
      <c r="U69" s="55"/>
      <c r="V69" s="55"/>
      <c r="W69" s="55"/>
      <c r="X69" s="55"/>
      <c r="Y69" s="55"/>
      <c r="Z69" s="55"/>
      <c r="AA69" s="55"/>
      <c r="AB69" s="55"/>
    </row>
    <row r="70" spans="1:28" ht="61.5" customHeight="1" thickBot="1">
      <c r="B70" s="3067" t="str">
        <f>IF(配慮!D8=配慮!C8,"",配慮!D8)</f>
        <v/>
      </c>
      <c r="C70" s="3068"/>
      <c r="D70" s="3068"/>
      <c r="E70" s="3068"/>
      <c r="F70" s="3068"/>
      <c r="G70" s="3069"/>
      <c r="H70" s="3070" t="str">
        <f>IF(配慮!C9=配慮!D9,"",配慮!D9)</f>
        <v/>
      </c>
      <c r="I70" s="3068"/>
      <c r="J70" s="3068"/>
      <c r="K70" s="3069"/>
      <c r="L70" s="3070" t="str">
        <f>IF(配慮!D10=配慮!C10,"",配慮!D10)</f>
        <v/>
      </c>
      <c r="M70" s="3068"/>
      <c r="N70" s="3068"/>
      <c r="O70" s="3071"/>
      <c r="R70" s="55"/>
      <c r="S70" s="55"/>
      <c r="T70" s="55"/>
      <c r="U70" s="55"/>
      <c r="V70" s="55"/>
      <c r="W70" s="55"/>
      <c r="X70" s="55"/>
      <c r="Y70" s="55"/>
      <c r="Z70" s="55"/>
      <c r="AA70" s="55"/>
      <c r="AB70" s="55"/>
    </row>
    <row r="71" spans="1:28" ht="8.25" customHeight="1">
      <c r="B71" s="55"/>
      <c r="C71" s="55"/>
      <c r="D71" s="55"/>
      <c r="E71" s="55"/>
      <c r="F71" s="55"/>
      <c r="G71" s="55"/>
      <c r="H71" s="55"/>
      <c r="I71" s="55"/>
      <c r="J71" s="55"/>
      <c r="K71" s="55"/>
      <c r="L71" s="55"/>
      <c r="M71" s="55"/>
      <c r="N71" s="55"/>
      <c r="O71" s="55"/>
      <c r="R71" s="55"/>
      <c r="S71" s="55"/>
      <c r="T71" s="55"/>
      <c r="U71" s="55"/>
      <c r="V71" s="55"/>
      <c r="W71" s="55"/>
      <c r="X71" s="55"/>
      <c r="Y71" s="55"/>
      <c r="Z71" s="55"/>
      <c r="AA71" s="55"/>
      <c r="AB71" s="55"/>
    </row>
    <row r="72" spans="1:28" ht="16.5" hidden="1" thickBot="1">
      <c r="B72" s="320" t="s">
        <v>2223</v>
      </c>
      <c r="C72" s="321"/>
      <c r="D72" s="322"/>
      <c r="E72" s="321"/>
      <c r="F72" s="321"/>
      <c r="G72" s="321"/>
      <c r="H72" s="321"/>
      <c r="I72" s="321"/>
      <c r="J72" s="323"/>
      <c r="K72" s="324"/>
      <c r="L72" s="324"/>
      <c r="M72" s="324"/>
      <c r="N72" s="325"/>
      <c r="O72" s="326" t="s">
        <v>2224</v>
      </c>
      <c r="R72" s="55"/>
      <c r="S72" s="55"/>
      <c r="T72" s="55"/>
      <c r="U72" s="55"/>
      <c r="V72" s="55"/>
      <c r="W72" s="55"/>
      <c r="X72" s="55"/>
      <c r="Y72" s="55"/>
      <c r="Z72" s="55"/>
      <c r="AA72" s="55"/>
      <c r="AB72" s="55"/>
    </row>
    <row r="73" spans="1:28" ht="15.75" hidden="1">
      <c r="B73" s="327" t="s">
        <v>1110</v>
      </c>
      <c r="C73" s="328"/>
      <c r="D73" s="329"/>
      <c r="E73" s="328"/>
      <c r="F73" s="328"/>
      <c r="G73" s="328"/>
      <c r="H73" s="328"/>
      <c r="I73" s="328"/>
      <c r="J73" s="330"/>
      <c r="K73" s="331"/>
      <c r="L73" s="332"/>
      <c r="M73" s="332"/>
      <c r="N73" s="330"/>
      <c r="O73" s="333" t="s">
        <v>1586</v>
      </c>
      <c r="R73" s="55"/>
      <c r="S73" s="55"/>
      <c r="T73" s="55"/>
      <c r="U73" s="55"/>
      <c r="V73" s="55"/>
      <c r="W73" s="55"/>
      <c r="X73" s="55"/>
      <c r="Y73" s="55"/>
      <c r="Z73" s="55"/>
      <c r="AA73" s="55"/>
      <c r="AB73" s="55"/>
    </row>
    <row r="74" spans="1:28" ht="14.25" hidden="1">
      <c r="B74" s="334"/>
      <c r="C74" s="335"/>
      <c r="D74" s="336"/>
      <c r="E74" s="337" t="s">
        <v>1111</v>
      </c>
      <c r="F74" s="338"/>
      <c r="G74" s="338"/>
      <c r="H74" s="337" t="s">
        <v>424</v>
      </c>
      <c r="I74" s="338"/>
      <c r="J74" s="337" t="s">
        <v>802</v>
      </c>
      <c r="K74" s="339"/>
      <c r="L74" s="337" t="s">
        <v>803</v>
      </c>
      <c r="M74" s="338"/>
      <c r="N74" s="338"/>
      <c r="O74" s="340" t="s">
        <v>804</v>
      </c>
      <c r="R74" s="55"/>
      <c r="S74" s="55"/>
      <c r="T74" s="55"/>
      <c r="U74" s="55"/>
      <c r="V74" s="55"/>
      <c r="W74" s="55"/>
      <c r="X74" s="55"/>
      <c r="Y74" s="55"/>
      <c r="Z74" s="55"/>
      <c r="AA74" s="55"/>
      <c r="AB74" s="55"/>
    </row>
    <row r="75" spans="1:28" ht="14.25" hidden="1">
      <c r="B75" s="341"/>
      <c r="C75" s="342" t="s">
        <v>805</v>
      </c>
      <c r="D75" s="343"/>
      <c r="E75" s="344"/>
      <c r="F75" s="345" t="s">
        <v>806</v>
      </c>
      <c r="G75" s="346"/>
      <c r="H75" s="344"/>
      <c r="I75" s="345" t="s">
        <v>807</v>
      </c>
      <c r="J75" s="347"/>
      <c r="K75" s="345" t="s">
        <v>806</v>
      </c>
      <c r="L75" s="348"/>
      <c r="M75" s="349"/>
      <c r="N75" s="350"/>
      <c r="O75" s="351"/>
      <c r="R75" s="55"/>
      <c r="S75" s="55"/>
      <c r="T75" s="55"/>
      <c r="U75" s="55"/>
      <c r="V75" s="55"/>
      <c r="W75" s="55"/>
      <c r="X75" s="55"/>
      <c r="Y75" s="55"/>
      <c r="Z75" s="55"/>
      <c r="AA75" s="55"/>
      <c r="AB75" s="55"/>
    </row>
    <row r="76" spans="1:28" ht="15.75" hidden="1">
      <c r="B76" s="341"/>
      <c r="C76" s="352" t="s">
        <v>808</v>
      </c>
      <c r="D76" s="353"/>
      <c r="E76" s="354"/>
      <c r="F76" s="134" t="s">
        <v>809</v>
      </c>
      <c r="G76" s="134"/>
      <c r="H76" s="354"/>
      <c r="I76" s="134" t="s">
        <v>810</v>
      </c>
      <c r="J76" s="355"/>
      <c r="K76" s="134" t="s">
        <v>809</v>
      </c>
      <c r="L76" s="348"/>
      <c r="M76" s="64"/>
      <c r="N76" s="349"/>
      <c r="O76" s="356"/>
      <c r="S76" s="64"/>
      <c r="W76" s="55"/>
      <c r="X76" s="55"/>
      <c r="Y76" s="55"/>
      <c r="Z76" s="55"/>
      <c r="AA76" s="55"/>
      <c r="AB76" s="55"/>
    </row>
    <row r="77" spans="1:28" ht="14.25" hidden="1">
      <c r="A77" s="357"/>
      <c r="B77" s="358"/>
      <c r="C77" s="359" t="s">
        <v>811</v>
      </c>
      <c r="D77" s="353"/>
      <c r="E77" s="354"/>
      <c r="F77" s="346" t="s">
        <v>812</v>
      </c>
      <c r="G77" s="346"/>
      <c r="H77" s="354"/>
      <c r="I77" s="346" t="s">
        <v>813</v>
      </c>
      <c r="J77" s="355"/>
      <c r="K77" s="346" t="s">
        <v>812</v>
      </c>
      <c r="L77" s="348"/>
      <c r="M77" s="64"/>
      <c r="N77" s="360"/>
      <c r="O77" s="356"/>
      <c r="P77" s="357"/>
      <c r="S77" s="64"/>
      <c r="W77" s="55"/>
      <c r="X77" s="55"/>
      <c r="Y77" s="55"/>
      <c r="Z77" s="55"/>
      <c r="AA77" s="55"/>
      <c r="AB77" s="55"/>
    </row>
    <row r="78" spans="1:28" ht="15.75" hidden="1">
      <c r="B78" s="341"/>
      <c r="C78" s="361" t="s">
        <v>814</v>
      </c>
      <c r="D78" s="353"/>
      <c r="E78" s="354"/>
      <c r="F78" s="134" t="s">
        <v>809</v>
      </c>
      <c r="G78" s="134"/>
      <c r="H78" s="354"/>
      <c r="I78" s="134" t="s">
        <v>810</v>
      </c>
      <c r="J78" s="355"/>
      <c r="K78" s="134" t="s">
        <v>809</v>
      </c>
      <c r="L78" s="348"/>
      <c r="M78" s="64"/>
      <c r="N78" s="349"/>
      <c r="O78" s="362"/>
      <c r="S78" s="64"/>
      <c r="W78" s="55"/>
      <c r="X78" s="55"/>
      <c r="Y78" s="55"/>
      <c r="Z78" s="55"/>
      <c r="AA78" s="55"/>
      <c r="AB78" s="55"/>
    </row>
    <row r="79" spans="1:28" ht="14.25" hidden="1">
      <c r="B79" s="341"/>
      <c r="C79" s="361" t="s">
        <v>815</v>
      </c>
      <c r="D79" s="353"/>
      <c r="E79" s="354"/>
      <c r="F79" s="363" t="s">
        <v>816</v>
      </c>
      <c r="G79" s="134"/>
      <c r="H79" s="354"/>
      <c r="I79" s="363" t="s">
        <v>817</v>
      </c>
      <c r="J79" s="355"/>
      <c r="K79" s="363" t="s">
        <v>816</v>
      </c>
      <c r="L79" s="348"/>
      <c r="M79" s="64"/>
      <c r="N79" s="349"/>
      <c r="O79" s="97"/>
      <c r="S79" s="64"/>
      <c r="W79" s="55"/>
      <c r="X79" s="55"/>
      <c r="Y79" s="55"/>
      <c r="Z79" s="55"/>
      <c r="AA79" s="55"/>
      <c r="AB79" s="55"/>
    </row>
    <row r="80" spans="1:28" ht="14.25" hidden="1">
      <c r="B80" s="341"/>
      <c r="C80" s="361" t="s">
        <v>818</v>
      </c>
      <c r="D80" s="353"/>
      <c r="E80" s="354"/>
      <c r="F80" s="363" t="s">
        <v>816</v>
      </c>
      <c r="G80" s="134"/>
      <c r="H80" s="354"/>
      <c r="I80" s="363" t="s">
        <v>817</v>
      </c>
      <c r="J80" s="355"/>
      <c r="K80" s="363" t="s">
        <v>816</v>
      </c>
      <c r="L80" s="348"/>
      <c r="M80" s="64"/>
      <c r="N80" s="349"/>
      <c r="O80" s="356"/>
      <c r="S80" s="64"/>
      <c r="W80" s="55"/>
      <c r="X80" s="55"/>
      <c r="Y80" s="55"/>
      <c r="Z80" s="55"/>
      <c r="AA80" s="55"/>
      <c r="AB80" s="55"/>
    </row>
    <row r="81" spans="2:28" ht="15" hidden="1" thickBot="1">
      <c r="B81" s="364"/>
      <c r="C81" s="365"/>
      <c r="D81" s="366"/>
      <c r="E81" s="367"/>
      <c r="F81" s="368"/>
      <c r="G81" s="280"/>
      <c r="H81" s="367"/>
      <c r="I81" s="368"/>
      <c r="J81" s="369"/>
      <c r="K81" s="368"/>
      <c r="L81" s="348"/>
      <c r="M81" s="64"/>
      <c r="N81" s="370"/>
      <c r="O81" s="371"/>
      <c r="S81" s="64"/>
      <c r="W81" s="55"/>
      <c r="X81" s="55"/>
      <c r="Y81" s="55"/>
      <c r="Z81" s="55"/>
      <c r="AA81" s="55"/>
      <c r="AB81" s="55"/>
    </row>
    <row r="82" spans="2:28" ht="16.5" hidden="1" thickBot="1">
      <c r="B82" s="372" t="s">
        <v>819</v>
      </c>
      <c r="C82" s="373"/>
      <c r="D82" s="374"/>
      <c r="E82" s="375"/>
      <c r="F82" s="376"/>
      <c r="G82" s="376"/>
      <c r="H82" s="376"/>
      <c r="I82" s="376"/>
      <c r="J82" s="376"/>
      <c r="K82" s="376"/>
      <c r="L82" s="376"/>
      <c r="M82" s="376"/>
      <c r="N82" s="376"/>
      <c r="O82" s="377"/>
      <c r="S82" s="64"/>
      <c r="W82" s="55"/>
      <c r="X82" s="55"/>
      <c r="Y82" s="55"/>
      <c r="Z82" s="55"/>
      <c r="AA82" s="55"/>
      <c r="AB82" s="55"/>
    </row>
    <row r="83" spans="2:28" ht="15.75" hidden="1">
      <c r="B83" s="378" t="s">
        <v>820</v>
      </c>
      <c r="C83" s="379"/>
      <c r="D83" s="380"/>
      <c r="E83" s="381"/>
      <c r="F83" s="382"/>
      <c r="G83" s="382"/>
      <c r="H83" s="382"/>
      <c r="I83" s="380"/>
      <c r="J83" s="383" t="s">
        <v>821</v>
      </c>
      <c r="K83" s="384"/>
      <c r="L83" s="385"/>
      <c r="M83" s="379"/>
      <c r="N83" s="379"/>
      <c r="O83" s="386"/>
      <c r="S83" s="64"/>
      <c r="W83" s="55"/>
      <c r="X83" s="55"/>
      <c r="Y83" s="55"/>
      <c r="Z83" s="55"/>
      <c r="AA83" s="55"/>
      <c r="AB83" s="55"/>
    </row>
    <row r="84" spans="2:28" ht="15" hidden="1">
      <c r="B84" s="387"/>
      <c r="C84" s="388" t="s">
        <v>822</v>
      </c>
      <c r="D84" s="389"/>
      <c r="E84" s="389"/>
      <c r="F84" s="389"/>
      <c r="G84" s="389"/>
      <c r="H84" s="389"/>
      <c r="I84" s="389"/>
      <c r="J84" s="390" t="s">
        <v>823</v>
      </c>
      <c r="K84" s="64"/>
      <c r="L84" s="391"/>
      <c r="M84" s="64"/>
      <c r="N84" s="64"/>
      <c r="O84" s="111"/>
      <c r="S84" s="64"/>
      <c r="W84" s="55"/>
      <c r="X84" s="55"/>
      <c r="Y84" s="55"/>
      <c r="Z84" s="55"/>
      <c r="AA84" s="55"/>
      <c r="AB84" s="55"/>
    </row>
    <row r="85" spans="2:28" ht="15" hidden="1">
      <c r="B85" s="387"/>
      <c r="C85" s="388"/>
      <c r="D85" s="389"/>
      <c r="E85" s="389"/>
      <c r="F85" s="389"/>
      <c r="G85" s="389"/>
      <c r="H85" s="389"/>
      <c r="I85" s="389"/>
      <c r="J85" s="390"/>
      <c r="K85" s="64"/>
      <c r="L85" s="391"/>
      <c r="M85" s="64"/>
      <c r="N85" s="64"/>
      <c r="O85" s="111"/>
      <c r="S85" s="64"/>
      <c r="W85" s="55"/>
      <c r="X85" s="55"/>
      <c r="Y85" s="55"/>
      <c r="Z85" s="55"/>
      <c r="AA85" s="55"/>
      <c r="AB85" s="55"/>
    </row>
    <row r="86" spans="2:28" ht="15" hidden="1" thickBot="1">
      <c r="B86" s="392"/>
      <c r="C86" s="393"/>
      <c r="D86" s="394"/>
      <c r="E86" s="394"/>
      <c r="F86" s="394"/>
      <c r="G86" s="394"/>
      <c r="H86" s="394"/>
      <c r="I86" s="394"/>
      <c r="J86" s="395"/>
      <c r="K86" s="155"/>
      <c r="L86" s="396"/>
      <c r="M86" s="396"/>
      <c r="N86" s="396"/>
      <c r="O86" s="397"/>
      <c r="S86" s="64"/>
    </row>
    <row r="87" spans="2:28" ht="14.25" hidden="1">
      <c r="B87" s="134"/>
      <c r="C87" s="134"/>
      <c r="D87" s="270"/>
      <c r="E87" s="134"/>
      <c r="S87" s="64"/>
    </row>
    <row r="88" spans="2:28" ht="14.25" hidden="1">
      <c r="B88" s="398"/>
      <c r="C88" s="399"/>
      <c r="D88" s="400"/>
      <c r="E88" s="401"/>
      <c r="F88" s="401"/>
      <c r="G88" s="401"/>
      <c r="H88" s="401"/>
      <c r="I88" s="402"/>
      <c r="J88" s="403"/>
      <c r="K88" s="402"/>
      <c r="L88" s="404"/>
      <c r="M88" s="402"/>
      <c r="N88" s="405"/>
      <c r="O88" s="406"/>
      <c r="S88" s="64"/>
    </row>
    <row r="89" spans="2:28" ht="14.25" hidden="1">
      <c r="B89" s="407"/>
      <c r="C89" s="408" t="s">
        <v>824</v>
      </c>
      <c r="D89" s="409" t="s">
        <v>1587</v>
      </c>
      <c r="E89" s="410" t="s">
        <v>1588</v>
      </c>
      <c r="G89" s="64"/>
      <c r="H89" s="410" t="s">
        <v>1589</v>
      </c>
      <c r="J89" s="410" t="s">
        <v>1590</v>
      </c>
      <c r="L89" s="410" t="s">
        <v>1591</v>
      </c>
      <c r="N89" s="409" t="s">
        <v>1592</v>
      </c>
      <c r="O89" s="411"/>
      <c r="S89" s="64"/>
    </row>
    <row r="90" spans="2:28" ht="14.25" hidden="1">
      <c r="B90" s="407"/>
      <c r="C90" s="408" t="s">
        <v>2342</v>
      </c>
      <c r="D90" s="412" t="s">
        <v>2165</v>
      </c>
      <c r="E90" s="413"/>
      <c r="F90" s="414"/>
      <c r="G90" s="414"/>
      <c r="H90" s="414"/>
      <c r="I90" s="415"/>
      <c r="J90" s="415"/>
      <c r="K90" s="416"/>
      <c r="L90" s="416"/>
      <c r="O90" s="417"/>
    </row>
    <row r="91" spans="2:28" ht="14.25" hidden="1">
      <c r="B91" s="419"/>
      <c r="C91" s="408" t="s">
        <v>2166</v>
      </c>
      <c r="D91" s="412" t="s">
        <v>2167</v>
      </c>
      <c r="E91" s="412"/>
      <c r="G91" s="420"/>
      <c r="O91" s="417"/>
    </row>
    <row r="92" spans="2:28" ht="14.25" hidden="1">
      <c r="B92" s="419"/>
      <c r="C92" s="408"/>
      <c r="D92" s="412" t="s">
        <v>2168</v>
      </c>
      <c r="E92" s="412"/>
      <c r="G92" s="420"/>
      <c r="O92" s="417"/>
    </row>
    <row r="93" spans="2:28" ht="14.25" hidden="1">
      <c r="B93" s="421"/>
      <c r="C93" s="422" t="s">
        <v>2169</v>
      </c>
      <c r="D93" s="423" t="s">
        <v>1593</v>
      </c>
      <c r="E93" s="424"/>
      <c r="F93" s="257"/>
      <c r="G93" s="425"/>
      <c r="H93" s="257"/>
      <c r="I93" s="256"/>
      <c r="J93" s="256"/>
      <c r="K93" s="257"/>
      <c r="L93" s="257"/>
      <c r="M93" s="426"/>
      <c r="N93" s="426"/>
      <c r="O93" s="427"/>
    </row>
    <row r="94" spans="2:28" ht="14.25">
      <c r="G94" s="420"/>
    </row>
    <row r="95" spans="2:28" ht="14.25">
      <c r="G95" s="420"/>
      <c r="L95" s="420"/>
    </row>
    <row r="96" spans="2:28" ht="14.25">
      <c r="E96" s="96"/>
      <c r="F96" s="420"/>
      <c r="G96" s="420"/>
      <c r="H96" s="420"/>
      <c r="I96" s="416"/>
      <c r="L96" s="420"/>
    </row>
    <row r="97" spans="2:12" ht="14.25">
      <c r="C97" s="428"/>
      <c r="D97" s="272"/>
      <c r="E97" s="96"/>
      <c r="F97" s="420"/>
      <c r="G97" s="420"/>
      <c r="H97" s="420"/>
      <c r="I97" s="416"/>
      <c r="J97" s="416"/>
      <c r="K97" s="420"/>
      <c r="L97" s="420"/>
    </row>
    <row r="98" spans="2:12" ht="14.25">
      <c r="B98" s="429"/>
      <c r="C98" s="430"/>
      <c r="D98" s="431"/>
      <c r="E98" s="96"/>
      <c r="F98" s="420"/>
      <c r="G98" s="414"/>
      <c r="H98" s="414"/>
      <c r="I98" s="415"/>
      <c r="J98" s="415"/>
      <c r="K98" s="416"/>
      <c r="L98" s="416"/>
    </row>
    <row r="99" spans="2:12" ht="14.25" hidden="1">
      <c r="B99" s="429"/>
      <c r="C99" s="429"/>
      <c r="D99" s="432"/>
      <c r="G99" s="414"/>
      <c r="H99" s="414"/>
      <c r="I99" s="415"/>
      <c r="J99" s="415"/>
      <c r="K99" s="416"/>
      <c r="L99" s="416"/>
    </row>
    <row r="100" spans="2:12" ht="14.25" hidden="1"/>
    <row r="101" spans="2:12" ht="14.25" hidden="1"/>
    <row r="102" spans="2:12" ht="14.25" hidden="1"/>
    <row r="103" spans="2:12" ht="14.25" hidden="1"/>
    <row r="104" spans="2:12" ht="14.25" hidden="1"/>
    <row r="105" spans="2:12" ht="14.25" hidden="1"/>
    <row r="106" spans="2:12" ht="14.25" hidden="1"/>
    <row r="107" spans="2:12" ht="14.25" hidden="1"/>
    <row r="108" spans="2:12" ht="14.25" hidden="1"/>
    <row r="109" spans="2:12" ht="14.25" hidden="1"/>
    <row r="110" spans="2:12" ht="14.25" hidden="1"/>
    <row r="111" spans="2:12" ht="14.25" hidden="1"/>
    <row r="112" spans="2:12" ht="14.25" hidden="1"/>
    <row r="113" ht="14.25" hidden="1"/>
    <row r="114" ht="14.25" hidden="1"/>
    <row r="115" ht="14.25" hidden="1"/>
    <row r="116" ht="14.25" hidden="1"/>
    <row r="117" ht="14.25" hidden="1"/>
    <row r="118" ht="14.25" hidden="1"/>
    <row r="119" ht="14.25" hidden="1"/>
    <row r="120" ht="14.25" hidden="1"/>
    <row r="121" ht="14.25" hidden="1"/>
    <row r="122" ht="14.25" hidden="1"/>
    <row r="123" ht="14.25" hidden="1"/>
    <row r="124" ht="14.25" hidden="1"/>
    <row r="125" ht="14.25" hidden="1"/>
    <row r="126" ht="14.25" hidden="1"/>
    <row r="127" ht="14.25" hidden="1"/>
    <row r="128" ht="14.25" hidden="1"/>
    <row r="129" ht="14.25" hidden="1"/>
    <row r="130" ht="14.25" hidden="1"/>
    <row r="131" ht="14.25" hidden="1"/>
    <row r="132" ht="14.25" hidden="1"/>
    <row r="133" ht="14.25" hidden="1"/>
    <row r="134" ht="14.25" hidden="1"/>
    <row r="135" ht="14.25" hidden="1"/>
    <row r="136" ht="14.25" hidden="1"/>
    <row r="137" ht="14.25" hidden="1"/>
    <row r="138" ht="14.25" hidden="1"/>
    <row r="139" ht="14.25" hidden="1"/>
    <row r="140" ht="14.25" hidden="1"/>
    <row r="141" ht="14.25" hidden="1"/>
    <row r="142" ht="14.25" hidden="1"/>
    <row r="143" ht="14.25" hidden="1"/>
    <row r="144" ht="14.25" hidden="1"/>
    <row r="145" ht="14.25" hidden="1"/>
    <row r="146" ht="14.25" hidden="1"/>
    <row r="147" ht="14.25" hidden="1"/>
    <row r="148" ht="14.25" hidden="1"/>
    <row r="149" ht="14.25" hidden="1"/>
    <row r="150" ht="14.25" hidden="1"/>
    <row r="151" ht="14.25" hidden="1"/>
    <row r="152" ht="14.25" hidden="1"/>
    <row r="153" ht="14.25" hidden="1"/>
    <row r="154" ht="14.25" hidden="1"/>
    <row r="155" ht="14.25" hidden="1"/>
    <row r="156" ht="14.25" hidden="1"/>
    <row r="157" ht="14.25" hidden="1"/>
    <row r="158" ht="14.25" hidden="1"/>
    <row r="159" ht="14.25" hidden="1"/>
    <row r="160" ht="14.25" hidden="1"/>
    <row r="161" ht="14.25" hidden="1"/>
    <row r="162" ht="14.25" hidden="1"/>
    <row r="163" ht="14.25" hidden="1"/>
    <row r="164" ht="14.25" hidden="1"/>
    <row r="165" ht="14.25" hidden="1"/>
    <row r="166" ht="14.25" hidden="1"/>
    <row r="167" ht="14.25" hidden="1"/>
    <row r="168" ht="14.25" hidden="1"/>
    <row r="169" ht="14.25" hidden="1"/>
    <row r="170" ht="14.25" hidden="1"/>
    <row r="171" ht="14.25" hidden="1"/>
    <row r="172" ht="14.25" hidden="1"/>
    <row r="173" ht="14.25" hidden="1"/>
    <row r="174" ht="14.25" hidden="1"/>
    <row r="175" ht="14.25" hidden="1"/>
    <row r="176" ht="14.25" hidden="1"/>
    <row r="177" ht="14.25" hidden="1"/>
    <row r="178" ht="14.25" hidden="1"/>
    <row r="179" ht="14.25" hidden="1"/>
    <row r="180" ht="14.25" hidden="1"/>
    <row r="181" ht="14.25" hidden="1"/>
    <row r="182" ht="14.25" hidden="1"/>
    <row r="183" ht="14.25" hidden="1"/>
    <row r="184" ht="14.25" hidden="1"/>
    <row r="185" ht="14.25" hidden="1"/>
    <row r="186" ht="14.25" hidden="1"/>
    <row r="187" ht="14.25" hidden="1"/>
    <row r="188" ht="14.25" hidden="1"/>
    <row r="189" ht="14.25" hidden="1"/>
    <row r="190" ht="14.25" hidden="1"/>
    <row r="191" ht="14.25" hidden="1"/>
    <row r="192" ht="14.25" hidden="1"/>
    <row r="193" ht="14.25" hidden="1"/>
    <row r="194" ht="14.25" hidden="1"/>
    <row r="195" ht="14.25" hidden="1"/>
    <row r="196" ht="14.25" hidden="1"/>
    <row r="197" ht="14.25" hidden="1"/>
    <row r="198" ht="14.25" hidden="1"/>
    <row r="199" ht="14.25" hidden="1"/>
    <row r="200" ht="14.25" hidden="1"/>
    <row r="201" ht="14.25" hidden="1"/>
    <row r="202" ht="14.25" hidden="1" customHeight="1"/>
    <row r="203" ht="14.25" hidden="1" customHeight="1"/>
    <row r="204" ht="14.25" hidden="1" customHeight="1"/>
    <row r="205" ht="14.25" hidden="1" customHeight="1"/>
    <row r="206" ht="14.25" hidden="1" customHeight="1"/>
    <row r="207" ht="14.25" hidden="1" customHeight="1"/>
    <row r="208" ht="14.25" hidden="1" customHeight="1"/>
    <row r="209" ht="14.25" hidden="1" customHeight="1"/>
    <row r="210" ht="14.25" hidden="1" customHeight="1"/>
    <row r="211" ht="14.25" hidden="1" customHeight="1"/>
    <row r="212" ht="14.25" hidden="1" customHeight="1"/>
  </sheetData>
  <sheetProtection sheet="1" objects="1" scenarios="1"/>
  <mergeCells count="14">
    <mergeCell ref="Q2:Q5"/>
    <mergeCell ref="K5:L5"/>
    <mergeCell ref="N5:O5"/>
    <mergeCell ref="B70:G70"/>
    <mergeCell ref="H70:K70"/>
    <mergeCell ref="L70:O70"/>
    <mergeCell ref="D13:E13"/>
    <mergeCell ref="B66:K66"/>
    <mergeCell ref="L66:O66"/>
    <mergeCell ref="B68:G68"/>
    <mergeCell ref="H37:K39"/>
    <mergeCell ref="H68:K68"/>
    <mergeCell ref="L68:O68"/>
    <mergeCell ref="D14:E14"/>
  </mergeCells>
  <phoneticPr fontId="22"/>
  <conditionalFormatting sqref="H36:K36">
    <cfRule type="expression" dxfId="122" priority="2" stopIfTrue="1">
      <formula>$U$36=$W$37</formula>
    </cfRule>
  </conditionalFormatting>
  <conditionalFormatting sqref="I28:K35 H29:H35">
    <cfRule type="expression" dxfId="121" priority="1" stopIfTrue="1">
      <formula>$U$36=$W$37</formula>
    </cfRule>
  </conditionalFormatting>
  <hyperlinks>
    <hyperlink ref="Q2" location="メイン!A1" display="戻る" xr:uid="{00000000-0004-0000-0300-000000000000}"/>
  </hyperlinks>
  <printOptions horizontalCentered="1"/>
  <pageMargins left="0.59055118110236227" right="0.59055118110236227" top="0.78740157480314965" bottom="0.59055118110236227" header="0.51181102362204722" footer="0.51181102362204722"/>
  <pageSetup paperSize="9" scale="68" orientation="portrait" verticalDpi="4294967293" r:id="rId1"/>
  <headerFooter alignWithMargins="0">
    <oddHeader>&amp;L&amp;F&amp;R&amp;A</oddHeader>
    <oddFooter>&amp;C&amp;P/&amp;N</oddFooter>
  </headerFooter>
  <colBreaks count="1" manualBreakCount="1">
    <brk id="16" max="71"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H12"/>
  <sheetViews>
    <sheetView showGridLines="0" workbookViewId="0"/>
  </sheetViews>
  <sheetFormatPr defaultColWidth="0" defaultRowHeight="13.5" zeroHeight="1"/>
  <cols>
    <col min="1" max="1" width="0.875" customWidth="1"/>
    <col min="2" max="2" width="17.375" customWidth="1"/>
    <col min="3" max="3" width="1.125" style="541" customWidth="1"/>
    <col min="4" max="4" width="32.375" customWidth="1"/>
    <col min="5" max="5" width="11.125" customWidth="1"/>
    <col min="6" max="6" width="21.25" customWidth="1"/>
    <col min="7" max="7" width="1.375" customWidth="1"/>
  </cols>
  <sheetData>
    <row r="1" spans="2:8" ht="21">
      <c r="B1" s="529" t="s">
        <v>2278</v>
      </c>
      <c r="C1" s="530"/>
      <c r="E1" s="45" t="s">
        <v>2958</v>
      </c>
      <c r="F1" s="44" t="str">
        <f>メイン!C11</f>
        <v>○○ビル</v>
      </c>
    </row>
    <row r="2" spans="2:8" s="474" customFormat="1" thickBot="1">
      <c r="B2" s="531"/>
      <c r="C2" s="532"/>
      <c r="D2" s="532"/>
      <c r="E2" s="532"/>
      <c r="F2" s="532"/>
      <c r="G2" s="533"/>
      <c r="H2" s="533"/>
    </row>
    <row r="3" spans="2:8" ht="21" customHeight="1" thickBot="1">
      <c r="B3" s="534"/>
      <c r="C3" s="535"/>
      <c r="D3" s="535" t="s">
        <v>2280</v>
      </c>
      <c r="E3" s="535"/>
      <c r="F3" s="536"/>
    </row>
    <row r="4" spans="2:8" ht="81" customHeight="1" thickTop="1">
      <c r="B4" s="537" t="s">
        <v>2281</v>
      </c>
      <c r="C4" s="1868" t="s">
        <v>2959</v>
      </c>
      <c r="D4" s="3108" t="str">
        <f>C4</f>
        <v>　注）　設計における総合的なコンセプトを簡潔に記載してください。
　</v>
      </c>
      <c r="E4" s="3108"/>
      <c r="F4" s="3109"/>
    </row>
    <row r="5" spans="2:8" ht="81" customHeight="1">
      <c r="B5" s="538" t="s">
        <v>2282</v>
      </c>
      <c r="C5" s="1869" t="s">
        <v>2960</v>
      </c>
      <c r="D5" s="3110" t="str">
        <f t="shared" ref="D5:D11" si="0">C5</f>
        <v>　注）　「Q1　室内環境」に対する配慮事項を簡潔に記載してください。</v>
      </c>
      <c r="E5" s="3110"/>
      <c r="F5" s="3111"/>
    </row>
    <row r="6" spans="2:8" ht="81" customHeight="1">
      <c r="B6" s="538" t="s">
        <v>2283</v>
      </c>
      <c r="C6" s="1869" t="s">
        <v>2961</v>
      </c>
      <c r="D6" s="3110" t="str">
        <f t="shared" si="0"/>
        <v>　注）　「Q2　サービス性能」に対する配慮事項を簡潔に記載してください。</v>
      </c>
      <c r="E6" s="3110"/>
      <c r="F6" s="3111"/>
    </row>
    <row r="7" spans="2:8" ht="81" customHeight="1">
      <c r="B7" s="538" t="s">
        <v>2284</v>
      </c>
      <c r="C7" s="1870" t="s">
        <v>2962</v>
      </c>
      <c r="D7" s="3110" t="str">
        <f t="shared" si="0"/>
        <v>　注）　「Q3　室外環境（敷地内）」に対する配慮事項を簡潔に記載してください。</v>
      </c>
      <c r="E7" s="3110"/>
      <c r="F7" s="3111"/>
    </row>
    <row r="8" spans="2:8" ht="81" customHeight="1">
      <c r="B8" s="538" t="s">
        <v>1632</v>
      </c>
      <c r="C8" s="1870" t="s">
        <v>2963</v>
      </c>
      <c r="D8" s="3110" t="str">
        <f t="shared" si="0"/>
        <v>　注）　「LR1　エネルギー」に対する配慮事項を簡潔に記載してください。</v>
      </c>
      <c r="E8" s="3110"/>
      <c r="F8" s="3111"/>
    </row>
    <row r="9" spans="2:8" ht="81" customHeight="1">
      <c r="B9" s="538" t="s">
        <v>2285</v>
      </c>
      <c r="C9" s="1870" t="s">
        <v>2964</v>
      </c>
      <c r="D9" s="3110" t="str">
        <f t="shared" si="0"/>
        <v>　注）　「LR2　資源・マテリアル」に対する配慮事項を簡潔に記載してください。</v>
      </c>
      <c r="E9" s="3110"/>
      <c r="F9" s="3111"/>
    </row>
    <row r="10" spans="2:8" ht="81" customHeight="1" thickBot="1">
      <c r="B10" s="539" t="s">
        <v>1897</v>
      </c>
      <c r="C10" s="1871" t="s">
        <v>2965</v>
      </c>
      <c r="D10" s="3112" t="str">
        <f t="shared" si="0"/>
        <v>　注）　「LR3　敷地外環境」に対する配慮事項を簡潔に記載してください。</v>
      </c>
      <c r="E10" s="3112"/>
      <c r="F10" s="3113"/>
    </row>
    <row r="11" spans="2:8" ht="108.75" customHeight="1" thickTop="1" thickBot="1">
      <c r="B11" s="540" t="s">
        <v>2286</v>
      </c>
      <c r="C11" s="1872" t="s">
        <v>2966</v>
      </c>
      <c r="D11" s="3106" t="str">
        <f t="shared" si="0"/>
        <v>　注）　上記の６つのカテゴリー以外に、建設工事における廃棄物削減・リサイクル、歴史的建造物の保存など、建物自体の環境性能としてＣＡＳＢＥＥで評価し難い環境配慮の取組みがあれば、ここに記載してください。</v>
      </c>
      <c r="E11" s="3106"/>
      <c r="F11" s="3107"/>
    </row>
    <row r="12" spans="2:8"/>
  </sheetData>
  <sheetProtection algorithmName="SHA-512" hashValue="dMHTIz6i48ixECmWFld0pd7+df8W32GtZxnjGyse2nYuuPNarpkXSIsm5HYgCXK9yCA+HiDXtAZIR2q7ZG9QMA==" saltValue="4jVH7LaiAOKB2DY82palDg==" spinCount="100000" sheet="1" objects="1" scenarios="1"/>
  <mergeCells count="8">
    <mergeCell ref="D11:F11"/>
    <mergeCell ref="D4:F4"/>
    <mergeCell ref="D5:F5"/>
    <mergeCell ref="D6:F6"/>
    <mergeCell ref="D7:F7"/>
    <mergeCell ref="D8:F8"/>
    <mergeCell ref="D9:F9"/>
    <mergeCell ref="D10:F10"/>
  </mergeCells>
  <phoneticPr fontId="22"/>
  <printOptions horizontalCentered="1"/>
  <pageMargins left="0.59055118110236227" right="0.59055118110236227" top="0.78740157480314965" bottom="0.59055118110236227" header="0.51181102362204722" footer="0.51181102362204722"/>
  <pageSetup paperSize="9" orientation="portrait" verticalDpi="300" r:id="rId1"/>
  <headerFooter alignWithMargins="0">
    <oddHeader>&amp;L&amp;F&amp;R&amp;A</oddHeader>
    <oddFooter>&amp;C&amp;P/&amp;N</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AE175"/>
  <sheetViews>
    <sheetView showGridLines="0" workbookViewId="0"/>
  </sheetViews>
  <sheetFormatPr defaultColWidth="0" defaultRowHeight="13.5" zeroHeight="1"/>
  <cols>
    <col min="1" max="1" width="1.25" customWidth="1"/>
    <col min="2" max="2" width="5.875" style="44" customWidth="1"/>
    <col min="3" max="3" width="28.125" style="44" customWidth="1"/>
    <col min="4" max="4" width="15" style="44" customWidth="1"/>
    <col min="5" max="5" width="13.125" style="44" customWidth="1"/>
    <col min="6" max="6" width="9.875" customWidth="1"/>
    <col min="7" max="7" width="3" customWidth="1"/>
    <col min="8" max="8" width="4.125" customWidth="1"/>
    <col min="9" max="9" width="29.375" bestFit="1" customWidth="1"/>
    <col min="10" max="10" width="10.75" bestFit="1" customWidth="1"/>
    <col min="11" max="11" width="1.125" customWidth="1"/>
    <col min="12" max="12" width="27.375" customWidth="1"/>
    <col min="13" max="13" width="11.375" customWidth="1"/>
    <col min="14" max="14" width="4.375" customWidth="1"/>
    <col min="15" max="15" width="2.875" customWidth="1"/>
    <col min="16" max="16" width="5.625" hidden="1" customWidth="1"/>
    <col min="17" max="18" width="14.125" hidden="1" customWidth="1"/>
    <col min="19" max="19" width="2.125" hidden="1" customWidth="1"/>
    <col min="20" max="21" width="14.125" hidden="1" customWidth="1"/>
  </cols>
  <sheetData>
    <row r="1" spans="2:31" ht="9.75" customHeight="1" thickBot="1">
      <c r="B1"/>
      <c r="C1"/>
      <c r="D1"/>
      <c r="E1"/>
    </row>
    <row r="2" spans="2:31" s="12" customFormat="1" ht="18.75">
      <c r="B2" s="8" t="s">
        <v>157</v>
      </c>
      <c r="C2" s="9"/>
      <c r="D2" s="10"/>
      <c r="E2" s="9"/>
      <c r="F2" s="11"/>
      <c r="G2"/>
      <c r="H2" s="1579" t="s">
        <v>2684</v>
      </c>
      <c r="I2" s="17"/>
      <c r="J2" s="17"/>
      <c r="K2" s="17"/>
      <c r="L2" s="17"/>
      <c r="M2" s="17"/>
      <c r="N2" s="18"/>
      <c r="O2"/>
      <c r="P2"/>
      <c r="Q2"/>
      <c r="R2"/>
      <c r="S2"/>
      <c r="T2"/>
      <c r="U2"/>
      <c r="V2"/>
      <c r="W2"/>
      <c r="X2"/>
      <c r="Y2"/>
      <c r="Z2"/>
      <c r="AA2"/>
      <c r="AB2"/>
      <c r="AC2"/>
      <c r="AD2"/>
      <c r="AE2"/>
    </row>
    <row r="3" spans="2:31" s="12" customFormat="1" ht="21" customHeight="1">
      <c r="B3" s="13" t="s">
        <v>1457</v>
      </c>
      <c r="C3" s="14"/>
      <c r="D3" s="15"/>
      <c r="E3" s="14"/>
      <c r="F3" s="16"/>
      <c r="G3"/>
      <c r="H3" s="22" t="s">
        <v>2018</v>
      </c>
      <c r="I3" s="3"/>
      <c r="J3" s="3"/>
      <c r="K3" s="3"/>
      <c r="L3" s="3"/>
      <c r="M3" s="3"/>
      <c r="N3" s="23"/>
      <c r="O3"/>
      <c r="Q3" s="19">
        <v>0</v>
      </c>
      <c r="R3" t="s">
        <v>1458</v>
      </c>
      <c r="S3"/>
      <c r="T3"/>
      <c r="U3"/>
      <c r="V3"/>
      <c r="W3"/>
      <c r="X3"/>
      <c r="Y3"/>
      <c r="Z3"/>
      <c r="AA3"/>
      <c r="AB3"/>
      <c r="AC3"/>
      <c r="AD3"/>
      <c r="AE3"/>
    </row>
    <row r="4" spans="2:31">
      <c r="B4" s="20"/>
      <c r="C4" s="21" t="s">
        <v>1459</v>
      </c>
      <c r="D4" s="21" t="s">
        <v>1460</v>
      </c>
      <c r="E4" s="3"/>
      <c r="F4" s="16"/>
      <c r="H4" s="22" t="s">
        <v>2019</v>
      </c>
      <c r="I4" s="3"/>
      <c r="J4" s="3"/>
      <c r="K4" s="3"/>
      <c r="L4" s="3"/>
      <c r="M4" s="3"/>
      <c r="N4" s="23"/>
    </row>
    <row r="5" spans="2:31" ht="16.5">
      <c r="B5" s="20"/>
      <c r="C5" s="24" t="str">
        <f>IF($Q$7=0,"根拠を記入してください",$Q$7)</f>
        <v>根拠を記入してください</v>
      </c>
      <c r="D5" s="25" t="str">
        <f>IF($R$7=0,Q9,$R$7)</f>
        <v>N.A.</v>
      </c>
      <c r="E5" s="33" t="s">
        <v>2956</v>
      </c>
      <c r="F5" s="16"/>
      <c r="H5" s="22"/>
      <c r="I5" s="26" t="str">
        <f>CO2データ!D105</f>
        <v>北海道電力(株)</v>
      </c>
      <c r="J5" s="27">
        <f>CO2データ!I105</f>
        <v>6.8300000000000001E-4</v>
      </c>
      <c r="K5" s="3"/>
      <c r="L5" s="26" t="str">
        <f>CO2データ!D144</f>
        <v>(株)トヨタタービンアンドシステム</v>
      </c>
      <c r="M5" s="27">
        <f>CO2データ!I144</f>
        <v>4.9200000000000003E-4</v>
      </c>
      <c r="N5" s="23"/>
    </row>
    <row r="6" spans="2:31">
      <c r="B6" s="20"/>
      <c r="C6" s="3"/>
      <c r="D6" s="3"/>
      <c r="E6" s="3"/>
      <c r="F6" s="16"/>
      <c r="H6" s="22"/>
      <c r="I6" s="26" t="str">
        <f>CO2データ!D106</f>
        <v>東北電力(株)</v>
      </c>
      <c r="J6" s="27">
        <f>CO2データ!I106</f>
        <v>5.71E-4</v>
      </c>
      <c r="K6" s="22"/>
      <c r="L6" s="26" t="str">
        <f>CO2データ!D145</f>
        <v>(株)とんでん</v>
      </c>
      <c r="M6" s="27">
        <f>CO2データ!I145</f>
        <v>4.95E-4</v>
      </c>
      <c r="N6" s="28"/>
      <c r="Q6" t="s">
        <v>1461</v>
      </c>
      <c r="R6" t="s">
        <v>1462</v>
      </c>
    </row>
    <row r="7" spans="2:31">
      <c r="B7" s="20"/>
      <c r="C7" s="3"/>
      <c r="D7" s="3"/>
      <c r="E7" s="3"/>
      <c r="F7" s="16"/>
      <c r="H7" s="22"/>
      <c r="I7" s="26" t="str">
        <f>CO2データ!D107</f>
        <v>東京電力(株)</v>
      </c>
      <c r="J7" s="27">
        <f>CO2データ!I107</f>
        <v>5.0500000000000002E-4</v>
      </c>
      <c r="K7" s="22"/>
      <c r="L7" s="26" t="str">
        <f>CO2データ!D146</f>
        <v>(株)ナンワエナジー</v>
      </c>
      <c r="M7" s="27">
        <f>CO2データ!I146</f>
        <v>6.02E-4</v>
      </c>
      <c r="N7" s="28"/>
      <c r="Q7">
        <f>IF($Q$3=1,C10,IF($Q$3=2,C16,IF($Q$3=3,C20,IF($Q$3=4,C24,C28))))</f>
        <v>0</v>
      </c>
      <c r="R7">
        <f>IF($Q$3=1,D10,IF($Q$3=2,D16,IF($Q$3=3,D20,IF($Q$3=4,D24,D28))))</f>
        <v>0</v>
      </c>
    </row>
    <row r="8" spans="2:31">
      <c r="B8" s="20" t="s">
        <v>2020</v>
      </c>
      <c r="C8" s="3"/>
      <c r="D8" s="3"/>
      <c r="E8" s="3"/>
      <c r="F8" s="16"/>
      <c r="H8" s="22"/>
      <c r="I8" s="26" t="str">
        <f>CO2データ!D108</f>
        <v>中部電力(株)</v>
      </c>
      <c r="J8" s="27">
        <f>CO2データ!I108</f>
        <v>4.9700000000000005E-4</v>
      </c>
      <c r="K8" s="22"/>
      <c r="L8" s="26" t="str">
        <f>CO2データ!D147</f>
        <v>(株)日本セレモニー</v>
      </c>
      <c r="M8" s="27">
        <f>CO2データ!I147</f>
        <v>6.0999999999999997E-4</v>
      </c>
      <c r="N8" s="28"/>
    </row>
    <row r="9" spans="2:31">
      <c r="B9" s="20"/>
      <c r="C9" s="21" t="s">
        <v>1459</v>
      </c>
      <c r="D9" s="29" t="s">
        <v>2021</v>
      </c>
      <c r="E9" s="3"/>
      <c r="F9" s="16"/>
      <c r="H9" s="22"/>
      <c r="I9" s="26" t="str">
        <f>CO2データ!D109</f>
        <v>北陸電力(株)</v>
      </c>
      <c r="J9" s="27">
        <f>CO2データ!I109</f>
        <v>6.4700000000000001E-4</v>
      </c>
      <c r="K9" s="22"/>
      <c r="L9" s="26" t="str">
        <f>CO2データ!D148</f>
        <v>(株)Ｖ－Ｐｏｗｅｒ</v>
      </c>
      <c r="M9" s="27">
        <f>CO2データ!I148</f>
        <v>2.5399999999999999E-4</v>
      </c>
      <c r="N9" s="28"/>
      <c r="Q9" t="s">
        <v>2022</v>
      </c>
    </row>
    <row r="10" spans="2:31" ht="16.5">
      <c r="B10" s="20"/>
      <c r="C10" s="30"/>
      <c r="D10" s="31"/>
      <c r="E10" s="33" t="s">
        <v>2957</v>
      </c>
      <c r="F10" s="16"/>
      <c r="H10" s="22"/>
      <c r="I10" s="26" t="str">
        <f>CO2データ!D110</f>
        <v>関西電力(株)</v>
      </c>
      <c r="J10" s="27">
        <f>CO2データ!I110</f>
        <v>5.31E-4</v>
      </c>
      <c r="K10" s="22"/>
      <c r="L10" s="26" t="str">
        <f>CO2データ!D149</f>
        <v>(株)フォレストパワー</v>
      </c>
      <c r="M10" s="27">
        <f>CO2データ!I149</f>
        <v>1.9000000000000001E-4</v>
      </c>
      <c r="N10" s="28"/>
    </row>
    <row r="11" spans="2:31">
      <c r="B11" s="20"/>
      <c r="C11" s="3"/>
      <c r="D11" s="3"/>
      <c r="E11" s="3"/>
      <c r="F11" s="16"/>
      <c r="H11" s="22"/>
      <c r="I11" s="26" t="str">
        <f>CO2データ!D111</f>
        <v>中国電力(株)</v>
      </c>
      <c r="J11" s="27">
        <f>CO2データ!I111</f>
        <v>7.0600000000000003E-4</v>
      </c>
      <c r="K11" s="22"/>
      <c r="L11" s="26" t="str">
        <f>CO2データ!D150</f>
        <v>(株)ベイサイドエナジー</v>
      </c>
      <c r="M11" s="27">
        <f>CO2データ!I150</f>
        <v>5.8100000000000003E-4</v>
      </c>
      <c r="N11" s="28"/>
    </row>
    <row r="12" spans="2:31">
      <c r="B12" s="20" t="s">
        <v>299</v>
      </c>
      <c r="C12" s="3"/>
      <c r="D12" s="3"/>
      <c r="E12" s="3"/>
      <c r="F12" s="16"/>
      <c r="H12" s="22"/>
      <c r="I12" s="26" t="str">
        <f>CO2データ!D112</f>
        <v>四国電力(株)</v>
      </c>
      <c r="J12" s="27">
        <f>CO2データ!I112</f>
        <v>6.7599999999999995E-4</v>
      </c>
      <c r="K12" s="22"/>
      <c r="L12" s="26" t="str">
        <f>CO2データ!D151</f>
        <v>京葉瓦斯(株)</v>
      </c>
      <c r="M12" s="27">
        <f>CO2データ!I151</f>
        <v>4.9399999999999997E-4</v>
      </c>
      <c r="N12" s="28"/>
    </row>
    <row r="13" spans="2:31">
      <c r="B13" s="32" t="s">
        <v>2023</v>
      </c>
      <c r="C13" s="3114" t="s">
        <v>2686</v>
      </c>
      <c r="D13" s="3115"/>
      <c r="E13" s="3115"/>
      <c r="F13" s="16"/>
      <c r="H13" s="22"/>
      <c r="I13" s="26" t="str">
        <f>CO2データ!D113</f>
        <v>九州電力(株)</v>
      </c>
      <c r="J13" s="27">
        <f>CO2データ!I113</f>
        <v>5.8399999999999999E-4</v>
      </c>
      <c r="K13" s="22"/>
      <c r="L13" s="26" t="str">
        <f>CO2データ!D152</f>
        <v>サミットエナジー(株)</v>
      </c>
      <c r="M13" s="27">
        <f>CO2データ!I152</f>
        <v>4.1300000000000001E-4</v>
      </c>
      <c r="N13" s="28"/>
    </row>
    <row r="14" spans="2:31">
      <c r="B14" s="32"/>
      <c r="C14" s="3115"/>
      <c r="D14" s="3115"/>
      <c r="E14" s="3115"/>
      <c r="F14" s="16"/>
      <c r="H14" s="22"/>
      <c r="I14" s="26" t="str">
        <f>CO2データ!D114</f>
        <v>沖縄電力(株)</v>
      </c>
      <c r="J14" s="27">
        <f>CO2データ!I114</f>
        <v>8.1599999999999999E-4</v>
      </c>
      <c r="K14" s="22"/>
      <c r="L14" s="26" t="str">
        <f>CO2データ!D153</f>
        <v>ＪＸ日鉱日石エネルギー(株)</v>
      </c>
      <c r="M14" s="27">
        <f>CO2データ!I153</f>
        <v>3.2499999999999999E-4</v>
      </c>
      <c r="N14" s="28"/>
    </row>
    <row r="15" spans="2:31">
      <c r="B15" s="20"/>
      <c r="C15" s="21" t="s">
        <v>300</v>
      </c>
      <c r="D15" s="29" t="s">
        <v>2024</v>
      </c>
      <c r="E15" s="3"/>
      <c r="F15" s="16"/>
      <c r="H15" s="22"/>
      <c r="I15" s="26" t="str">
        <f>CO2データ!D115</f>
        <v>アーバンエナジー(株)</v>
      </c>
      <c r="J15" s="27">
        <f>CO2データ!I115</f>
        <v>4.0999999999999999E-4</v>
      </c>
      <c r="K15" s="22"/>
      <c r="L15" s="26" t="str">
        <f>CO2データ!D154</f>
        <v>ＪＬエナジー(株)</v>
      </c>
      <c r="M15" s="27">
        <f>CO2データ!I154</f>
        <v>5.53E-4</v>
      </c>
      <c r="N15" s="28"/>
    </row>
    <row r="16" spans="2:31" ht="16.5">
      <c r="B16" s="20"/>
      <c r="C16" s="31"/>
      <c r="D16" s="35" t="e">
        <f>VLOOKUP(C16,C89:D166,2)</f>
        <v>#N/A</v>
      </c>
      <c r="E16" s="33" t="s">
        <v>2957</v>
      </c>
      <c r="F16" s="16"/>
      <c r="H16" s="22"/>
      <c r="I16" s="26" t="str">
        <f>CO2データ!D116</f>
        <v>アストモスエネルギー(株)</v>
      </c>
      <c r="J16" s="27">
        <f>CO2データ!I116</f>
        <v>1.9000000000000001E-4</v>
      </c>
      <c r="K16" s="22"/>
      <c r="L16" s="26" t="str">
        <f>CO2データ!D155</f>
        <v>志賀高原リゾート開発(株)</v>
      </c>
      <c r="M16" s="27">
        <f>CO2データ!I155</f>
        <v>3.6000000000000001E-5</v>
      </c>
      <c r="N16" s="28"/>
    </row>
    <row r="17" spans="2:14" ht="15" customHeight="1">
      <c r="B17" s="20"/>
      <c r="C17" s="33"/>
      <c r="D17" s="33"/>
      <c r="E17" s="33"/>
      <c r="F17" s="16"/>
      <c r="H17" s="22"/>
      <c r="I17" s="26" t="str">
        <f>CO2データ!D117</f>
        <v>イーレックス(株)</v>
      </c>
      <c r="J17" s="27">
        <f>CO2データ!I117</f>
        <v>6.6200000000000005E-4</v>
      </c>
      <c r="K17" s="22"/>
      <c r="L17" s="26" t="str">
        <f>CO2データ!D156</f>
        <v>シナネン(株)</v>
      </c>
      <c r="M17" s="27">
        <f>CO2データ!I156</f>
        <v>4.1599999999999997E-4</v>
      </c>
      <c r="N17" s="28"/>
    </row>
    <row r="18" spans="2:14" ht="15" customHeight="1">
      <c r="B18" s="32" t="s">
        <v>2025</v>
      </c>
      <c r="C18" s="3" t="s">
        <v>301</v>
      </c>
      <c r="D18" s="3"/>
      <c r="E18" s="3"/>
      <c r="F18" s="16"/>
      <c r="H18" s="22"/>
      <c r="I18" s="26" t="str">
        <f>CO2データ!D118</f>
        <v>（一財）中之条電力</v>
      </c>
      <c r="J18" s="27">
        <f>CO2データ!I118</f>
        <v>3.1599999999999998E-4</v>
      </c>
      <c r="K18" s="22"/>
      <c r="L18" s="26" t="str">
        <f>CO2データ!D157</f>
        <v>昭和シェル石油(株)</v>
      </c>
      <c r="M18" s="27">
        <f>CO2データ!I157</f>
        <v>3.7199999999999999E-4</v>
      </c>
      <c r="N18" s="28"/>
    </row>
    <row r="19" spans="2:14" ht="15" customHeight="1">
      <c r="B19" s="20"/>
      <c r="C19" s="21" t="s">
        <v>1459</v>
      </c>
      <c r="D19" s="29" t="s">
        <v>2021</v>
      </c>
      <c r="E19" s="3"/>
      <c r="F19" s="16"/>
      <c r="H19" s="22"/>
      <c r="I19" s="26" t="str">
        <f>CO2データ!D119</f>
        <v>（一社）電力託送代行機構</v>
      </c>
      <c r="J19" s="27">
        <f>CO2データ!I119</f>
        <v>3.1599999999999998E-4</v>
      </c>
      <c r="K19" s="22"/>
      <c r="L19" s="26" t="str">
        <f>CO2データ!D158</f>
        <v>新日鉄住金エンジニアリング(株)</v>
      </c>
      <c r="M19" s="27">
        <f>CO2データ!I158</f>
        <v>5.5999999999999995E-4</v>
      </c>
      <c r="N19" s="28"/>
    </row>
    <row r="20" spans="2:14" ht="15" customHeight="1">
      <c r="B20" s="20"/>
      <c r="C20" s="30"/>
      <c r="D20" s="31"/>
      <c r="E20" s="33" t="s">
        <v>2957</v>
      </c>
      <c r="F20" s="16"/>
      <c r="H20" s="22"/>
      <c r="I20" s="26" t="str">
        <f>CO2データ!D120</f>
        <v>出光グリーンパワー(株)</v>
      </c>
      <c r="J20" s="27">
        <f>CO2データ!I120</f>
        <v>2.5300000000000002E-4</v>
      </c>
      <c r="K20" s="22"/>
      <c r="L20" s="26" t="str">
        <f>CO2データ!D159</f>
        <v>鈴与商事(株)</v>
      </c>
      <c r="M20" s="27">
        <f>CO2データ!I159</f>
        <v>4.8799999999999999E-4</v>
      </c>
      <c r="N20" s="28"/>
    </row>
    <row r="21" spans="2:14" ht="15" customHeight="1">
      <c r="B21" s="20"/>
      <c r="C21" s="33"/>
      <c r="D21" s="33"/>
      <c r="E21" s="33"/>
      <c r="F21" s="16"/>
      <c r="H21" s="22"/>
      <c r="I21" s="26" t="str">
        <f>CO2データ!D121</f>
        <v>伊藤忠エネクス(株)</v>
      </c>
      <c r="J21" s="27">
        <f>CO2データ!I121</f>
        <v>5.6800000000000004E-4</v>
      </c>
      <c r="K21" s="22"/>
      <c r="L21" s="26" t="str">
        <f>CO2データ!D160</f>
        <v>泉北天然ガス発電(株)</v>
      </c>
      <c r="M21" s="27">
        <f>CO2データ!I160</f>
        <v>3.2899999999999997E-4</v>
      </c>
      <c r="N21" s="28"/>
    </row>
    <row r="22" spans="2:14" ht="15" customHeight="1">
      <c r="B22" s="32" t="s">
        <v>2026</v>
      </c>
      <c r="C22" s="3" t="s">
        <v>2027</v>
      </c>
      <c r="D22" s="3"/>
      <c r="E22" s="3"/>
      <c r="F22" s="16"/>
      <c r="H22" s="22"/>
      <c r="I22" s="26" t="str">
        <f>CO2データ!D122</f>
        <v>ＳＢパワー(株)</v>
      </c>
      <c r="J22" s="27">
        <f>CO2データ!I122</f>
        <v>2.5900000000000001E-4</v>
      </c>
      <c r="K22" s="22"/>
      <c r="L22" s="26" t="str">
        <f>CO2データ!D161</f>
        <v>総合エネルギー(株)</v>
      </c>
      <c r="M22" s="27">
        <f>CO2データ!I161</f>
        <v>6.3599999999999996E-4</v>
      </c>
      <c r="N22" s="28"/>
    </row>
    <row r="23" spans="2:14" ht="15" customHeight="1">
      <c r="B23" s="32"/>
      <c r="C23" s="21" t="s">
        <v>171</v>
      </c>
      <c r="D23" s="29" t="s">
        <v>1463</v>
      </c>
      <c r="E23" s="3"/>
      <c r="F23" s="16"/>
      <c r="H23" s="22"/>
      <c r="I23" s="26" t="str">
        <f>CO2データ!D123</f>
        <v>エネサーブ(株)</v>
      </c>
      <c r="J23" s="27">
        <f>CO2データ!I123</f>
        <v>6.3400000000000001E-4</v>
      </c>
      <c r="K23" s="22"/>
      <c r="L23" s="26" t="str">
        <f>CO2データ!D162</f>
        <v>大東エナジー(株)</v>
      </c>
      <c r="M23" s="27">
        <f>CO2データ!I162</f>
        <v>5.6599999999999999E-4</v>
      </c>
      <c r="N23" s="28"/>
    </row>
    <row r="24" spans="2:14" ht="15" customHeight="1">
      <c r="B24" s="20"/>
      <c r="C24" s="34" t="s">
        <v>170</v>
      </c>
      <c r="D24" s="35" t="str">
        <f>IF($Q$3=4,J85,"")</f>
        <v/>
      </c>
      <c r="E24" s="33" t="s">
        <v>2957</v>
      </c>
      <c r="F24" s="16"/>
      <c r="H24" s="22"/>
      <c r="I24" s="26" t="str">
        <f>CO2データ!D124</f>
        <v>荏原環境プラント(株)</v>
      </c>
      <c r="J24" s="27">
        <f>CO2データ!I124</f>
        <v>2.6600000000000001E-4</v>
      </c>
      <c r="K24" s="22"/>
      <c r="L24" s="26" t="str">
        <f>CO2データ!D163</f>
        <v>ダイヤモンドパワー(株)</v>
      </c>
      <c r="M24" s="27">
        <f>CO2データ!I163</f>
        <v>3.39E-4</v>
      </c>
      <c r="N24" s="28"/>
    </row>
    <row r="25" spans="2:14" ht="15" customHeight="1">
      <c r="B25" s="20"/>
      <c r="C25" s="3"/>
      <c r="D25" s="3"/>
      <c r="E25" s="3"/>
      <c r="F25" s="16"/>
      <c r="H25" s="22"/>
      <c r="I25" s="26" t="str">
        <f>CO2データ!D125</f>
        <v>王子製紙(株)</v>
      </c>
      <c r="J25" s="27">
        <f>CO2データ!I125</f>
        <v>4.3800000000000002E-4</v>
      </c>
      <c r="K25" s="22"/>
      <c r="L25" s="26" t="str">
        <f>CO2データ!D164</f>
        <v>大和ハウス工業(株)</v>
      </c>
      <c r="M25" s="27">
        <f>CO2データ!I164</f>
        <v>5.1900000000000004E-4</v>
      </c>
      <c r="N25" s="28"/>
    </row>
    <row r="26" spans="2:14" ht="15" customHeight="1">
      <c r="B26" s="20" t="s">
        <v>2028</v>
      </c>
      <c r="C26" s="3"/>
      <c r="D26" s="3"/>
      <c r="E26" s="3"/>
      <c r="F26" s="16"/>
      <c r="H26" s="22"/>
      <c r="I26" s="26" t="str">
        <f>CO2データ!D126</f>
        <v>オリックス(株)</v>
      </c>
      <c r="J26" s="27">
        <f>CO2データ!I126</f>
        <v>4.9799999999999996E-4</v>
      </c>
      <c r="K26" s="22"/>
      <c r="L26" s="26" t="str">
        <f>CO2データ!D165</f>
        <v>中央電力エナジー(株)</v>
      </c>
      <c r="M26" s="27">
        <f>CO2データ!I165</f>
        <v>5.5999999999999995E-4</v>
      </c>
      <c r="N26" s="28"/>
    </row>
    <row r="27" spans="2:14" ht="15" customHeight="1">
      <c r="B27" s="20"/>
      <c r="C27" s="21" t="s">
        <v>1459</v>
      </c>
      <c r="D27" s="29" t="s">
        <v>2021</v>
      </c>
      <c r="E27" s="3"/>
      <c r="F27" s="16"/>
      <c r="H27" s="22"/>
      <c r="I27" s="26" t="str">
        <f>CO2データ!D127</f>
        <v>(株)イーセル</v>
      </c>
      <c r="J27" s="27">
        <f>CO2データ!I127</f>
        <v>5.1099999999999995E-4</v>
      </c>
      <c r="K27" s="22"/>
      <c r="L27" s="26" t="str">
        <f>CO2データ!D166</f>
        <v>テス・エンジニアリング(株)</v>
      </c>
      <c r="M27" s="27">
        <f>CO2データ!I166</f>
        <v>5.9900000000000003E-4</v>
      </c>
      <c r="N27" s="28"/>
    </row>
    <row r="28" spans="2:14" ht="15" customHeight="1">
      <c r="B28" s="20"/>
      <c r="C28" s="30"/>
      <c r="D28" s="31"/>
      <c r="E28" s="33" t="s">
        <v>2957</v>
      </c>
      <c r="F28" s="16"/>
      <c r="H28" s="22"/>
      <c r="I28" s="26" t="str">
        <f>CO2データ!D128</f>
        <v>(株)岩手ウッドパワー</v>
      </c>
      <c r="J28" s="27">
        <f>CO2データ!I128</f>
        <v>4.3999999999999999E-5</v>
      </c>
      <c r="K28" s="22"/>
      <c r="L28" s="26" t="str">
        <f>CO2データ!D167</f>
        <v>テプコカスタマーサービス(株)</v>
      </c>
      <c r="M28" s="27">
        <f>CO2データ!I167</f>
        <v>4.8700000000000002E-4</v>
      </c>
      <c r="N28" s="28"/>
    </row>
    <row r="29" spans="2:14" ht="15" customHeight="1">
      <c r="B29" s="20"/>
      <c r="C29" s="3"/>
      <c r="D29" s="3"/>
      <c r="E29" s="3"/>
      <c r="F29" s="16"/>
      <c r="H29" s="22"/>
      <c r="I29" s="26" t="str">
        <f>CO2データ!D129</f>
        <v>(株)うなかみの大地</v>
      </c>
      <c r="J29" s="27">
        <f>CO2データ!I129</f>
        <v>1.06E-4</v>
      </c>
      <c r="K29" s="22"/>
      <c r="L29" s="26" t="str">
        <f>CO2データ!D168</f>
        <v>東京エコサービス(株)</v>
      </c>
      <c r="M29" s="27">
        <f>CO2データ!I168</f>
        <v>7.1000000000000005E-5</v>
      </c>
      <c r="N29" s="28"/>
    </row>
    <row r="30" spans="2:14" ht="15" customHeight="1">
      <c r="B30" s="20"/>
      <c r="C30" s="3"/>
      <c r="D30" s="3"/>
      <c r="E30" s="3"/>
      <c r="F30" s="16"/>
      <c r="H30" s="22"/>
      <c r="I30" s="26" t="str">
        <f>CO2データ!D130</f>
        <v>(株)ＳＥウイングズ</v>
      </c>
      <c r="J30" s="27">
        <f>CO2データ!I130</f>
        <v>4.6200000000000001E-4</v>
      </c>
      <c r="K30" s="22"/>
      <c r="L30" s="26" t="str">
        <f>CO2データ!D169</f>
        <v>にちほクラウド電力(株)</v>
      </c>
      <c r="M30" s="27">
        <f>CO2データ!I169</f>
        <v>5.3899999999999998E-4</v>
      </c>
      <c r="N30" s="28"/>
    </row>
    <row r="31" spans="2:14" ht="15" customHeight="1">
      <c r="B31" s="20"/>
      <c r="C31" s="3"/>
      <c r="D31" s="3"/>
      <c r="E31" s="3"/>
      <c r="F31" s="16"/>
      <c r="H31" s="22"/>
      <c r="I31" s="26" t="str">
        <f>CO2データ!D131</f>
        <v>(株)エヌパワー</v>
      </c>
      <c r="J31" s="27">
        <f>CO2データ!I131</f>
        <v>4.15E-4</v>
      </c>
      <c r="K31" s="22"/>
      <c r="L31" s="26" t="str">
        <f>CO2データ!D170</f>
        <v>日産トレーデイング(株)</v>
      </c>
      <c r="M31" s="27">
        <f>CO2データ!I170</f>
        <v>3.6499999999999998E-4</v>
      </c>
      <c r="N31" s="28"/>
    </row>
    <row r="32" spans="2:14" ht="15" customHeight="1">
      <c r="B32" s="20"/>
      <c r="C32" s="3"/>
      <c r="D32" s="3"/>
      <c r="E32" s="3"/>
      <c r="F32" s="16"/>
      <c r="H32" s="22"/>
      <c r="I32" s="26" t="str">
        <f>CO2データ!D132</f>
        <v>(株)エネット</v>
      </c>
      <c r="J32" s="27">
        <f>CO2データ!I132</f>
        <v>4.5399999999999998E-4</v>
      </c>
      <c r="K32" s="22"/>
      <c r="L32" s="26" t="str">
        <f>CO2データ!D171</f>
        <v>日本アルファ電力(株)</v>
      </c>
      <c r="M32" s="27">
        <f>CO2データ!I171</f>
        <v>0</v>
      </c>
      <c r="N32" s="28"/>
    </row>
    <row r="33" spans="2:14" ht="15" customHeight="1">
      <c r="B33" s="20"/>
      <c r="C33" s="3"/>
      <c r="D33" s="3"/>
      <c r="E33" s="3"/>
      <c r="F33" s="16"/>
      <c r="H33" s="22"/>
      <c r="I33" s="26" t="str">
        <f>CO2データ!D133</f>
        <v>(株)Ｆ－Ｐｏｗｅｒ</v>
      </c>
      <c r="J33" s="27">
        <f>CO2データ!I133</f>
        <v>4.5399999999999998E-4</v>
      </c>
      <c r="K33" s="22"/>
      <c r="L33" s="26" t="str">
        <f>CO2データ!D172</f>
        <v>日本テクノ(株)</v>
      </c>
      <c r="M33" s="27">
        <f>CO2データ!I172</f>
        <v>5.3200000000000003E-4</v>
      </c>
      <c r="N33" s="28"/>
    </row>
    <row r="34" spans="2:14" ht="15" customHeight="1">
      <c r="B34" s="20"/>
      <c r="C34" s="3"/>
      <c r="D34" s="3"/>
      <c r="E34" s="3"/>
      <c r="F34" s="16"/>
      <c r="H34" s="22"/>
      <c r="I34" s="26" t="str">
        <f>CO2データ!D134</f>
        <v>(株)関電エネルギーソリューション</v>
      </c>
      <c r="J34" s="27">
        <f>CO2データ!I134</f>
        <v>5.4100000000000003E-4</v>
      </c>
      <c r="K34" s="22"/>
      <c r="L34" s="26" t="str">
        <f>CO2データ!D173</f>
        <v>日本ロジテック協同組合</v>
      </c>
      <c r="M34" s="27">
        <f>CO2データ!I173</f>
        <v>3.86E-4</v>
      </c>
      <c r="N34" s="28"/>
    </row>
    <row r="35" spans="2:14" ht="15" customHeight="1">
      <c r="B35" s="20"/>
      <c r="C35" s="3"/>
      <c r="D35" s="3"/>
      <c r="E35" s="3"/>
      <c r="F35" s="16"/>
      <c r="H35" s="22"/>
      <c r="I35" s="26" t="str">
        <f>CO2データ!D135</f>
        <v>(株)クールトラスト</v>
      </c>
      <c r="J35" s="27">
        <f>CO2データ!I135</f>
        <v>4.9200000000000003E-4</v>
      </c>
      <c r="K35" s="22"/>
      <c r="L35" s="26" t="str">
        <f>CO2データ!D174</f>
        <v>パナソニック(株)</v>
      </c>
      <c r="M35" s="27">
        <f>CO2データ!I174</f>
        <v>6.2200000000000005E-4</v>
      </c>
      <c r="N35" s="28"/>
    </row>
    <row r="36" spans="2:14" ht="15" customHeight="1">
      <c r="B36" s="20"/>
      <c r="C36" s="3"/>
      <c r="D36" s="3"/>
      <c r="E36" s="3"/>
      <c r="F36" s="16"/>
      <c r="H36" s="22"/>
      <c r="I36" s="26" t="str">
        <f>CO2データ!D136</f>
        <v>(株)グローバルエンジニアリング</v>
      </c>
      <c r="J36" s="27">
        <f>CO2データ!I136</f>
        <v>4.7199999999999998E-4</v>
      </c>
      <c r="K36" s="22"/>
      <c r="L36" s="26" t="str">
        <f>CO2データ!D175</f>
        <v>プレミアムグリーンパワー(株)</v>
      </c>
      <c r="M36" s="27">
        <f>CO2データ!I175</f>
        <v>1.1E-5</v>
      </c>
      <c r="N36" s="28"/>
    </row>
    <row r="37" spans="2:14" ht="15" customHeight="1">
      <c r="B37" s="20"/>
      <c r="C37" s="3"/>
      <c r="D37" s="3"/>
      <c r="E37" s="3"/>
      <c r="F37" s="16"/>
      <c r="H37" s="22"/>
      <c r="I37" s="26" t="str">
        <f>CO2データ!D137</f>
        <v>(株)ケーキュービック</v>
      </c>
      <c r="J37" s="27">
        <f>CO2データ!I137</f>
        <v>1.5300000000000001E-4</v>
      </c>
      <c r="K37" s="22"/>
      <c r="L37" s="26" t="str">
        <f>CO2データ!D176</f>
        <v>本田技研工業(株)</v>
      </c>
      <c r="M37" s="27">
        <f>CO2データ!I176</f>
        <v>5.8E-4</v>
      </c>
      <c r="N37" s="28"/>
    </row>
    <row r="38" spans="2:14" ht="15" customHeight="1">
      <c r="B38" s="20"/>
      <c r="C38" s="3"/>
      <c r="D38" s="3"/>
      <c r="E38" s="3"/>
      <c r="F38" s="16"/>
      <c r="H38" s="22"/>
      <c r="I38" s="26" t="str">
        <f>CO2データ!D138</f>
        <v>(株)洸陽電機</v>
      </c>
      <c r="J38" s="27">
        <f>CO2データ!I138</f>
        <v>3.48E-4</v>
      </c>
      <c r="K38" s="22"/>
      <c r="L38" s="26" t="str">
        <f>CO2データ!D177</f>
        <v>丸紅(株)</v>
      </c>
      <c r="M38" s="27">
        <f>CO2データ!I177</f>
        <v>4.8200000000000001E-4</v>
      </c>
      <c r="N38" s="28"/>
    </row>
    <row r="39" spans="2:14" ht="15" customHeight="1">
      <c r="B39" s="20"/>
      <c r="C39" s="3"/>
      <c r="D39" s="3"/>
      <c r="E39" s="3"/>
      <c r="F39" s="16"/>
      <c r="H39" s="22"/>
      <c r="I39" s="26" t="str">
        <f>CO2データ!D139</f>
        <v>(株)サイサン</v>
      </c>
      <c r="J39" s="27">
        <f>CO2データ!I139</f>
        <v>3.7300000000000001E-4</v>
      </c>
      <c r="K39" s="22"/>
      <c r="L39" s="26" t="str">
        <f>CO2データ!D178</f>
        <v>ミサワホーム(株)</v>
      </c>
      <c r="M39" s="27">
        <f>CO2データ!I178</f>
        <v>3.1100000000000002E-4</v>
      </c>
      <c r="N39" s="28"/>
    </row>
    <row r="40" spans="2:14" ht="15" customHeight="1">
      <c r="B40" s="20"/>
      <c r="C40" s="3"/>
      <c r="D40" s="3"/>
      <c r="E40" s="3"/>
      <c r="F40" s="16"/>
      <c r="H40" s="22"/>
      <c r="I40" s="26" t="str">
        <f>CO2データ!D140</f>
        <v>(株)サニックス</v>
      </c>
      <c r="J40" s="27">
        <f>CO2データ!I140</f>
        <v>9.0000000000000002E-6</v>
      </c>
      <c r="K40" s="22"/>
      <c r="L40" s="26" t="str">
        <f>CO2データ!D179</f>
        <v>三井物産(株)</v>
      </c>
      <c r="M40" s="27">
        <f>CO2データ!I179</f>
        <v>0</v>
      </c>
      <c r="N40" s="28"/>
    </row>
    <row r="41" spans="2:14" ht="15" customHeight="1">
      <c r="B41" s="20"/>
      <c r="C41" s="3"/>
      <c r="D41" s="3"/>
      <c r="E41" s="3"/>
      <c r="F41" s="16"/>
      <c r="H41" s="22"/>
      <c r="I41" s="26" t="str">
        <f>CO2データ!D141</f>
        <v>(株)ＣＮＯパワーソリューションズ</v>
      </c>
      <c r="J41" s="27">
        <f>CO2データ!I141</f>
        <v>5.3700000000000004E-4</v>
      </c>
      <c r="K41" s="22"/>
      <c r="L41" s="26" t="str">
        <f>CO2データ!D180</f>
        <v>ミツウロコグリーンエネルギー(株)</v>
      </c>
      <c r="M41" s="27">
        <f>CO2データ!I180</f>
        <v>4.66E-4</v>
      </c>
      <c r="N41" s="28"/>
    </row>
    <row r="42" spans="2:14" ht="15" customHeight="1">
      <c r="B42" s="20"/>
      <c r="C42" s="3"/>
      <c r="D42" s="3"/>
      <c r="E42" s="3"/>
      <c r="F42" s="16"/>
      <c r="H42" s="22"/>
      <c r="I42" s="26" t="str">
        <f>CO2データ!D142</f>
        <v>(株)Ｇ－Ｐｏｗｅｒ</v>
      </c>
      <c r="J42" s="27">
        <f>CO2データ!I142</f>
        <v>1.7000000000000001E-4</v>
      </c>
      <c r="K42" s="22"/>
      <c r="L42" s="26" t="str">
        <f>CO2データ!D181</f>
        <v>リエスパワー(株)</v>
      </c>
      <c r="M42" s="27">
        <f>CO2データ!I181</f>
        <v>5.8200000000000005E-4</v>
      </c>
      <c r="N42" s="28"/>
    </row>
    <row r="43" spans="2:14" ht="15" customHeight="1">
      <c r="B43" s="20"/>
      <c r="C43" s="3"/>
      <c r="D43" s="3"/>
      <c r="E43" s="3"/>
      <c r="F43" s="16"/>
      <c r="H43" s="22"/>
      <c r="I43" s="26" t="str">
        <f>CO2データ!D143</f>
        <v>(株)新出光</v>
      </c>
      <c r="J43" s="27">
        <f>CO2データ!I143</f>
        <v>4.8700000000000002E-4</v>
      </c>
      <c r="K43" s="22"/>
      <c r="L43" s="26" t="str">
        <f>CO2データ!D182</f>
        <v>ワタミファーム＆エナジー(株)</v>
      </c>
      <c r="M43" s="27">
        <f>CO2データ!I182</f>
        <v>4.5399999999999998E-4</v>
      </c>
      <c r="N43" s="28"/>
    </row>
    <row r="44" spans="2:14" ht="15" hidden="1" customHeight="1">
      <c r="B44" s="20"/>
      <c r="C44" s="3"/>
      <c r="D44" s="3"/>
      <c r="E44" s="3"/>
      <c r="F44" s="16"/>
      <c r="H44" s="22"/>
      <c r="I44" s="26" t="str">
        <f>CO2データ!D144</f>
        <v>(株)トヨタタービンアンドシステム</v>
      </c>
      <c r="J44" s="27">
        <f>CO2データ!I144</f>
        <v>4.9200000000000003E-4</v>
      </c>
      <c r="K44" s="3"/>
      <c r="L44" s="14"/>
      <c r="M44" s="1580"/>
      <c r="N44" s="28"/>
    </row>
    <row r="45" spans="2:14" ht="15" hidden="1" customHeight="1">
      <c r="B45" s="20"/>
      <c r="C45" s="3"/>
      <c r="D45" s="3"/>
      <c r="E45" s="3"/>
      <c r="F45" s="16"/>
      <c r="H45" s="22"/>
      <c r="I45" s="26" t="str">
        <f>CO2データ!D145</f>
        <v>(株)とんでん</v>
      </c>
      <c r="J45" s="27">
        <f>CO2データ!I145</f>
        <v>4.95E-4</v>
      </c>
      <c r="K45" s="3"/>
      <c r="L45" s="14"/>
      <c r="M45" s="1580"/>
      <c r="N45" s="28"/>
    </row>
    <row r="46" spans="2:14" ht="15" hidden="1" customHeight="1">
      <c r="B46" s="20"/>
      <c r="C46" s="3"/>
      <c r="D46" s="3"/>
      <c r="E46" s="3"/>
      <c r="F46" s="16"/>
      <c r="H46" s="22"/>
      <c r="I46" s="26" t="str">
        <f>CO2データ!D146</f>
        <v>(株)ナンワエナジー</v>
      </c>
      <c r="J46" s="27">
        <f>CO2データ!I146</f>
        <v>6.02E-4</v>
      </c>
      <c r="K46" s="3"/>
      <c r="L46" s="14"/>
      <c r="M46" s="1580"/>
      <c r="N46" s="28"/>
    </row>
    <row r="47" spans="2:14" ht="15" hidden="1" customHeight="1">
      <c r="B47" s="20"/>
      <c r="C47" s="3"/>
      <c r="D47" s="3"/>
      <c r="E47" s="3"/>
      <c r="F47" s="16"/>
      <c r="H47" s="22"/>
      <c r="I47" s="26" t="str">
        <f>CO2データ!D147</f>
        <v>(株)日本セレモニー</v>
      </c>
      <c r="J47" s="27">
        <f>CO2データ!I147</f>
        <v>6.0999999999999997E-4</v>
      </c>
      <c r="K47" s="3"/>
      <c r="L47" s="14"/>
      <c r="M47" s="1580"/>
      <c r="N47" s="28"/>
    </row>
    <row r="48" spans="2:14" ht="15" hidden="1" customHeight="1">
      <c r="B48" s="20"/>
      <c r="C48" s="3"/>
      <c r="D48" s="3"/>
      <c r="E48" s="3"/>
      <c r="F48" s="16"/>
      <c r="H48" s="22"/>
      <c r="I48" s="26" t="str">
        <f>CO2データ!D148</f>
        <v>(株)Ｖ－Ｐｏｗｅｒ</v>
      </c>
      <c r="J48" s="27">
        <f>CO2データ!I148</f>
        <v>2.5399999999999999E-4</v>
      </c>
      <c r="K48" s="3"/>
      <c r="L48" s="14"/>
      <c r="M48" s="1580"/>
      <c r="N48" s="28"/>
    </row>
    <row r="49" spans="2:14" ht="15" hidden="1" customHeight="1">
      <c r="B49" s="20"/>
      <c r="C49" s="3"/>
      <c r="D49" s="3"/>
      <c r="E49" s="3"/>
      <c r="F49" s="16"/>
      <c r="H49" s="22"/>
      <c r="I49" s="26" t="str">
        <f>CO2データ!D149</f>
        <v>(株)フォレストパワー</v>
      </c>
      <c r="J49" s="27">
        <f>CO2データ!I149</f>
        <v>1.9000000000000001E-4</v>
      </c>
      <c r="K49" s="3"/>
      <c r="L49" s="14"/>
      <c r="M49" s="1580"/>
      <c r="N49" s="28"/>
    </row>
    <row r="50" spans="2:14" ht="15" hidden="1" customHeight="1">
      <c r="B50" s="20"/>
      <c r="C50" s="3"/>
      <c r="D50" s="3"/>
      <c r="E50" s="3"/>
      <c r="F50" s="16"/>
      <c r="H50" s="22"/>
      <c r="I50" s="26" t="str">
        <f>CO2データ!D150</f>
        <v>(株)ベイサイドエナジー</v>
      </c>
      <c r="J50" s="27">
        <f>CO2データ!I150</f>
        <v>5.8100000000000003E-4</v>
      </c>
      <c r="K50" s="3"/>
      <c r="L50" s="14"/>
      <c r="M50" s="1580"/>
      <c r="N50" s="28"/>
    </row>
    <row r="51" spans="2:14" ht="15" hidden="1" customHeight="1">
      <c r="B51" s="20"/>
      <c r="C51" s="3"/>
      <c r="D51" s="3"/>
      <c r="E51" s="3"/>
      <c r="F51" s="16"/>
      <c r="H51" s="22"/>
      <c r="I51" s="26" t="str">
        <f>CO2データ!D151</f>
        <v>京葉瓦斯(株)</v>
      </c>
      <c r="J51" s="27">
        <f>CO2データ!I151</f>
        <v>4.9399999999999997E-4</v>
      </c>
      <c r="K51" s="3"/>
      <c r="L51" s="14"/>
      <c r="M51" s="1580"/>
      <c r="N51" s="28"/>
    </row>
    <row r="52" spans="2:14" ht="15" hidden="1" customHeight="1">
      <c r="B52" s="20"/>
      <c r="C52" s="3"/>
      <c r="D52" s="3"/>
      <c r="E52" s="3"/>
      <c r="F52" s="16"/>
      <c r="H52" s="22"/>
      <c r="I52" s="26" t="str">
        <f>CO2データ!D152</f>
        <v>サミットエナジー(株)</v>
      </c>
      <c r="J52" s="27">
        <f>CO2データ!I152</f>
        <v>4.1300000000000001E-4</v>
      </c>
      <c r="K52" s="3"/>
      <c r="L52" s="14"/>
      <c r="M52" s="1580"/>
      <c r="N52" s="28"/>
    </row>
    <row r="53" spans="2:14" ht="15" hidden="1" customHeight="1">
      <c r="B53" s="20"/>
      <c r="C53" s="3"/>
      <c r="D53" s="3"/>
      <c r="E53" s="3"/>
      <c r="F53" s="16"/>
      <c r="H53" s="22"/>
      <c r="I53" s="26" t="str">
        <f>CO2データ!D153</f>
        <v>ＪＸ日鉱日石エネルギー(株)</v>
      </c>
      <c r="J53" s="27">
        <f>CO2データ!I153</f>
        <v>3.2499999999999999E-4</v>
      </c>
      <c r="K53" s="3"/>
      <c r="L53" s="14"/>
      <c r="M53" s="1580"/>
      <c r="N53" s="28"/>
    </row>
    <row r="54" spans="2:14" ht="15" hidden="1" customHeight="1">
      <c r="B54" s="20"/>
      <c r="C54" s="3"/>
      <c r="D54" s="3"/>
      <c r="E54" s="3"/>
      <c r="F54" s="16"/>
      <c r="H54" s="22"/>
      <c r="I54" s="26" t="str">
        <f>CO2データ!D154</f>
        <v>ＪＬエナジー(株)</v>
      </c>
      <c r="J54" s="27">
        <f>CO2データ!I154</f>
        <v>5.53E-4</v>
      </c>
      <c r="K54" s="3"/>
      <c r="L54" s="14"/>
      <c r="M54" s="1580"/>
      <c r="N54" s="28"/>
    </row>
    <row r="55" spans="2:14" ht="15" hidden="1" customHeight="1">
      <c r="B55" s="20"/>
      <c r="C55" s="3"/>
      <c r="D55" s="3"/>
      <c r="E55" s="3"/>
      <c r="F55" s="16"/>
      <c r="H55" s="22"/>
      <c r="I55" s="26" t="str">
        <f>CO2データ!D155</f>
        <v>志賀高原リゾート開発(株)</v>
      </c>
      <c r="J55" s="27">
        <f>CO2データ!I155</f>
        <v>3.6000000000000001E-5</v>
      </c>
      <c r="K55" s="3"/>
      <c r="L55" s="14"/>
      <c r="M55" s="1580"/>
      <c r="N55" s="28"/>
    </row>
    <row r="56" spans="2:14" ht="15" hidden="1" customHeight="1">
      <c r="B56" s="20"/>
      <c r="C56" s="3"/>
      <c r="D56" s="3"/>
      <c r="E56" s="3"/>
      <c r="F56" s="16"/>
      <c r="H56" s="22"/>
      <c r="I56" s="26" t="str">
        <f>CO2データ!D156</f>
        <v>シナネン(株)</v>
      </c>
      <c r="J56" s="27">
        <f>CO2データ!I156</f>
        <v>4.1599999999999997E-4</v>
      </c>
      <c r="K56" s="3"/>
      <c r="L56" s="14"/>
      <c r="M56" s="1580"/>
      <c r="N56" s="28"/>
    </row>
    <row r="57" spans="2:14" ht="15" hidden="1" customHeight="1">
      <c r="B57" s="20"/>
      <c r="C57" s="3"/>
      <c r="D57" s="3"/>
      <c r="E57" s="3"/>
      <c r="F57" s="16"/>
      <c r="H57" s="22"/>
      <c r="I57" s="26" t="str">
        <f>CO2データ!D157</f>
        <v>昭和シェル石油(株)</v>
      </c>
      <c r="J57" s="27">
        <f>CO2データ!I157</f>
        <v>3.7199999999999999E-4</v>
      </c>
      <c r="K57" s="3"/>
      <c r="L57" s="14"/>
      <c r="M57" s="1580"/>
      <c r="N57" s="28"/>
    </row>
    <row r="58" spans="2:14" ht="15" hidden="1" customHeight="1">
      <c r="B58" s="20"/>
      <c r="C58" s="3"/>
      <c r="D58" s="3"/>
      <c r="E58" s="3"/>
      <c r="F58" s="16"/>
      <c r="H58" s="22"/>
      <c r="I58" s="26" t="str">
        <f>CO2データ!D158</f>
        <v>新日鉄住金エンジニアリング(株)</v>
      </c>
      <c r="J58" s="27">
        <f>CO2データ!I158</f>
        <v>5.5999999999999995E-4</v>
      </c>
      <c r="K58" s="3"/>
      <c r="L58" s="14"/>
      <c r="M58" s="1580"/>
      <c r="N58" s="28"/>
    </row>
    <row r="59" spans="2:14" ht="15" hidden="1" customHeight="1">
      <c r="B59" s="20"/>
      <c r="C59" s="3"/>
      <c r="D59" s="3"/>
      <c r="E59" s="3"/>
      <c r="F59" s="16"/>
      <c r="H59" s="22"/>
      <c r="I59" s="26" t="str">
        <f>CO2データ!D159</f>
        <v>鈴与商事(株)</v>
      </c>
      <c r="J59" s="27">
        <f>CO2データ!I159</f>
        <v>4.8799999999999999E-4</v>
      </c>
      <c r="K59" s="3"/>
      <c r="L59" s="14"/>
      <c r="M59" s="1580"/>
      <c r="N59" s="28"/>
    </row>
    <row r="60" spans="2:14" ht="15" hidden="1" customHeight="1">
      <c r="B60" s="20"/>
      <c r="C60" s="3"/>
      <c r="D60" s="3"/>
      <c r="E60" s="3"/>
      <c r="F60" s="16"/>
      <c r="H60" s="22"/>
      <c r="I60" s="26" t="str">
        <f>CO2データ!D160</f>
        <v>泉北天然ガス発電(株)</v>
      </c>
      <c r="J60" s="27">
        <f>CO2データ!I160</f>
        <v>3.2899999999999997E-4</v>
      </c>
      <c r="K60" s="3"/>
      <c r="L60" s="14"/>
      <c r="M60" s="1580"/>
      <c r="N60" s="28"/>
    </row>
    <row r="61" spans="2:14" ht="15" hidden="1" customHeight="1">
      <c r="B61" s="20"/>
      <c r="C61" s="3"/>
      <c r="D61" s="3"/>
      <c r="E61" s="3"/>
      <c r="F61" s="16"/>
      <c r="H61" s="22"/>
      <c r="I61" s="26" t="str">
        <f>CO2データ!D161</f>
        <v>総合エネルギー(株)</v>
      </c>
      <c r="J61" s="27">
        <f>CO2データ!I161</f>
        <v>6.3599999999999996E-4</v>
      </c>
      <c r="K61" s="3"/>
      <c r="L61" s="14"/>
      <c r="M61" s="1580"/>
      <c r="N61" s="28"/>
    </row>
    <row r="62" spans="2:14" ht="15" hidden="1" customHeight="1">
      <c r="B62" s="20"/>
      <c r="C62" s="3"/>
      <c r="D62" s="3"/>
      <c r="E62" s="3"/>
      <c r="F62" s="16"/>
      <c r="H62" s="22"/>
      <c r="I62" s="26" t="str">
        <f>CO2データ!D162</f>
        <v>大東エナジー(株)</v>
      </c>
      <c r="J62" s="27">
        <f>CO2データ!I162</f>
        <v>5.6599999999999999E-4</v>
      </c>
      <c r="K62" s="3"/>
      <c r="L62" s="14"/>
      <c r="M62" s="1580"/>
      <c r="N62" s="28"/>
    </row>
    <row r="63" spans="2:14" ht="15" hidden="1" customHeight="1">
      <c r="B63" s="20"/>
      <c r="C63" s="3"/>
      <c r="D63" s="3"/>
      <c r="E63" s="3"/>
      <c r="F63" s="16"/>
      <c r="H63" s="22"/>
      <c r="I63" s="26" t="str">
        <f>CO2データ!D163</f>
        <v>ダイヤモンドパワー(株)</v>
      </c>
      <c r="J63" s="27">
        <f>CO2データ!I163</f>
        <v>3.39E-4</v>
      </c>
      <c r="K63" s="3"/>
      <c r="L63" s="14"/>
      <c r="M63" s="1580"/>
      <c r="N63" s="28"/>
    </row>
    <row r="64" spans="2:14" ht="15" hidden="1" customHeight="1">
      <c r="B64" s="20"/>
      <c r="C64" s="3"/>
      <c r="D64" s="3"/>
      <c r="E64" s="3"/>
      <c r="F64" s="16"/>
      <c r="H64" s="22"/>
      <c r="I64" s="26" t="str">
        <f>CO2データ!D164</f>
        <v>大和ハウス工業(株)</v>
      </c>
      <c r="J64" s="27">
        <f>CO2データ!I164</f>
        <v>5.1900000000000004E-4</v>
      </c>
      <c r="K64" s="3"/>
      <c r="L64" s="14"/>
      <c r="M64" s="1580"/>
      <c r="N64" s="28"/>
    </row>
    <row r="65" spans="2:14" ht="15" hidden="1" customHeight="1">
      <c r="B65" s="20"/>
      <c r="C65" s="3"/>
      <c r="D65" s="3"/>
      <c r="E65" s="3"/>
      <c r="F65" s="16"/>
      <c r="H65" s="22"/>
      <c r="I65" s="26" t="str">
        <f>CO2データ!D165</f>
        <v>中央電力エナジー(株)</v>
      </c>
      <c r="J65" s="27">
        <f>CO2データ!I165</f>
        <v>5.5999999999999995E-4</v>
      </c>
      <c r="K65" s="3"/>
      <c r="L65" s="14"/>
      <c r="M65" s="1580"/>
      <c r="N65" s="28"/>
    </row>
    <row r="66" spans="2:14" ht="15" hidden="1" customHeight="1">
      <c r="B66" s="20"/>
      <c r="C66" s="3"/>
      <c r="D66" s="3"/>
      <c r="E66" s="3"/>
      <c r="F66" s="16"/>
      <c r="H66" s="22"/>
      <c r="I66" s="26" t="str">
        <f>CO2データ!D166</f>
        <v>テス・エンジニアリング(株)</v>
      </c>
      <c r="J66" s="27">
        <f>CO2データ!I166</f>
        <v>5.9900000000000003E-4</v>
      </c>
      <c r="K66" s="3"/>
      <c r="L66" s="14"/>
      <c r="M66" s="1580"/>
      <c r="N66" s="28"/>
    </row>
    <row r="67" spans="2:14" ht="15" hidden="1" customHeight="1">
      <c r="B67" s="20"/>
      <c r="C67" s="3"/>
      <c r="D67" s="3"/>
      <c r="E67" s="3"/>
      <c r="F67" s="16"/>
      <c r="H67" s="22"/>
      <c r="I67" s="26" t="str">
        <f>CO2データ!D167</f>
        <v>テプコカスタマーサービス(株)</v>
      </c>
      <c r="J67" s="27">
        <f>CO2データ!I167</f>
        <v>4.8700000000000002E-4</v>
      </c>
      <c r="K67" s="3"/>
      <c r="L67" s="14"/>
      <c r="M67" s="1580"/>
      <c r="N67" s="28"/>
    </row>
    <row r="68" spans="2:14" ht="15" hidden="1" customHeight="1">
      <c r="B68" s="20"/>
      <c r="C68" s="3"/>
      <c r="D68" s="3"/>
      <c r="E68" s="3"/>
      <c r="F68" s="16"/>
      <c r="H68" s="22"/>
      <c r="I68" s="26" t="str">
        <f>CO2データ!D168</f>
        <v>東京エコサービス(株)</v>
      </c>
      <c r="J68" s="27">
        <f>CO2データ!I168</f>
        <v>7.1000000000000005E-5</v>
      </c>
      <c r="K68" s="3"/>
      <c r="L68" s="14"/>
      <c r="M68" s="1580"/>
      <c r="N68" s="28"/>
    </row>
    <row r="69" spans="2:14" ht="15" hidden="1" customHeight="1">
      <c r="B69" s="20"/>
      <c r="C69" s="3"/>
      <c r="D69" s="3"/>
      <c r="E69" s="3"/>
      <c r="F69" s="16"/>
      <c r="H69" s="22"/>
      <c r="I69" s="26" t="str">
        <f>CO2データ!D169</f>
        <v>にちほクラウド電力(株)</v>
      </c>
      <c r="J69" s="27">
        <f>CO2データ!I169</f>
        <v>5.3899999999999998E-4</v>
      </c>
      <c r="K69" s="3"/>
      <c r="L69" s="14"/>
      <c r="M69" s="1580"/>
      <c r="N69" s="28"/>
    </row>
    <row r="70" spans="2:14" ht="15" hidden="1" customHeight="1">
      <c r="B70" s="20"/>
      <c r="C70" s="3"/>
      <c r="D70" s="3"/>
      <c r="E70" s="3"/>
      <c r="F70" s="16"/>
      <c r="H70" s="22"/>
      <c r="I70" s="26" t="str">
        <f>CO2データ!D170</f>
        <v>日産トレーデイング(株)</v>
      </c>
      <c r="J70" s="27">
        <f>CO2データ!I170</f>
        <v>3.6499999999999998E-4</v>
      </c>
      <c r="K70" s="3"/>
      <c r="L70" s="14"/>
      <c r="M70" s="1580"/>
      <c r="N70" s="28"/>
    </row>
    <row r="71" spans="2:14" ht="15" hidden="1" customHeight="1">
      <c r="B71" s="20"/>
      <c r="C71" s="3"/>
      <c r="D71" s="3"/>
      <c r="E71" s="3"/>
      <c r="F71" s="16"/>
      <c r="H71" s="22"/>
      <c r="I71" s="26" t="str">
        <f>CO2データ!D171</f>
        <v>日本アルファ電力(株)</v>
      </c>
      <c r="J71" s="27">
        <f>CO2データ!I171</f>
        <v>0</v>
      </c>
      <c r="K71" s="3"/>
      <c r="L71" s="14"/>
      <c r="M71" s="1580"/>
      <c r="N71" s="28"/>
    </row>
    <row r="72" spans="2:14" ht="15" hidden="1" customHeight="1">
      <c r="B72" s="20"/>
      <c r="C72" s="3"/>
      <c r="D72" s="3"/>
      <c r="E72" s="3"/>
      <c r="F72" s="16"/>
      <c r="H72" s="22"/>
      <c r="I72" s="26" t="str">
        <f>CO2データ!D172</f>
        <v>日本テクノ(株)</v>
      </c>
      <c r="J72" s="27">
        <f>CO2データ!I172</f>
        <v>5.3200000000000003E-4</v>
      </c>
      <c r="K72" s="3"/>
      <c r="L72" s="14"/>
      <c r="M72" s="1580"/>
      <c r="N72" s="28"/>
    </row>
    <row r="73" spans="2:14" ht="15" hidden="1" customHeight="1">
      <c r="B73" s="20"/>
      <c r="C73" s="3"/>
      <c r="D73" s="3"/>
      <c r="E73" s="3"/>
      <c r="F73" s="16"/>
      <c r="H73" s="22"/>
      <c r="I73" s="26" t="str">
        <f>CO2データ!D173</f>
        <v>日本ロジテック協同組合</v>
      </c>
      <c r="J73" s="27">
        <f>CO2データ!I173</f>
        <v>3.86E-4</v>
      </c>
      <c r="K73" s="3"/>
      <c r="L73" s="14"/>
      <c r="M73" s="1580"/>
      <c r="N73" s="28"/>
    </row>
    <row r="74" spans="2:14" ht="15" hidden="1" customHeight="1">
      <c r="B74" s="20"/>
      <c r="C74" s="3"/>
      <c r="D74" s="3"/>
      <c r="E74" s="3"/>
      <c r="F74" s="16"/>
      <c r="H74" s="22"/>
      <c r="I74" s="26" t="str">
        <f>CO2データ!D174</f>
        <v>パナソニック(株)</v>
      </c>
      <c r="J74" s="27">
        <f>CO2データ!I174</f>
        <v>6.2200000000000005E-4</v>
      </c>
      <c r="K74" s="3"/>
      <c r="L74" s="14"/>
      <c r="M74" s="1580"/>
      <c r="N74" s="28"/>
    </row>
    <row r="75" spans="2:14" ht="15" hidden="1" customHeight="1">
      <c r="B75" s="20"/>
      <c r="C75" s="3"/>
      <c r="D75" s="3"/>
      <c r="E75" s="3"/>
      <c r="F75" s="16"/>
      <c r="H75" s="22"/>
      <c r="I75" s="26" t="str">
        <f>CO2データ!D175</f>
        <v>プレミアムグリーンパワー(株)</v>
      </c>
      <c r="J75" s="27">
        <f>CO2データ!I175</f>
        <v>1.1E-5</v>
      </c>
      <c r="K75" s="3"/>
      <c r="L75" s="14"/>
      <c r="M75" s="1580"/>
      <c r="N75" s="28"/>
    </row>
    <row r="76" spans="2:14" ht="15" hidden="1" customHeight="1">
      <c r="B76" s="20"/>
      <c r="C76" s="3"/>
      <c r="D76" s="3"/>
      <c r="E76" s="3"/>
      <c r="F76" s="16"/>
      <c r="H76" s="22"/>
      <c r="I76" s="26" t="str">
        <f>CO2データ!D176</f>
        <v>本田技研工業(株)</v>
      </c>
      <c r="J76" s="27">
        <f>CO2データ!I176</f>
        <v>5.8E-4</v>
      </c>
      <c r="K76" s="3"/>
      <c r="L76" s="14"/>
      <c r="M76" s="1580"/>
      <c r="N76" s="28"/>
    </row>
    <row r="77" spans="2:14" ht="15" hidden="1" customHeight="1">
      <c r="B77" s="20"/>
      <c r="C77" s="3"/>
      <c r="D77" s="3"/>
      <c r="E77" s="3"/>
      <c r="F77" s="16"/>
      <c r="H77" s="22"/>
      <c r="I77" s="26" t="str">
        <f>CO2データ!D177</f>
        <v>丸紅(株)</v>
      </c>
      <c r="J77" s="27">
        <f>CO2データ!I177</f>
        <v>4.8200000000000001E-4</v>
      </c>
      <c r="K77" s="3"/>
      <c r="L77" s="14"/>
      <c r="M77" s="1580"/>
      <c r="N77" s="28"/>
    </row>
    <row r="78" spans="2:14" ht="15" hidden="1" customHeight="1">
      <c r="B78" s="20"/>
      <c r="C78" s="3"/>
      <c r="D78" s="3"/>
      <c r="E78" s="3"/>
      <c r="F78" s="16"/>
      <c r="H78" s="22"/>
      <c r="I78" s="26" t="str">
        <f>CO2データ!D178</f>
        <v>ミサワホーム(株)</v>
      </c>
      <c r="J78" s="27">
        <f>CO2データ!I178</f>
        <v>3.1100000000000002E-4</v>
      </c>
      <c r="K78" s="3"/>
      <c r="L78" s="14"/>
      <c r="M78" s="1580"/>
      <c r="N78" s="28"/>
    </row>
    <row r="79" spans="2:14" ht="15" hidden="1" customHeight="1">
      <c r="B79" s="20"/>
      <c r="C79" s="3"/>
      <c r="D79" s="3"/>
      <c r="E79" s="3"/>
      <c r="F79" s="16"/>
      <c r="H79" s="22"/>
      <c r="I79" s="26" t="str">
        <f>CO2データ!D179</f>
        <v>三井物産(株)</v>
      </c>
      <c r="J79" s="27">
        <f>CO2データ!I179</f>
        <v>0</v>
      </c>
      <c r="K79" s="3"/>
      <c r="L79" s="14"/>
      <c r="M79" s="1580"/>
      <c r="N79" s="28"/>
    </row>
    <row r="80" spans="2:14" ht="15" hidden="1" customHeight="1">
      <c r="B80" s="20"/>
      <c r="C80" s="3"/>
      <c r="D80" s="3"/>
      <c r="E80" s="3"/>
      <c r="F80" s="16"/>
      <c r="H80" s="22"/>
      <c r="I80" s="26" t="str">
        <f>CO2データ!D180</f>
        <v>ミツウロコグリーンエネルギー(株)</v>
      </c>
      <c r="J80" s="27">
        <f>CO2データ!I180</f>
        <v>4.66E-4</v>
      </c>
      <c r="K80" s="3"/>
      <c r="L80" s="14"/>
      <c r="M80" s="1580"/>
      <c r="N80" s="28"/>
    </row>
    <row r="81" spans="2:14" ht="15" hidden="1" customHeight="1">
      <c r="B81" s="20"/>
      <c r="C81" s="3"/>
      <c r="D81" s="3"/>
      <c r="E81" s="3"/>
      <c r="F81" s="16"/>
      <c r="H81" s="22"/>
      <c r="I81" s="26" t="str">
        <f>CO2データ!D181</f>
        <v>リエスパワー(株)</v>
      </c>
      <c r="J81" s="27">
        <f>CO2データ!I181</f>
        <v>5.8200000000000005E-4</v>
      </c>
      <c r="K81" s="3"/>
      <c r="L81" s="14"/>
      <c r="M81" s="1580"/>
      <c r="N81" s="28"/>
    </row>
    <row r="82" spans="2:14" ht="15" hidden="1" customHeight="1">
      <c r="B82" s="20"/>
      <c r="C82" s="3"/>
      <c r="D82" s="3"/>
      <c r="E82" s="3"/>
      <c r="F82" s="16"/>
      <c r="H82" s="22"/>
      <c r="I82" s="26" t="str">
        <f>CO2データ!D182</f>
        <v>ワタミファーム＆エナジー(株)</v>
      </c>
      <c r="J82" s="27">
        <f>CO2データ!I182</f>
        <v>4.5399999999999998E-4</v>
      </c>
      <c r="K82" s="3"/>
      <c r="L82" s="14"/>
      <c r="M82" s="1580"/>
      <c r="N82" s="28"/>
    </row>
    <row r="83" spans="2:14" ht="16.5">
      <c r="B83" s="36"/>
      <c r="C83" s="3"/>
      <c r="D83" s="3"/>
      <c r="E83" s="3"/>
      <c r="F83" s="16"/>
      <c r="H83" s="22"/>
      <c r="I83" s="3"/>
      <c r="J83" s="3"/>
      <c r="K83" s="33" t="s">
        <v>2957</v>
      </c>
      <c r="L83" s="3"/>
      <c r="M83" s="3"/>
      <c r="N83" s="28"/>
    </row>
    <row r="84" spans="2:14">
      <c r="B84" s="36"/>
      <c r="C84" s="3"/>
      <c r="D84" s="3"/>
      <c r="E84" s="3"/>
      <c r="F84" s="16"/>
      <c r="H84" s="22" t="s">
        <v>172</v>
      </c>
      <c r="I84" s="3"/>
      <c r="J84" s="3"/>
      <c r="K84" s="3"/>
      <c r="L84" s="3"/>
      <c r="M84" s="3"/>
      <c r="N84" s="28"/>
    </row>
    <row r="85" spans="2:14" ht="16.5">
      <c r="B85" s="36"/>
      <c r="C85" s="3"/>
      <c r="D85" s="3"/>
      <c r="E85" s="3"/>
      <c r="F85" s="16"/>
      <c r="H85" s="22"/>
      <c r="I85" s="37" t="str">
        <f>CO2データ!D184</f>
        <v>代替値</v>
      </c>
      <c r="J85" s="27">
        <f>CO2データ!I184</f>
        <v>5.7899999999999998E-4</v>
      </c>
      <c r="K85" s="33" t="s">
        <v>2957</v>
      </c>
      <c r="L85" s="3"/>
      <c r="M85" s="3"/>
      <c r="N85" s="28"/>
    </row>
    <row r="86" spans="2:14" ht="14.25" thickBot="1">
      <c r="B86" s="38"/>
      <c r="C86" s="39"/>
      <c r="D86" s="39"/>
      <c r="E86" s="39"/>
      <c r="F86" s="40"/>
      <c r="H86" s="41"/>
      <c r="I86" s="42"/>
      <c r="J86" s="42"/>
      <c r="K86" s="42"/>
      <c r="L86" s="42"/>
      <c r="M86" s="42"/>
      <c r="N86" s="43"/>
    </row>
    <row r="87" spans="2:14">
      <c r="H87" s="44"/>
      <c r="I87" s="44"/>
      <c r="J87" s="44"/>
      <c r="K87" s="44"/>
      <c r="L87" s="44"/>
      <c r="M87" s="44"/>
    </row>
    <row r="88" spans="2:14" hidden="1">
      <c r="B88" s="44" t="s">
        <v>173</v>
      </c>
      <c r="D88" s="44" t="str">
        <f>CO2データ!I104</f>
        <v>実排出係数及び代替値</v>
      </c>
      <c r="F88" s="44" t="str">
        <f>CO2データ!K104</f>
        <v>調整後排出係数</v>
      </c>
      <c r="G88" s="44"/>
      <c r="H88" s="44"/>
    </row>
    <row r="89" spans="2:14" hidden="1">
      <c r="C89" s="925" t="s">
        <v>2619</v>
      </c>
      <c r="D89" s="44">
        <f>CO2データ!I118</f>
        <v>3.1599999999999998E-4</v>
      </c>
      <c r="F89" s="44">
        <f>CO2データ!K118</f>
        <v>5.5000000000000003E-4</v>
      </c>
      <c r="I89" s="45" t="s">
        <v>906</v>
      </c>
      <c r="J89" t="str">
        <f>IF(C5=C16,VLOOKUP(C5,C89:F166,4),"N.A.")</f>
        <v>N.A.</v>
      </c>
    </row>
    <row r="90" spans="2:14" hidden="1">
      <c r="C90" s="925" t="s">
        <v>2620</v>
      </c>
      <c r="D90" s="44">
        <f>CO2データ!I119</f>
        <v>3.1599999999999998E-4</v>
      </c>
      <c r="F90" s="44">
        <f>CO2データ!K119</f>
        <v>5.6099999999999998E-4</v>
      </c>
      <c r="I90" s="45" t="s">
        <v>907</v>
      </c>
      <c r="J90" t="e">
        <f>D16-J89</f>
        <v>#N/A</v>
      </c>
    </row>
    <row r="91" spans="2:14" hidden="1">
      <c r="C91" s="925" t="s">
        <v>2642</v>
      </c>
      <c r="D91" s="44">
        <f>CO2データ!I141</f>
        <v>5.3700000000000004E-4</v>
      </c>
      <c r="F91" s="44">
        <f>CO2データ!K141</f>
        <v>5.2400000000000005E-4</v>
      </c>
    </row>
    <row r="92" spans="2:14" hidden="1">
      <c r="C92" s="925" t="s">
        <v>2634</v>
      </c>
      <c r="D92" s="44">
        <f>CO2データ!I133</f>
        <v>4.5399999999999998E-4</v>
      </c>
      <c r="F92" s="44">
        <f>CO2データ!K133</f>
        <v>3.9800000000000002E-4</v>
      </c>
    </row>
    <row r="93" spans="2:14" hidden="1">
      <c r="C93" s="925" t="s">
        <v>2643</v>
      </c>
      <c r="D93" s="44">
        <f>CO2データ!I142</f>
        <v>1.7000000000000001E-4</v>
      </c>
      <c r="F93" s="44">
        <f>CO2データ!K142</f>
        <v>0</v>
      </c>
    </row>
    <row r="94" spans="2:14" hidden="1">
      <c r="C94" s="925" t="s">
        <v>2631</v>
      </c>
      <c r="D94" s="44">
        <f>CO2データ!I130</f>
        <v>4.6200000000000001E-4</v>
      </c>
      <c r="F94" s="44">
        <f>CO2データ!K130</f>
        <v>4.4700000000000002E-4</v>
      </c>
    </row>
    <row r="95" spans="2:14" hidden="1">
      <c r="C95" s="925" t="s">
        <v>2649</v>
      </c>
      <c r="D95" s="44">
        <f>CO2データ!I148</f>
        <v>2.5399999999999999E-4</v>
      </c>
      <c r="F95" s="44">
        <f>CO2データ!K148</f>
        <v>5.6099999999999998E-4</v>
      </c>
    </row>
    <row r="96" spans="2:14" hidden="1">
      <c r="C96" s="925" t="s">
        <v>2628</v>
      </c>
      <c r="D96" s="44">
        <f>CO2データ!I127</f>
        <v>5.1099999999999995E-4</v>
      </c>
      <c r="F96" s="44">
        <f>CO2データ!K127</f>
        <v>4.9399999999999997E-4</v>
      </c>
    </row>
    <row r="97" spans="3:6" hidden="1">
      <c r="C97" s="925" t="s">
        <v>2630</v>
      </c>
      <c r="D97" s="44">
        <f>CO2データ!I129</f>
        <v>1.06E-4</v>
      </c>
      <c r="F97" s="44">
        <f>CO2データ!K129</f>
        <v>7.4399999999999998E-4</v>
      </c>
    </row>
    <row r="98" spans="3:6" hidden="1">
      <c r="C98" s="925" t="s">
        <v>2632</v>
      </c>
      <c r="D98" s="44">
        <f>CO2データ!I131</f>
        <v>4.15E-4</v>
      </c>
      <c r="F98" s="44">
        <f>CO2データ!K131</f>
        <v>5.53E-4</v>
      </c>
    </row>
    <row r="99" spans="3:6" hidden="1">
      <c r="C99" s="925" t="s">
        <v>2633</v>
      </c>
      <c r="D99" s="44">
        <f>CO2データ!I132</f>
        <v>4.5399999999999998E-4</v>
      </c>
      <c r="F99" s="44">
        <f>CO2データ!K132</f>
        <v>4.6200000000000001E-4</v>
      </c>
    </row>
    <row r="100" spans="3:6" hidden="1">
      <c r="C100" s="925" t="s">
        <v>2636</v>
      </c>
      <c r="D100" s="44">
        <f>CO2データ!I135</f>
        <v>4.9200000000000003E-4</v>
      </c>
      <c r="F100" s="44">
        <f>CO2データ!K135</f>
        <v>4.75E-4</v>
      </c>
    </row>
    <row r="101" spans="3:6" hidden="1">
      <c r="C101" s="925" t="s">
        <v>2637</v>
      </c>
      <c r="D101" s="44">
        <f>CO2データ!I136</f>
        <v>4.7199999999999998E-4</v>
      </c>
      <c r="F101" s="44">
        <f>CO2データ!K136</f>
        <v>5.6800000000000004E-4</v>
      </c>
    </row>
    <row r="102" spans="3:6" hidden="1">
      <c r="C102" s="925" t="s">
        <v>2638</v>
      </c>
      <c r="D102" s="44">
        <f>CO2データ!I137</f>
        <v>1.5300000000000001E-4</v>
      </c>
      <c r="F102" s="44">
        <f>CO2データ!K137</f>
        <v>5.9800000000000001E-4</v>
      </c>
    </row>
    <row r="103" spans="3:6" hidden="1">
      <c r="C103" s="925" t="s">
        <v>2640</v>
      </c>
      <c r="D103" s="44">
        <f>CO2データ!I139</f>
        <v>3.7300000000000001E-4</v>
      </c>
      <c r="F103" s="44">
        <f>CO2データ!K139</f>
        <v>3.6000000000000002E-4</v>
      </c>
    </row>
    <row r="104" spans="3:6" hidden="1">
      <c r="C104" s="925" t="s">
        <v>2641</v>
      </c>
      <c r="D104" s="44">
        <f>CO2データ!I140</f>
        <v>9.0000000000000002E-6</v>
      </c>
      <c r="F104" s="44">
        <f>CO2データ!K140</f>
        <v>9.0000000000000002E-6</v>
      </c>
    </row>
    <row r="105" spans="3:6" hidden="1">
      <c r="C105" s="925" t="s">
        <v>2645</v>
      </c>
      <c r="D105" s="44">
        <f>CO2データ!I144</f>
        <v>4.9200000000000003E-4</v>
      </c>
      <c r="F105" s="44">
        <f>CO2データ!K144</f>
        <v>4.7699999999999999E-4</v>
      </c>
    </row>
    <row r="106" spans="3:6" hidden="1">
      <c r="C106" s="925" t="s">
        <v>2646</v>
      </c>
      <c r="D106" s="44">
        <f>CO2データ!I145</f>
        <v>4.95E-4</v>
      </c>
      <c r="F106" s="44">
        <f>CO2データ!K145</f>
        <v>4.7899999999999999E-4</v>
      </c>
    </row>
    <row r="107" spans="3:6" hidden="1">
      <c r="C107" s="925" t="s">
        <v>2647</v>
      </c>
      <c r="D107" s="44">
        <f>CO2データ!I146</f>
        <v>6.02E-4</v>
      </c>
      <c r="F107" s="44">
        <f>CO2データ!K146</f>
        <v>6.0099999999999997E-4</v>
      </c>
    </row>
    <row r="108" spans="3:6" hidden="1">
      <c r="C108" s="925" t="s">
        <v>2650</v>
      </c>
      <c r="D108" s="44">
        <f>CO2データ!I149</f>
        <v>1.9000000000000001E-4</v>
      </c>
      <c r="F108" s="44">
        <f>CO2データ!K149</f>
        <v>6.9899999999999997E-4</v>
      </c>
    </row>
    <row r="109" spans="3:6" hidden="1">
      <c r="C109" s="925" t="s">
        <v>2651</v>
      </c>
      <c r="D109" s="44">
        <f>CO2データ!I150</f>
        <v>5.8100000000000003E-4</v>
      </c>
      <c r="F109" s="44">
        <f>CO2データ!K150</f>
        <v>5.62E-4</v>
      </c>
    </row>
    <row r="110" spans="3:6" hidden="1">
      <c r="C110" s="925" t="s">
        <v>2635</v>
      </c>
      <c r="D110" s="44">
        <f>CO2データ!I134</f>
        <v>5.4100000000000003E-4</v>
      </c>
      <c r="F110" s="44">
        <f>CO2データ!K134</f>
        <v>5.2800000000000004E-4</v>
      </c>
    </row>
    <row r="111" spans="3:6" hidden="1">
      <c r="C111" s="925" t="s">
        <v>2629</v>
      </c>
      <c r="D111" s="44">
        <f>CO2データ!I128</f>
        <v>4.3999999999999999E-5</v>
      </c>
      <c r="F111" s="44">
        <f>CO2データ!K128</f>
        <v>4.1999999999999998E-5</v>
      </c>
    </row>
    <row r="112" spans="3:6" hidden="1">
      <c r="C112" s="925" t="s">
        <v>2644</v>
      </c>
      <c r="D112" s="44">
        <f>CO2データ!I143</f>
        <v>4.8700000000000002E-4</v>
      </c>
      <c r="F112" s="44">
        <f>CO2データ!K143</f>
        <v>7.2800000000000002E-4</v>
      </c>
    </row>
    <row r="113" spans="3:6" hidden="1">
      <c r="C113" s="925" t="s">
        <v>2648</v>
      </c>
      <c r="D113" s="44">
        <f>CO2データ!I147</f>
        <v>6.0999999999999997E-4</v>
      </c>
      <c r="F113" s="44">
        <f>CO2データ!K147</f>
        <v>6.96E-4</v>
      </c>
    </row>
    <row r="114" spans="3:6" hidden="1">
      <c r="C114" s="925" t="s">
        <v>2639</v>
      </c>
      <c r="D114" s="44">
        <f>CO2データ!I138</f>
        <v>3.48E-4</v>
      </c>
      <c r="F114" s="44">
        <f>CO2データ!K138</f>
        <v>4.6799999999999999E-4</v>
      </c>
    </row>
    <row r="115" spans="3:6" hidden="1">
      <c r="C115" s="925" t="s">
        <v>2655</v>
      </c>
      <c r="D115" s="44">
        <f>CO2データ!I154</f>
        <v>5.53E-4</v>
      </c>
      <c r="F115" s="44">
        <f>CO2データ!K154</f>
        <v>5.3399999999999997E-4</v>
      </c>
    </row>
    <row r="116" spans="3:6" hidden="1">
      <c r="C116" s="925" t="s">
        <v>2654</v>
      </c>
      <c r="D116" s="44">
        <f>CO2データ!I153</f>
        <v>3.2499999999999999E-4</v>
      </c>
      <c r="F116" s="44">
        <f>CO2データ!K153</f>
        <v>3.0600000000000001E-4</v>
      </c>
    </row>
    <row r="117" spans="3:6" hidden="1">
      <c r="C117" s="925" t="s">
        <v>2623</v>
      </c>
      <c r="D117" s="44">
        <f>CO2データ!I122</f>
        <v>2.5900000000000001E-4</v>
      </c>
      <c r="F117" s="44">
        <f>CO2データ!K122</f>
        <v>3.4200000000000002E-4</v>
      </c>
    </row>
    <row r="118" spans="3:6" hidden="1">
      <c r="C118" s="925" t="s">
        <v>2616</v>
      </c>
      <c r="D118" s="44">
        <f>CO2データ!I115</f>
        <v>4.0999999999999999E-4</v>
      </c>
      <c r="F118" s="44">
        <f>CO2データ!K115</f>
        <v>3.3700000000000001E-4</v>
      </c>
    </row>
    <row r="119" spans="3:6" hidden="1">
      <c r="C119" s="925" t="s">
        <v>2617</v>
      </c>
      <c r="D119" s="44">
        <f>CO2データ!I116</f>
        <v>1.9000000000000001E-4</v>
      </c>
      <c r="F119" s="44">
        <f>CO2データ!K116</f>
        <v>1.83E-4</v>
      </c>
    </row>
    <row r="120" spans="3:6" hidden="1">
      <c r="C120" s="925" t="s">
        <v>2618</v>
      </c>
      <c r="D120" s="44">
        <f>CO2データ!I117</f>
        <v>6.6200000000000005E-4</v>
      </c>
      <c r="F120" s="44">
        <f>CO2データ!K117</f>
        <v>4.6900000000000002E-4</v>
      </c>
    </row>
    <row r="121" spans="3:6" hidden="1">
      <c r="C121" s="925" t="s">
        <v>2624</v>
      </c>
      <c r="D121" s="44">
        <f>CO2データ!I123</f>
        <v>6.3400000000000001E-4</v>
      </c>
      <c r="F121" s="44">
        <f>CO2データ!K123</f>
        <v>2.0599999999999999E-4</v>
      </c>
    </row>
    <row r="122" spans="3:6" hidden="1">
      <c r="C122" s="925" t="s">
        <v>2627</v>
      </c>
      <c r="D122" s="44">
        <f>CO2データ!I126</f>
        <v>4.9799999999999996E-4</v>
      </c>
      <c r="F122" s="44">
        <f>CO2データ!K126</f>
        <v>3.9300000000000001E-4</v>
      </c>
    </row>
    <row r="123" spans="3:6" hidden="1">
      <c r="C123" s="925" t="s">
        <v>2653</v>
      </c>
      <c r="D123" s="44">
        <f>CO2データ!I152</f>
        <v>4.1300000000000001E-4</v>
      </c>
      <c r="F123" s="44">
        <f>CO2データ!K152</f>
        <v>5.0299999999999997E-4</v>
      </c>
    </row>
    <row r="124" spans="3:6" hidden="1">
      <c r="C124" s="925" t="s">
        <v>2657</v>
      </c>
      <c r="D124" s="44">
        <f>CO2データ!I156</f>
        <v>4.1599999999999997E-4</v>
      </c>
      <c r="F124" s="44">
        <f>CO2データ!K156</f>
        <v>5.6300000000000002E-4</v>
      </c>
    </row>
    <row r="125" spans="3:6" hidden="1">
      <c r="C125" s="925" t="s">
        <v>2664</v>
      </c>
      <c r="D125" s="44">
        <f>CO2データ!I163</f>
        <v>3.39E-4</v>
      </c>
      <c r="F125" s="44">
        <f>CO2データ!K163</f>
        <v>3.2299999999999999E-4</v>
      </c>
    </row>
    <row r="126" spans="3:6" hidden="1">
      <c r="C126" s="925" t="s">
        <v>2667</v>
      </c>
      <c r="D126" s="44">
        <f>CO2データ!I166</f>
        <v>5.9900000000000003E-4</v>
      </c>
      <c r="F126" s="44">
        <f>CO2データ!K166</f>
        <v>9.2500000000000004E-4</v>
      </c>
    </row>
    <row r="127" spans="3:6" hidden="1">
      <c r="C127" s="925" t="s">
        <v>2668</v>
      </c>
      <c r="D127" s="44">
        <f>CO2データ!I167</f>
        <v>4.8700000000000002E-4</v>
      </c>
      <c r="F127" s="44">
        <f>CO2データ!K167</f>
        <v>3.2699999999999998E-4</v>
      </c>
    </row>
    <row r="128" spans="3:6" hidden="1">
      <c r="C128" s="925" t="s">
        <v>2670</v>
      </c>
      <c r="D128" s="44">
        <f>CO2データ!I169</f>
        <v>5.3899999999999998E-4</v>
      </c>
      <c r="F128" s="44">
        <f>CO2データ!K169</f>
        <v>5.2099999999999998E-4</v>
      </c>
    </row>
    <row r="129" spans="3:6" hidden="1">
      <c r="C129" s="925" t="s">
        <v>2674</v>
      </c>
      <c r="D129" s="44">
        <f>CO2データ!I174</f>
        <v>6.2200000000000005E-4</v>
      </c>
      <c r="F129" s="44">
        <f>CO2データ!K174</f>
        <v>6.11E-4</v>
      </c>
    </row>
    <row r="130" spans="3:6" hidden="1">
      <c r="C130" s="925" t="s">
        <v>2675</v>
      </c>
      <c r="D130" s="44">
        <f>CO2データ!I175</f>
        <v>1.1E-5</v>
      </c>
      <c r="F130" s="44">
        <f>CO2データ!K175</f>
        <v>2.6499999999999999E-4</v>
      </c>
    </row>
    <row r="131" spans="3:6" hidden="1">
      <c r="C131" s="925" t="s">
        <v>2678</v>
      </c>
      <c r="D131" s="44">
        <f>CO2データ!I178</f>
        <v>3.1100000000000002E-4</v>
      </c>
      <c r="F131" s="44">
        <f>CO2データ!K178</f>
        <v>3.01E-4</v>
      </c>
    </row>
    <row r="132" spans="3:6" hidden="1">
      <c r="C132" s="925" t="s">
        <v>2680</v>
      </c>
      <c r="D132" s="44">
        <f>CO2データ!I180</f>
        <v>4.66E-4</v>
      </c>
      <c r="F132" s="44">
        <f>CO2データ!K180</f>
        <v>4.9799999999999996E-4</v>
      </c>
    </row>
    <row r="133" spans="3:6" hidden="1">
      <c r="C133" s="925" t="s">
        <v>2681</v>
      </c>
      <c r="D133" s="44">
        <f>CO2データ!I181</f>
        <v>5.8200000000000005E-4</v>
      </c>
      <c r="F133" s="44">
        <f>CO2データ!K181</f>
        <v>0</v>
      </c>
    </row>
    <row r="134" spans="3:6" hidden="1">
      <c r="C134" s="925" t="s">
        <v>2682</v>
      </c>
      <c r="D134" s="44">
        <f>CO2データ!I182</f>
        <v>4.5399999999999998E-4</v>
      </c>
      <c r="F134" s="44">
        <f>CO2データ!K182</f>
        <v>4.3899999999999999E-4</v>
      </c>
    </row>
    <row r="135" spans="3:6" hidden="1">
      <c r="C135" s="925" t="s">
        <v>2622</v>
      </c>
      <c r="D135" s="44">
        <f>CO2データ!I121</f>
        <v>5.6800000000000004E-4</v>
      </c>
      <c r="F135" s="44">
        <f>CO2データ!K121</f>
        <v>2.9399999999999999E-4</v>
      </c>
    </row>
    <row r="136" spans="3:6" hidden="1">
      <c r="C136" s="925" t="s">
        <v>2625</v>
      </c>
      <c r="D136" s="44">
        <f>CO2データ!I124</f>
        <v>2.6600000000000001E-4</v>
      </c>
      <c r="F136" s="44">
        <f>CO2データ!K124</f>
        <v>6.2399999999999999E-4</v>
      </c>
    </row>
    <row r="137" spans="3:6" hidden="1">
      <c r="C137" s="925" t="s">
        <v>2626</v>
      </c>
      <c r="D137" s="44">
        <f>CO2データ!I125</f>
        <v>4.3800000000000002E-4</v>
      </c>
      <c r="F137" s="44">
        <f>CO2データ!K125</f>
        <v>4.1899999999999999E-4</v>
      </c>
    </row>
    <row r="138" spans="3:6" hidden="1">
      <c r="C138" s="925" t="s">
        <v>2615</v>
      </c>
      <c r="D138" s="44">
        <f>CO2データ!I114</f>
        <v>8.1599999999999999E-4</v>
      </c>
      <c r="F138" s="44">
        <f>CO2データ!K114</f>
        <v>8.1599999999999999E-4</v>
      </c>
    </row>
    <row r="139" spans="3:6" hidden="1">
      <c r="C139" s="925" t="s">
        <v>2611</v>
      </c>
      <c r="D139" s="44">
        <f>CO2データ!I110</f>
        <v>5.31E-4</v>
      </c>
      <c r="F139" s="44">
        <f>CO2データ!K110</f>
        <v>5.2300000000000003E-4</v>
      </c>
    </row>
    <row r="140" spans="3:6" hidden="1">
      <c r="C140" s="925" t="s">
        <v>2677</v>
      </c>
      <c r="D140" s="44">
        <f>CO2データ!I177</f>
        <v>4.8200000000000001E-4</v>
      </c>
      <c r="F140" s="44">
        <f>CO2データ!K177</f>
        <v>4.8700000000000002E-4</v>
      </c>
    </row>
    <row r="141" spans="3:6" hidden="1">
      <c r="C141" s="925" t="s">
        <v>2652</v>
      </c>
      <c r="D141" s="44">
        <f>CO2データ!I151</f>
        <v>4.9399999999999997E-4</v>
      </c>
      <c r="F141" s="44">
        <f>CO2データ!K151</f>
        <v>4.7800000000000002E-4</v>
      </c>
    </row>
    <row r="142" spans="3:6" hidden="1">
      <c r="C142" s="925" t="s">
        <v>2614</v>
      </c>
      <c r="D142" s="44">
        <f>CO2データ!I113</f>
        <v>5.8399999999999999E-4</v>
      </c>
      <c r="F142" s="44">
        <f>CO2データ!K113</f>
        <v>5.9800000000000001E-4</v>
      </c>
    </row>
    <row r="143" spans="3:6" hidden="1">
      <c r="C143" s="925" t="s">
        <v>2679</v>
      </c>
      <c r="D143" s="44">
        <f>CO2データ!I179</f>
        <v>0</v>
      </c>
      <c r="F143" s="44">
        <f>CO2データ!K179</f>
        <v>0</v>
      </c>
    </row>
    <row r="144" spans="3:6" hidden="1">
      <c r="C144" s="925" t="s">
        <v>2613</v>
      </c>
      <c r="D144" s="44">
        <f>CO2データ!I112</f>
        <v>6.7599999999999995E-4</v>
      </c>
      <c r="F144" s="44">
        <f>CO2データ!K112</f>
        <v>6.8800000000000003E-4</v>
      </c>
    </row>
    <row r="145" spans="3:6" hidden="1">
      <c r="C145" s="925" t="s">
        <v>2656</v>
      </c>
      <c r="D145" s="44">
        <f>CO2データ!I155</f>
        <v>3.6000000000000001E-5</v>
      </c>
      <c r="F145" s="44">
        <f>CO2データ!K155</f>
        <v>5.7600000000000001E-4</v>
      </c>
    </row>
    <row r="146" spans="3:6" hidden="1">
      <c r="C146" s="925" t="s">
        <v>2621</v>
      </c>
      <c r="D146" s="44">
        <f>CO2データ!I120</f>
        <v>2.5300000000000002E-4</v>
      </c>
      <c r="F146" s="44">
        <f>CO2データ!K120</f>
        <v>7.3899999999999997E-4</v>
      </c>
    </row>
    <row r="147" spans="3:6" hidden="1">
      <c r="C147" s="925" t="s">
        <v>2658</v>
      </c>
      <c r="D147" s="44">
        <f>CO2データ!I157</f>
        <v>3.7199999999999999E-4</v>
      </c>
      <c r="F147" s="44">
        <f>CO2データ!K157</f>
        <v>3.5300000000000002E-4</v>
      </c>
    </row>
    <row r="148" spans="3:6" hidden="1">
      <c r="C148" s="925" t="s">
        <v>2659</v>
      </c>
      <c r="D148" s="44">
        <f>CO2データ!I158</f>
        <v>5.5999999999999995E-4</v>
      </c>
      <c r="F148" s="44">
        <f>CO2データ!K158</f>
        <v>5.6999999999999998E-4</v>
      </c>
    </row>
    <row r="149" spans="3:6" hidden="1">
      <c r="C149" s="925" t="s">
        <v>2661</v>
      </c>
      <c r="D149" s="44">
        <f>CO2データ!I160</f>
        <v>3.2899999999999997E-4</v>
      </c>
      <c r="F149" s="44">
        <f>CO2データ!K160</f>
        <v>3.1E-4</v>
      </c>
    </row>
    <row r="150" spans="3:6" hidden="1">
      <c r="C150" s="925" t="s">
        <v>2662</v>
      </c>
      <c r="D150" s="44">
        <f>CO2データ!I161</f>
        <v>6.3599999999999996E-4</v>
      </c>
      <c r="F150" s="44">
        <f>CO2データ!K161</f>
        <v>6.1499999999999999E-4</v>
      </c>
    </row>
    <row r="151" spans="3:6" hidden="1">
      <c r="C151" s="925" t="s">
        <v>2663</v>
      </c>
      <c r="D151" s="44">
        <f>CO2データ!I162</f>
        <v>5.6599999999999999E-4</v>
      </c>
      <c r="F151" s="44">
        <f>CO2データ!K162</f>
        <v>5.4699999999999996E-4</v>
      </c>
    </row>
    <row r="152" spans="3:6" hidden="1">
      <c r="C152" s="925" t="s">
        <v>2665</v>
      </c>
      <c r="D152" s="44">
        <f>CO2データ!I164</f>
        <v>5.1900000000000004E-4</v>
      </c>
      <c r="F152" s="44">
        <f>CO2データ!K164</f>
        <v>5.0100000000000003E-4</v>
      </c>
    </row>
    <row r="153" spans="3:6" hidden="1">
      <c r="C153" s="925" t="s">
        <v>2666</v>
      </c>
      <c r="D153" s="44">
        <f>CO2データ!I165</f>
        <v>5.5999999999999995E-4</v>
      </c>
      <c r="F153" s="44">
        <f>CO2データ!K165</f>
        <v>5.4100000000000003E-4</v>
      </c>
    </row>
    <row r="154" spans="3:6" hidden="1">
      <c r="C154" s="925" t="s">
        <v>2612</v>
      </c>
      <c r="D154" s="44">
        <f>CO2データ!I111</f>
        <v>7.0600000000000003E-4</v>
      </c>
      <c r="F154" s="44">
        <f>CO2データ!K111</f>
        <v>7.0899999999999999E-4</v>
      </c>
    </row>
    <row r="155" spans="3:6" hidden="1">
      <c r="C155" s="925" t="s">
        <v>2609</v>
      </c>
      <c r="D155" s="44">
        <f>CO2データ!I108</f>
        <v>4.9700000000000005E-4</v>
      </c>
      <c r="F155" s="44">
        <f>CO2データ!K108</f>
        <v>4.9399999999999997E-4</v>
      </c>
    </row>
    <row r="156" spans="3:6" hidden="1">
      <c r="C156" s="925" t="s">
        <v>2669</v>
      </c>
      <c r="D156" s="44">
        <f>CO2データ!I168</f>
        <v>7.1000000000000005E-5</v>
      </c>
      <c r="F156" s="44">
        <f>CO2データ!K168</f>
        <v>1.4899999999999999E-4</v>
      </c>
    </row>
    <row r="157" spans="3:6" hidden="1">
      <c r="C157" s="925" t="s">
        <v>2608</v>
      </c>
      <c r="D157" s="44">
        <f>CO2データ!I107</f>
        <v>5.0500000000000002E-4</v>
      </c>
      <c r="F157" s="44">
        <f>CO2データ!K107</f>
        <v>4.9600000000000002E-4</v>
      </c>
    </row>
    <row r="158" spans="3:6" hidden="1">
      <c r="C158" s="925" t="s">
        <v>2607</v>
      </c>
      <c r="D158" s="44">
        <f>CO2データ!I106</f>
        <v>5.71E-4</v>
      </c>
      <c r="F158" s="44">
        <f>CO2データ!K106</f>
        <v>5.7300000000000005E-4</v>
      </c>
    </row>
    <row r="159" spans="3:6" hidden="1">
      <c r="C159" s="925" t="s">
        <v>2671</v>
      </c>
      <c r="D159" s="44">
        <f>CO2データ!I170</f>
        <v>3.6499999999999998E-4</v>
      </c>
      <c r="F159" s="44">
        <f>CO2データ!K170</f>
        <v>4.0999999999999999E-4</v>
      </c>
    </row>
    <row r="160" spans="3:6" hidden="1">
      <c r="C160" s="925" t="s">
        <v>2672</v>
      </c>
      <c r="D160" s="44">
        <f>CO2データ!I171</f>
        <v>0</v>
      </c>
      <c r="F160" s="44">
        <f>CO2データ!K171</f>
        <v>1.4790000000000001E-3</v>
      </c>
    </row>
    <row r="161" spans="3:6" hidden="1">
      <c r="C161" s="925" t="s">
        <v>2673</v>
      </c>
      <c r="D161" s="44">
        <f>CO2データ!I172</f>
        <v>5.3200000000000003E-4</v>
      </c>
      <c r="F161" s="44">
        <f>CO2データ!K172</f>
        <v>5.8799999999999998E-4</v>
      </c>
    </row>
    <row r="162" spans="3:6" hidden="1">
      <c r="C162" s="925" t="s">
        <v>1556</v>
      </c>
      <c r="D162" s="44">
        <f>CO2データ!I173</f>
        <v>3.86E-4</v>
      </c>
      <c r="F162" s="44">
        <f>CO2データ!K173</f>
        <v>5.5199999999999997E-4</v>
      </c>
    </row>
    <row r="163" spans="3:6" hidden="1">
      <c r="C163" s="925" t="s">
        <v>2685</v>
      </c>
      <c r="D163" s="44">
        <f>CO2データ!I105</f>
        <v>6.8300000000000001E-4</v>
      </c>
      <c r="F163" s="44">
        <f>CO2データ!K105</f>
        <v>6.8800000000000003E-4</v>
      </c>
    </row>
    <row r="164" spans="3:6" hidden="1">
      <c r="C164" s="925" t="s">
        <v>2610</v>
      </c>
      <c r="D164" s="44">
        <f>CO2データ!I109</f>
        <v>6.4700000000000001E-4</v>
      </c>
      <c r="F164" s="44">
        <f>CO2データ!K109</f>
        <v>6.4000000000000005E-4</v>
      </c>
    </row>
    <row r="165" spans="3:6" hidden="1">
      <c r="C165" s="925" t="s">
        <v>2676</v>
      </c>
      <c r="D165" s="44">
        <f>CO2データ!I176</f>
        <v>5.8E-4</v>
      </c>
      <c r="F165" s="44">
        <f>CO2データ!K176</f>
        <v>5.5999999999999995E-4</v>
      </c>
    </row>
    <row r="166" spans="3:6" hidden="1">
      <c r="C166" s="925" t="s">
        <v>2660</v>
      </c>
      <c r="D166" s="44">
        <f>CO2データ!I159</f>
        <v>4.8799999999999999E-4</v>
      </c>
      <c r="F166" s="44">
        <f>CO2データ!K159</f>
        <v>3.48E-4</v>
      </c>
    </row>
    <row r="167" spans="3:6" hidden="1">
      <c r="C167" s="925"/>
      <c r="F167" s="44"/>
    </row>
    <row r="168" spans="3:6" hidden="1">
      <c r="C168" s="925"/>
      <c r="F168" s="44"/>
    </row>
    <row r="169" spans="3:6" hidden="1">
      <c r="C169" s="925"/>
      <c r="F169" s="44"/>
    </row>
    <row r="170" spans="3:6" hidden="1">
      <c r="C170" s="925"/>
      <c r="F170" s="44"/>
    </row>
    <row r="171" spans="3:6" hidden="1">
      <c r="C171" s="925"/>
      <c r="F171" s="44"/>
    </row>
    <row r="172" spans="3:6" hidden="1">
      <c r="C172" s="925"/>
      <c r="F172" s="44"/>
    </row>
    <row r="173" spans="3:6" hidden="1">
      <c r="C173" s="925"/>
      <c r="F173" s="44"/>
    </row>
    <row r="174" spans="3:6" hidden="1">
      <c r="C174" s="925"/>
      <c r="F174" s="44"/>
    </row>
    <row r="175" spans="3:6" hidden="1">
      <c r="C175" s="925"/>
      <c r="F175" s="44"/>
    </row>
  </sheetData>
  <sheetProtection algorithmName="SHA-512" hashValue="bLJUm/Ylq7SXTskSHCHst3C27o3dQZhZyzb742bl15/gyG/e6JcOFK9jE4vDVIFWvtwmDyzFQzEGtl1JKAq4eg==" saltValue="T+DuUHwLM7nEVcuqxgFnGA==" spinCount="100000" sheet="1" objects="1" scenarios="1"/>
  <sortState xmlns:xlrd2="http://schemas.microsoft.com/office/spreadsheetml/2017/richdata2" ref="C50:F127">
    <sortCondition ref="C50:C127"/>
  </sortState>
  <mergeCells count="1">
    <mergeCell ref="C13:E14"/>
  </mergeCells>
  <phoneticPr fontId="22"/>
  <conditionalFormatting sqref="C16">
    <cfRule type="expression" dxfId="120" priority="1" stopIfTrue="1">
      <formula>$Q$3=2</formula>
    </cfRule>
  </conditionalFormatting>
  <conditionalFormatting sqref="C10:D10">
    <cfRule type="expression" dxfId="119" priority="2" stopIfTrue="1">
      <formula>$Q$3=1</formula>
    </cfRule>
  </conditionalFormatting>
  <conditionalFormatting sqref="C20:D20">
    <cfRule type="expression" dxfId="118" priority="3" stopIfTrue="1">
      <formula>$Q$3=3</formula>
    </cfRule>
  </conditionalFormatting>
  <conditionalFormatting sqref="C28:D28">
    <cfRule type="expression" dxfId="117" priority="4" stopIfTrue="1">
      <formula>$Q$3=5</formula>
    </cfRule>
  </conditionalFormatting>
  <dataValidations count="1">
    <dataValidation type="list" allowBlank="1" showInputMessage="1" showErrorMessage="1" sqref="C16" xr:uid="{00000000-0002-0000-0500-000000000000}">
      <formula1>$I$5:$I$82</formula1>
    </dataValidation>
  </dataValidations>
  <pageMargins left="0.75" right="0.75" top="1" bottom="1" header="0.51200000000000001" footer="0.51200000000000001"/>
  <pageSetup paperSize="9" scale="53" orientation="portrait" verticalDpi="360" r:id="rId1"/>
  <headerFooter alignWithMargins="0">
    <oddHeader>&amp;L&amp;F&amp;R&amp;A</oddHeader>
    <oddFooter>&amp;C&amp;P/&amp;N</oddFooter>
  </headerFooter>
  <drawing r:id="rId2"/>
  <legacyDrawing r:id="rId3"/>
  <mc:AlternateContent xmlns:mc="http://schemas.openxmlformats.org/markup-compatibility/2006">
    <mc:Choice Requires="x14"/>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autoPageBreaks="0"/>
  </sheetPr>
  <dimension ref="B1:FL234"/>
  <sheetViews>
    <sheetView showGridLines="0" workbookViewId="0">
      <selection activeCell="W35" sqref="W35"/>
    </sheetView>
  </sheetViews>
  <sheetFormatPr defaultColWidth="9" defaultRowHeight="13.5" zeroHeight="1"/>
  <cols>
    <col min="1" max="1" width="1.25" customWidth="1"/>
    <col min="2" max="2" width="7.25" style="1132" hidden="1" customWidth="1"/>
    <col min="3" max="3" width="37" style="1133" hidden="1" customWidth="1"/>
    <col min="4" max="4" width="8.875" style="1134" hidden="1" customWidth="1"/>
    <col min="5" max="5" width="8.875" style="1135" hidden="1" customWidth="1"/>
    <col min="6" max="6" width="1.625" hidden="1" customWidth="1"/>
    <col min="7" max="13" width="7.875" style="1135" hidden="1" customWidth="1"/>
    <col min="14" max="14" width="8.875" style="1135" hidden="1" customWidth="1"/>
    <col min="15" max="15" width="7.375" hidden="1" customWidth="1"/>
    <col min="16" max="18" width="7.375" customWidth="1"/>
    <col min="19" max="19" width="31" customWidth="1"/>
    <col min="20" max="20" width="20" hidden="1" customWidth="1"/>
    <col min="21" max="21" width="1.75" customWidth="1"/>
    <col min="22" max="22" width="10.375" customWidth="1"/>
    <col min="23" max="23" width="10.25" bestFit="1" customWidth="1"/>
    <col min="24" max="24" width="7.375" hidden="1" customWidth="1"/>
    <col min="25" max="25" width="7.25" hidden="1" customWidth="1"/>
    <col min="26" max="26" width="5.25" hidden="1" customWidth="1"/>
    <col min="27" max="29" width="7.25" hidden="1" customWidth="1"/>
    <col min="30" max="30" width="5.25" hidden="1" customWidth="1"/>
    <col min="31" max="31" width="7.25" hidden="1" customWidth="1"/>
    <col min="32" max="32" width="5.25" hidden="1" customWidth="1"/>
    <col min="33" max="33" width="6.875" hidden="1" customWidth="1"/>
    <col min="34" max="34" width="9.25" hidden="1" customWidth="1"/>
    <col min="35" max="35" width="6.25" hidden="1" customWidth="1"/>
    <col min="36" max="36" width="7.875" hidden="1" customWidth="1"/>
    <col min="37" max="37" width="10.25" hidden="1" customWidth="1"/>
    <col min="38" max="38" width="3.375" customWidth="1"/>
    <col min="39" max="51" width="8.375" customWidth="1"/>
    <col min="52" max="53" width="7.375" hidden="1" customWidth="1"/>
    <col min="54" max="54" width="8.875" hidden="1" customWidth="1"/>
    <col min="55" max="55" width="8.375" hidden="1" customWidth="1"/>
    <col min="56" max="56" width="14.125" style="1138" hidden="1" customWidth="1"/>
    <col min="57" max="57" width="4.75" style="1138" hidden="1" customWidth="1"/>
    <col min="58" max="60" width="6.375" style="1138" hidden="1" customWidth="1"/>
    <col min="61" max="61" width="5" style="1138" hidden="1" customWidth="1"/>
    <col min="62" max="62" width="6.375" style="1138" hidden="1" customWidth="1"/>
    <col min="63" max="63" width="4.75" style="1138" hidden="1" customWidth="1"/>
    <col min="64" max="64" width="6.125" style="1138" hidden="1" customWidth="1"/>
    <col min="65" max="65" width="6" style="1138" hidden="1" customWidth="1"/>
    <col min="66" max="66" width="2.5" customWidth="1"/>
    <col min="67" max="67" width="6" style="1136" customWidth="1"/>
    <col min="68" max="68" width="7.875" style="1136" hidden="1" customWidth="1"/>
    <col min="69" max="69" width="37.25" style="1137" customWidth="1"/>
    <col min="70" max="81" width="6.625" style="1138" customWidth="1"/>
    <col min="82" max="82" width="8.875" style="1138" customWidth="1"/>
    <col min="83" max="83" width="4.125" customWidth="1"/>
    <col min="84" max="84" width="10.5" style="44" customWidth="1"/>
    <col min="85" max="85" width="6.875" style="44" customWidth="1"/>
    <col min="86" max="86" width="40.625" style="1139" customWidth="1"/>
    <col min="87" max="87" width="6.375" style="44" customWidth="1"/>
    <col min="88" max="88" width="5.625" style="44" customWidth="1"/>
    <col min="89" max="91" width="6.375" style="44" customWidth="1"/>
    <col min="92" max="92" width="6" style="44" customWidth="1"/>
    <col min="93" max="93" width="6.375" style="44" customWidth="1"/>
    <col min="94" max="94" width="5.625" style="44" customWidth="1"/>
    <col min="95" max="95" width="6.125" style="44" customWidth="1"/>
    <col min="96" max="96" width="8" style="44" customWidth="1"/>
    <col min="97" max="97" width="5.625" style="44" customWidth="1"/>
    <col min="98" max="98" width="7" style="44" customWidth="1"/>
    <col min="99" max="99" width="8.875" style="44" customWidth="1"/>
    <col min="100" max="100" width="1.375" customWidth="1"/>
    <col min="101" max="101" width="15.75" style="44" customWidth="1"/>
    <col min="102" max="102" width="6.875" style="44" customWidth="1"/>
    <col min="103" max="103" width="40.625" style="1139" customWidth="1"/>
    <col min="104" max="104" width="6.375" style="44" customWidth="1"/>
    <col min="105" max="105" width="5" style="44" customWidth="1"/>
    <col min="106" max="108" width="6.375" style="44" customWidth="1"/>
    <col min="109" max="109" width="6" style="44" customWidth="1"/>
    <col min="110" max="110" width="6.375" style="44" customWidth="1"/>
    <col min="111" max="111" width="5" style="44" customWidth="1"/>
    <col min="112" max="112" width="6.125" style="44" customWidth="1"/>
    <col min="113" max="113" width="8" style="44" customWidth="1"/>
    <col min="114" max="114" width="5.625" style="44" customWidth="1"/>
    <col min="115" max="115" width="7" style="44" customWidth="1"/>
    <col min="116" max="116" width="8.875" style="44" customWidth="1"/>
    <col min="117" max="117" width="1.375" customWidth="1"/>
    <col min="118" max="118" width="22.875" style="44" customWidth="1"/>
    <col min="119" max="119" width="6.875" style="44" customWidth="1"/>
    <col min="120" max="120" width="40.625" style="1139" customWidth="1"/>
    <col min="121" max="121" width="6.375" style="44" customWidth="1"/>
    <col min="122" max="122" width="5.625" style="44" customWidth="1"/>
    <col min="123" max="125" width="6.375" style="44" customWidth="1"/>
    <col min="126" max="126" width="6" style="44" customWidth="1"/>
    <col min="127" max="127" width="6.375" style="44" customWidth="1"/>
    <col min="128" max="128" width="5.625" style="44" customWidth="1"/>
    <col min="129" max="129" width="6.125" style="44" customWidth="1"/>
    <col min="130" max="130" width="8" style="44" customWidth="1"/>
    <col min="131" max="131" width="5.625" style="44" customWidth="1"/>
    <col min="132" max="132" width="7" style="44" customWidth="1"/>
    <col min="133" max="133" width="8.875" style="44" customWidth="1"/>
    <col min="134" max="134" width="1.875" style="44" customWidth="1"/>
    <col min="135" max="135" width="4.5" customWidth="1"/>
    <col min="136" max="136" width="15.75" style="44" customWidth="1"/>
    <col min="137" max="137" width="6.875" style="44" customWidth="1"/>
    <col min="138" max="138" width="40.625" style="44" customWidth="1"/>
    <col min="139" max="139" width="6.375" style="44" customWidth="1"/>
    <col min="140" max="140" width="5" style="44" customWidth="1"/>
    <col min="141" max="143" width="6.375" style="44" customWidth="1"/>
    <col min="144" max="144" width="5" style="44" customWidth="1"/>
    <col min="145" max="145" width="6.375" style="44" customWidth="1"/>
    <col min="146" max="146" width="5" style="44" customWidth="1"/>
    <col min="147" max="147" width="6.125" style="44" customWidth="1"/>
    <col min="148" max="148" width="8" style="44" customWidth="1"/>
    <col min="149" max="149" width="5.625" style="44" customWidth="1"/>
    <col min="150" max="150" width="7" style="44" customWidth="1"/>
    <col min="151" max="151" width="8.875" style="44" customWidth="1"/>
    <col min="152" max="152" width="7.125" customWidth="1"/>
    <col min="153" max="153" width="20.625" customWidth="1"/>
    <col min="154" max="154" width="6.875" customWidth="1"/>
    <col min="155" max="155" width="32.875" customWidth="1"/>
    <col min="156" max="156" width="6.375" customWidth="1"/>
    <col min="157" max="157" width="4.75" customWidth="1"/>
    <col min="158" max="160" width="6.375" customWidth="1"/>
    <col min="161" max="161" width="4.75" customWidth="1"/>
    <col min="162" max="162" width="6.375" customWidth="1"/>
    <col min="163" max="163" width="4.75" customWidth="1"/>
    <col min="164" max="164" width="6.125" customWidth="1"/>
    <col min="165" max="165" width="8" customWidth="1"/>
    <col min="166" max="166" width="5.625" customWidth="1"/>
    <col min="167" max="167" width="7" customWidth="1"/>
    <col min="168" max="170" width="8.875" customWidth="1"/>
  </cols>
  <sheetData>
    <row r="1" spans="2:168" ht="14.25" thickBot="1">
      <c r="D1" s="2007"/>
      <c r="E1" s="2006"/>
      <c r="G1" s="2006"/>
      <c r="H1" s="2006"/>
      <c r="I1" s="2006"/>
      <c r="J1" s="2006"/>
      <c r="K1" s="2006"/>
      <c r="L1" s="2006"/>
      <c r="M1" s="2006"/>
      <c r="N1" s="2006"/>
      <c r="BO1" s="2005"/>
      <c r="BP1" s="2005"/>
    </row>
    <row r="2" spans="2:168" ht="18" thickBot="1">
      <c r="B2" s="2367" t="s">
        <v>984</v>
      </c>
      <c r="D2" s="2366"/>
      <c r="E2" s="2365"/>
      <c r="G2" s="2365"/>
      <c r="H2" s="2365"/>
      <c r="I2" s="2006"/>
      <c r="J2" s="2006"/>
      <c r="K2" s="2365"/>
      <c r="L2" s="2365"/>
      <c r="M2" s="2365"/>
      <c r="N2" s="2365"/>
      <c r="P2" s="2379" t="str">
        <f>メイン!C6</f>
        <v>CASBEE-建築(新築)2016年版</v>
      </c>
      <c r="Q2" s="471"/>
      <c r="R2" s="472"/>
      <c r="S2" s="2378"/>
      <c r="T2" s="473"/>
      <c r="U2" s="2373"/>
      <c r="AM2" s="2377" t="s">
        <v>3359</v>
      </c>
      <c r="BA2" s="2376" t="s">
        <v>3358</v>
      </c>
      <c r="BE2" s="2361"/>
      <c r="BF2" s="2361"/>
      <c r="BG2" s="2361"/>
      <c r="BH2" s="2361"/>
      <c r="BI2" s="2361"/>
      <c r="BJ2" s="2361"/>
      <c r="BK2" s="2361"/>
      <c r="BL2" s="2361"/>
      <c r="BM2" s="2361"/>
      <c r="BO2" s="2375" t="s">
        <v>985</v>
      </c>
      <c r="BP2" s="2374"/>
      <c r="BQ2" s="1147"/>
      <c r="BR2" s="1148"/>
      <c r="BS2" s="2361"/>
      <c r="BT2" s="2361"/>
      <c r="BU2" s="2361"/>
      <c r="BV2" s="2361"/>
      <c r="BW2" s="2361"/>
      <c r="BX2" s="2361"/>
      <c r="BY2" s="2361"/>
      <c r="BZ2" s="2361"/>
      <c r="CA2" s="2361"/>
      <c r="CB2" s="2361"/>
      <c r="CC2" s="2361"/>
      <c r="CD2" s="2361"/>
      <c r="CF2" s="1148"/>
      <c r="CG2" s="1148"/>
      <c r="CH2" s="1150"/>
      <c r="CI2" s="1148"/>
      <c r="CJ2" s="1148"/>
      <c r="CK2" s="1148"/>
      <c r="CL2" s="1148"/>
      <c r="CM2" s="1148"/>
      <c r="CN2" s="1148"/>
      <c r="CO2" s="1148"/>
      <c r="CP2" s="1148"/>
      <c r="CQ2" s="1148"/>
      <c r="CR2" s="1148"/>
      <c r="CS2" s="1148"/>
      <c r="CT2" s="1148"/>
      <c r="CU2" s="1148"/>
      <c r="CW2" s="1148"/>
      <c r="CX2" s="1148"/>
      <c r="CY2" s="1150"/>
      <c r="CZ2" s="1148"/>
      <c r="DA2" s="1148"/>
      <c r="DB2" s="1148"/>
      <c r="DC2" s="1148"/>
      <c r="DD2" s="1148"/>
      <c r="DE2" s="1148"/>
      <c r="DF2" s="1148"/>
      <c r="DG2" s="1148"/>
      <c r="DH2" s="1148"/>
      <c r="DI2" s="1148"/>
      <c r="DJ2" s="1148"/>
      <c r="DK2" s="1148"/>
      <c r="DL2" s="1148"/>
      <c r="DN2" s="1148"/>
      <c r="DO2" s="1148"/>
      <c r="DP2" s="1150"/>
      <c r="DQ2" s="1148"/>
      <c r="DR2" s="1148"/>
      <c r="DS2" s="1148"/>
      <c r="DT2" s="1148"/>
      <c r="DU2" s="1148"/>
      <c r="DV2" s="1148"/>
      <c r="DW2" s="1148"/>
      <c r="DX2" s="1148"/>
      <c r="DY2" s="1148"/>
      <c r="DZ2" s="1148"/>
      <c r="EA2" s="1148"/>
      <c r="EB2" s="1148"/>
      <c r="EC2" s="1148"/>
      <c r="ED2" s="1148"/>
      <c r="EF2" s="1148"/>
      <c r="EG2" s="1148"/>
      <c r="EH2" s="1148"/>
      <c r="EI2" s="1148"/>
      <c r="EJ2" s="1148"/>
      <c r="EK2" s="1148"/>
      <c r="EL2" s="1148"/>
      <c r="EM2" s="1148"/>
      <c r="EN2" s="1148"/>
      <c r="EO2" s="1148"/>
      <c r="EP2" s="1148"/>
      <c r="EQ2" s="1148"/>
      <c r="ER2" s="1148"/>
      <c r="ES2" s="1148"/>
      <c r="ET2" s="1148"/>
      <c r="EU2" s="1148"/>
    </row>
    <row r="3" spans="2:168" ht="18" thickBot="1">
      <c r="B3" s="2367"/>
      <c r="D3" s="2366"/>
      <c r="E3" s="2365"/>
      <c r="G3" s="2365"/>
      <c r="H3" s="2365"/>
      <c r="I3" s="2006"/>
      <c r="J3" s="2006"/>
      <c r="K3" s="2365"/>
      <c r="L3" s="2365"/>
      <c r="M3" s="2365"/>
      <c r="N3" s="2365"/>
      <c r="P3" s="3121" t="str">
        <f>メイン!C11</f>
        <v>○○ビル</v>
      </c>
      <c r="Q3" s="3122"/>
      <c r="R3" s="3122"/>
      <c r="S3" s="3122"/>
      <c r="T3" s="3123"/>
      <c r="U3" s="2373"/>
      <c r="X3" s="2372"/>
      <c r="Y3" s="2372"/>
      <c r="Z3" s="2372"/>
      <c r="AA3" s="2372"/>
      <c r="AB3" s="2372"/>
      <c r="AC3" s="2372"/>
      <c r="AD3" s="2372"/>
      <c r="AE3" s="2372"/>
      <c r="AF3" s="2372"/>
      <c r="AG3" s="2372"/>
      <c r="AH3" s="2372"/>
      <c r="AI3" s="2372"/>
      <c r="AJ3" s="2372"/>
      <c r="AK3" s="2372"/>
      <c r="AL3" s="2372"/>
      <c r="AM3" s="2371" t="s">
        <v>3357</v>
      </c>
      <c r="AN3" s="2370"/>
      <c r="AO3" s="2370"/>
      <c r="AP3" s="2370"/>
      <c r="AQ3" s="2370"/>
      <c r="AR3" s="2370"/>
      <c r="AS3" s="2370"/>
      <c r="AT3" s="2370"/>
      <c r="AU3" s="2370"/>
      <c r="AV3" s="2370"/>
      <c r="AW3" s="2370"/>
      <c r="AX3" s="2370"/>
      <c r="AY3" s="2369"/>
      <c r="BD3" s="2368"/>
      <c r="BE3" s="2361"/>
      <c r="BF3" s="2361"/>
      <c r="BG3" s="2361"/>
      <c r="BH3" s="2361"/>
      <c r="BI3" s="2361"/>
      <c r="BJ3" s="2361"/>
      <c r="BK3" s="2361"/>
      <c r="BL3" s="2361"/>
      <c r="BM3" s="2361"/>
      <c r="BO3" s="1673">
        <f>メイン!I3</f>
        <v>2</v>
      </c>
      <c r="BP3" s="1673"/>
      <c r="BQ3" s="1673" t="str">
        <f>メイン!J3</f>
        <v>NC</v>
      </c>
      <c r="BR3" s="2368"/>
      <c r="BS3" s="2361"/>
      <c r="BT3" s="2361"/>
      <c r="BU3" s="2361"/>
      <c r="BV3" s="2361"/>
      <c r="BW3" s="2361"/>
      <c r="BX3" s="2361"/>
      <c r="BY3" s="2361"/>
      <c r="BZ3" s="2361"/>
      <c r="CA3" s="2361"/>
      <c r="CB3" s="2361"/>
      <c r="CC3" s="2361"/>
      <c r="CD3" s="2361"/>
      <c r="CF3" s="781" t="s">
        <v>986</v>
      </c>
      <c r="CG3" s="1148"/>
      <c r="CH3" s="1152"/>
      <c r="CI3" s="1149"/>
      <c r="CJ3" s="1149"/>
      <c r="CK3" s="1149"/>
      <c r="CL3" s="1149"/>
      <c r="CM3" s="1149"/>
      <c r="CN3" s="1149"/>
      <c r="CO3" s="1149"/>
      <c r="CP3" s="1149"/>
      <c r="CQ3" s="1149"/>
      <c r="CR3" s="1149"/>
      <c r="CS3" s="1149"/>
      <c r="CT3" s="1149"/>
      <c r="CU3" s="1149"/>
      <c r="CW3" s="781" t="s">
        <v>987</v>
      </c>
      <c r="CX3" s="1148"/>
      <c r="CY3" s="1152"/>
      <c r="CZ3" s="1149"/>
      <c r="DA3" s="1149"/>
      <c r="DB3" s="1149"/>
      <c r="DC3" s="1149"/>
      <c r="DD3" s="1149"/>
      <c r="DE3" s="1149"/>
      <c r="DF3" s="1149"/>
      <c r="DG3" s="1149"/>
      <c r="DH3" s="1149"/>
      <c r="DI3" s="1149"/>
      <c r="DJ3" s="1149"/>
      <c r="DK3" s="1149"/>
      <c r="DL3" s="1149"/>
      <c r="DN3" s="781" t="s">
        <v>988</v>
      </c>
      <c r="DO3" s="1148"/>
      <c r="DP3" s="1152"/>
      <c r="DQ3" s="1149"/>
      <c r="DR3" s="1149"/>
      <c r="DS3" s="1149"/>
      <c r="DT3" s="1149"/>
      <c r="DU3" s="1149"/>
      <c r="DV3" s="1149"/>
      <c r="DW3" s="1149"/>
      <c r="DX3" s="1149"/>
      <c r="DY3" s="1149"/>
      <c r="DZ3" s="1149"/>
      <c r="EA3" s="1149"/>
      <c r="EB3" s="1149"/>
      <c r="EC3" s="1149"/>
      <c r="ED3" s="1149"/>
      <c r="EF3" s="781" t="s">
        <v>2813</v>
      </c>
      <c r="EG3" s="1148"/>
      <c r="EH3" s="1152"/>
      <c r="EI3" s="1149"/>
      <c r="EJ3" s="1149"/>
      <c r="EK3" s="1149"/>
      <c r="EL3" s="1149"/>
      <c r="EM3" s="1149"/>
      <c r="EN3" s="1149"/>
      <c r="EO3" s="1149"/>
      <c r="EP3" s="1149"/>
      <c r="EQ3" s="1149"/>
      <c r="ER3" s="1149"/>
      <c r="ES3" s="1149"/>
      <c r="ET3" s="1149"/>
      <c r="EU3" s="1149"/>
      <c r="EW3" s="781" t="s">
        <v>3356</v>
      </c>
      <c r="EX3" s="1148"/>
      <c r="EY3" s="1152"/>
      <c r="EZ3" s="1149"/>
      <c r="FA3" s="1149"/>
      <c r="FB3" s="1149"/>
      <c r="FC3" s="1149"/>
      <c r="FD3" s="1149"/>
      <c r="FE3" s="1149"/>
      <c r="FF3" s="1149"/>
      <c r="FG3" s="1149"/>
      <c r="FH3" s="1149"/>
      <c r="FI3" s="1149"/>
      <c r="FJ3" s="1149"/>
      <c r="FK3" s="1149"/>
      <c r="FL3" s="1149"/>
    </row>
    <row r="4" spans="2:168" ht="4.5" customHeight="1" thickBot="1">
      <c r="B4" s="2367"/>
      <c r="D4" s="2366"/>
      <c r="E4" s="2365"/>
      <c r="G4" s="2365"/>
      <c r="H4" s="2365"/>
      <c r="I4" s="2006"/>
      <c r="J4" s="2006"/>
      <c r="K4" s="2365"/>
      <c r="L4" s="2365"/>
      <c r="M4" s="2365"/>
      <c r="N4" s="2365"/>
      <c r="P4" s="2364"/>
      <c r="Q4" s="2363"/>
      <c r="R4" s="2362"/>
      <c r="S4" s="44"/>
      <c r="T4" s="44"/>
      <c r="BD4" s="2361"/>
      <c r="BE4" s="2361"/>
      <c r="BF4" s="2361"/>
      <c r="BG4" s="2361"/>
      <c r="BH4" s="2361"/>
      <c r="BI4" s="2361"/>
      <c r="BJ4" s="2361"/>
      <c r="BK4" s="2361"/>
      <c r="BL4" s="2361"/>
      <c r="BM4" s="2361"/>
      <c r="BO4" s="1673"/>
      <c r="BP4" s="1673"/>
      <c r="BQ4" s="1673"/>
      <c r="BR4" s="2361"/>
      <c r="BS4" s="2361"/>
      <c r="BT4" s="2361"/>
      <c r="BU4" s="2361"/>
      <c r="BV4" s="2361"/>
      <c r="BW4" s="2361"/>
      <c r="BX4" s="2361"/>
      <c r="BY4" s="2361"/>
      <c r="BZ4" s="2361"/>
      <c r="CA4" s="2361"/>
      <c r="CB4" s="2361"/>
      <c r="CC4" s="2361"/>
      <c r="CD4" s="2361"/>
      <c r="CF4" s="781"/>
      <c r="CG4" s="1146"/>
      <c r="CH4" s="1152"/>
      <c r="CI4" s="1149"/>
      <c r="CJ4" s="1149"/>
      <c r="CK4" s="1149"/>
      <c r="CL4" s="1149"/>
      <c r="CM4" s="1149"/>
      <c r="CN4" s="1149"/>
      <c r="CO4" s="1149"/>
      <c r="CP4" s="1149"/>
      <c r="CQ4" s="1149"/>
      <c r="CR4" s="1149"/>
      <c r="CS4" s="1149"/>
      <c r="CT4" s="1149"/>
      <c r="CU4" s="1149"/>
      <c r="CW4" s="781"/>
      <c r="CX4" s="1146"/>
      <c r="CY4" s="1152"/>
      <c r="CZ4" s="1149"/>
      <c r="DA4" s="1149"/>
      <c r="DB4" s="1149"/>
      <c r="DC4" s="1149"/>
      <c r="DD4" s="1149"/>
      <c r="DE4" s="1149"/>
      <c r="DF4" s="1149"/>
      <c r="DG4" s="1149"/>
      <c r="DH4" s="1149"/>
      <c r="DI4" s="1149"/>
      <c r="DJ4" s="1149"/>
      <c r="DK4" s="1149"/>
      <c r="DL4" s="1149"/>
      <c r="DN4" s="781"/>
      <c r="DO4" s="1146"/>
      <c r="DP4" s="1152"/>
      <c r="DQ4" s="1149"/>
      <c r="DR4" s="1149"/>
      <c r="DS4" s="1149"/>
      <c r="DT4" s="1149"/>
      <c r="DU4" s="1149"/>
      <c r="DV4" s="1149"/>
      <c r="DW4" s="1149"/>
      <c r="DX4" s="1149"/>
      <c r="DY4" s="1149"/>
      <c r="DZ4" s="1149"/>
      <c r="EA4" s="1149"/>
      <c r="EB4" s="1149"/>
      <c r="EC4" s="1149"/>
      <c r="ED4" s="1149"/>
      <c r="EF4" s="781"/>
      <c r="EG4" s="1146"/>
      <c r="EH4" s="1152"/>
      <c r="EI4" s="1149"/>
      <c r="EJ4" s="1149"/>
      <c r="EK4" s="1149"/>
      <c r="EL4" s="1149"/>
      <c r="EM4" s="1149"/>
      <c r="EN4" s="1149"/>
      <c r="EO4" s="1149"/>
      <c r="EP4" s="1149"/>
      <c r="EQ4" s="1149"/>
      <c r="ER4" s="1149"/>
      <c r="ES4" s="1149"/>
      <c r="ET4" s="1149"/>
      <c r="EU4" s="1149"/>
      <c r="EW4" s="781"/>
      <c r="EX4" s="1146"/>
      <c r="EY4" s="1152"/>
      <c r="EZ4" s="1149"/>
      <c r="FA4" s="1149"/>
      <c r="FB4" s="1149"/>
      <c r="FC4" s="1149"/>
      <c r="FD4" s="1149"/>
      <c r="FE4" s="1149"/>
      <c r="FF4" s="1149"/>
      <c r="FG4" s="1149"/>
      <c r="FH4" s="1149"/>
      <c r="FI4" s="1149"/>
      <c r="FJ4" s="1149"/>
      <c r="FK4" s="1149"/>
      <c r="FL4" s="1149"/>
    </row>
    <row r="5" spans="2:168" ht="15" thickBot="1">
      <c r="B5" s="2360"/>
      <c r="C5" s="2359"/>
      <c r="D5" s="2346" t="s">
        <v>989</v>
      </c>
      <c r="E5" s="2358"/>
      <c r="G5" s="2356" t="s">
        <v>990</v>
      </c>
      <c r="H5" s="2355"/>
      <c r="I5" s="2345" t="s">
        <v>991</v>
      </c>
      <c r="J5" s="2357"/>
      <c r="K5" s="2356" t="s">
        <v>992</v>
      </c>
      <c r="L5" s="2355"/>
      <c r="M5" s="2356" t="s">
        <v>993</v>
      </c>
      <c r="N5" s="2355"/>
      <c r="P5" s="2354" t="s">
        <v>3355</v>
      </c>
      <c r="Q5" s="2353"/>
      <c r="R5" s="2352"/>
      <c r="S5" s="3124" t="s">
        <v>81</v>
      </c>
      <c r="T5" s="3124"/>
      <c r="U5" s="2017"/>
      <c r="V5" s="2351"/>
      <c r="W5" s="2350"/>
      <c r="AM5" s="2349" t="str">
        <f>BR5</f>
        <v>建物全体・共用部</v>
      </c>
      <c r="AN5" s="2348"/>
      <c r="AO5" s="2348"/>
      <c r="AP5" s="2348"/>
      <c r="AQ5" s="2348"/>
      <c r="AR5" s="2348"/>
      <c r="AS5" s="2348"/>
      <c r="AT5" s="2348"/>
      <c r="AU5" s="2348"/>
      <c r="AV5" s="2347"/>
      <c r="AW5" s="2349" t="str">
        <f>CB5</f>
        <v>住居・宿泊部</v>
      </c>
      <c r="AX5" s="2348"/>
      <c r="AY5" s="2347"/>
      <c r="BA5" s="2346" t="s">
        <v>989</v>
      </c>
      <c r="BB5" s="2345" t="s">
        <v>990</v>
      </c>
      <c r="BC5" s="2345" t="s">
        <v>991</v>
      </c>
      <c r="BD5" s="2343" t="s">
        <v>773</v>
      </c>
      <c r="BE5" s="2343"/>
      <c r="BF5" s="2343"/>
      <c r="BG5" s="2343"/>
      <c r="BH5" s="2343"/>
      <c r="BI5" s="2344"/>
      <c r="BJ5" s="2343"/>
      <c r="BK5" s="2343"/>
      <c r="BL5" s="2343"/>
      <c r="BM5" s="2343"/>
      <c r="BO5" s="2307"/>
      <c r="BP5" s="2307"/>
      <c r="BQ5" s="2295"/>
      <c r="BR5" s="2343" t="s">
        <v>773</v>
      </c>
      <c r="BS5" s="2343"/>
      <c r="BT5" s="2343"/>
      <c r="BU5" s="2343"/>
      <c r="BV5" s="2343"/>
      <c r="BW5" s="2344"/>
      <c r="BX5" s="2343"/>
      <c r="BY5" s="2343"/>
      <c r="BZ5" s="2343"/>
      <c r="CA5" s="2343"/>
      <c r="CB5" s="2343" t="s">
        <v>775</v>
      </c>
      <c r="CC5" s="2343"/>
      <c r="CD5" s="2343"/>
      <c r="CF5" s="1161"/>
      <c r="CG5" s="1161"/>
      <c r="CH5" s="1164"/>
      <c r="CI5" s="2341" t="s">
        <v>773</v>
      </c>
      <c r="CJ5" s="2341"/>
      <c r="CK5" s="2341"/>
      <c r="CL5" s="2341"/>
      <c r="CM5" s="2341"/>
      <c r="CN5" s="2342"/>
      <c r="CO5" s="2341"/>
      <c r="CP5" s="2341"/>
      <c r="CQ5" s="2341"/>
      <c r="CR5" s="2341"/>
      <c r="CS5" s="2341" t="s">
        <v>775</v>
      </c>
      <c r="CT5" s="2341"/>
      <c r="CU5" s="2341"/>
      <c r="CW5" s="1161"/>
      <c r="CX5" s="1161"/>
      <c r="CY5" s="1164"/>
      <c r="CZ5" s="2341" t="s">
        <v>773</v>
      </c>
      <c r="DA5" s="2341"/>
      <c r="DB5" s="2341"/>
      <c r="DC5" s="2341"/>
      <c r="DD5" s="2341"/>
      <c r="DE5" s="2342"/>
      <c r="DF5" s="2341"/>
      <c r="DG5" s="2341"/>
      <c r="DH5" s="2341"/>
      <c r="DI5" s="2341"/>
      <c r="DJ5" s="2341" t="s">
        <v>775</v>
      </c>
      <c r="DK5" s="2341"/>
      <c r="DL5" s="2341"/>
      <c r="DN5" s="1161"/>
      <c r="DO5" s="1161"/>
      <c r="DP5" s="1164"/>
      <c r="DQ5" s="2341" t="s">
        <v>773</v>
      </c>
      <c r="DR5" s="2341"/>
      <c r="DS5" s="2341"/>
      <c r="DT5" s="2341"/>
      <c r="DU5" s="2341"/>
      <c r="DV5" s="2342"/>
      <c r="DW5" s="2341"/>
      <c r="DX5" s="2341"/>
      <c r="DY5" s="2341"/>
      <c r="DZ5" s="2341"/>
      <c r="EA5" s="2341" t="s">
        <v>775</v>
      </c>
      <c r="EB5" s="2341"/>
      <c r="EC5" s="2341"/>
      <c r="ED5" s="1463"/>
      <c r="EF5" s="1161"/>
      <c r="EG5" s="1161"/>
      <c r="EH5" s="1164"/>
      <c r="EI5" s="2341" t="s">
        <v>773</v>
      </c>
      <c r="EJ5" s="2341"/>
      <c r="EK5" s="2341"/>
      <c r="EL5" s="2341"/>
      <c r="EM5" s="2341"/>
      <c r="EN5" s="2342"/>
      <c r="EO5" s="2341"/>
      <c r="EP5" s="2341"/>
      <c r="EQ5" s="2341"/>
      <c r="ER5" s="2341"/>
      <c r="ES5" s="2341" t="s">
        <v>775</v>
      </c>
      <c r="ET5" s="2341"/>
      <c r="EU5" s="2341"/>
      <c r="EW5" s="1161"/>
      <c r="EX5" s="1161"/>
      <c r="EY5" s="1164"/>
      <c r="EZ5" s="2341" t="s">
        <v>773</v>
      </c>
      <c r="FA5" s="2341"/>
      <c r="FB5" s="2341"/>
      <c r="FC5" s="2341"/>
      <c r="FD5" s="2341"/>
      <c r="FE5" s="2342"/>
      <c r="FF5" s="2341"/>
      <c r="FG5" s="2341"/>
      <c r="FH5" s="2341"/>
      <c r="FI5" s="2341"/>
      <c r="FJ5" s="2341" t="s">
        <v>775</v>
      </c>
      <c r="FK5" s="2341"/>
      <c r="FL5" s="2341"/>
    </row>
    <row r="6" spans="2:168" ht="22.5">
      <c r="B6" s="2340"/>
      <c r="C6" s="2339"/>
      <c r="D6" s="2329" t="s">
        <v>776</v>
      </c>
      <c r="E6" s="2329" t="s">
        <v>777</v>
      </c>
      <c r="G6" s="2329" t="s">
        <v>776</v>
      </c>
      <c r="H6" s="2329" t="s">
        <v>777</v>
      </c>
      <c r="I6" s="2329" t="s">
        <v>776</v>
      </c>
      <c r="J6" s="2329" t="s">
        <v>777</v>
      </c>
      <c r="K6" s="2329" t="s">
        <v>776</v>
      </c>
      <c r="L6" s="2329" t="s">
        <v>777</v>
      </c>
      <c r="M6" s="2329" t="s">
        <v>776</v>
      </c>
      <c r="N6" s="2329" t="s">
        <v>777</v>
      </c>
      <c r="P6" s="2338"/>
      <c r="Q6" s="2337"/>
      <c r="R6" s="2336"/>
      <c r="S6" s="2335"/>
      <c r="T6" s="2335"/>
      <c r="U6" s="2017"/>
      <c r="V6" s="2334" t="s">
        <v>2172</v>
      </c>
      <c r="W6" s="2333" t="s">
        <v>2173</v>
      </c>
      <c r="Y6" s="1521" t="str">
        <f t="shared" ref="Y6:AK6" si="0">AM6</f>
        <v>事務所</v>
      </c>
      <c r="Z6" s="1521" t="str">
        <f t="shared" si="0"/>
        <v>学校</v>
      </c>
      <c r="AA6" s="1521" t="str">
        <f t="shared" si="0"/>
        <v>物販店</v>
      </c>
      <c r="AB6" s="1521" t="str">
        <f t="shared" si="0"/>
        <v>飲食店</v>
      </c>
      <c r="AC6" s="1521" t="str">
        <f t="shared" si="0"/>
        <v>集会所</v>
      </c>
      <c r="AD6" s="1521" t="str">
        <f t="shared" si="0"/>
        <v>工場</v>
      </c>
      <c r="AE6" s="1521" t="str">
        <f t="shared" si="0"/>
        <v>小中高</v>
      </c>
      <c r="AF6" s="1521" t="str">
        <f t="shared" si="0"/>
        <v>病院</v>
      </c>
      <c r="AG6" s="1521" t="str">
        <f t="shared" si="0"/>
        <v>ホテル</v>
      </c>
      <c r="AH6" s="1521" t="str">
        <f t="shared" si="0"/>
        <v>集合住宅</v>
      </c>
      <c r="AI6" s="1521" t="str">
        <f t="shared" si="0"/>
        <v>病院o</v>
      </c>
      <c r="AJ6" s="1521" t="str">
        <f t="shared" si="0"/>
        <v>ホテルo</v>
      </c>
      <c r="AK6" s="1521" t="str">
        <f t="shared" si="0"/>
        <v>集合住宅o</v>
      </c>
      <c r="AM6" s="2332" t="str">
        <f>BR6</f>
        <v>事務所</v>
      </c>
      <c r="AN6" s="2331" t="str">
        <f t="shared" ref="AN6:AV6" si="1">BS6</f>
        <v>学校</v>
      </c>
      <c r="AO6" s="2331" t="str">
        <f t="shared" si="1"/>
        <v>物販店</v>
      </c>
      <c r="AP6" s="2331" t="str">
        <f t="shared" si="1"/>
        <v>飲食店</v>
      </c>
      <c r="AQ6" s="2331" t="str">
        <f t="shared" si="1"/>
        <v>集会所</v>
      </c>
      <c r="AR6" s="2331" t="str">
        <f t="shared" si="1"/>
        <v>工場</v>
      </c>
      <c r="AS6" s="2331" t="str">
        <f t="shared" si="1"/>
        <v>小中高</v>
      </c>
      <c r="AT6" s="2331" t="str">
        <f t="shared" si="1"/>
        <v>病院</v>
      </c>
      <c r="AU6" s="2331" t="str">
        <f t="shared" si="1"/>
        <v>ホテル</v>
      </c>
      <c r="AV6" s="2331" t="str">
        <f t="shared" si="1"/>
        <v>集合住宅</v>
      </c>
      <c r="AW6" s="2332" t="str">
        <f>CB6</f>
        <v>病院o</v>
      </c>
      <c r="AX6" s="2331" t="str">
        <f>CC6</f>
        <v>ホテルo</v>
      </c>
      <c r="AY6" s="2330" t="str">
        <f>CD6</f>
        <v>集合住宅o</v>
      </c>
      <c r="BA6" s="2329" t="s">
        <v>776</v>
      </c>
      <c r="BB6" s="2329" t="s">
        <v>776</v>
      </c>
      <c r="BC6" s="2329"/>
      <c r="BD6" s="2325" t="s">
        <v>377</v>
      </c>
      <c r="BE6" s="2325" t="s">
        <v>378</v>
      </c>
      <c r="BF6" s="2325" t="s">
        <v>379</v>
      </c>
      <c r="BG6" s="2325" t="s">
        <v>380</v>
      </c>
      <c r="BH6" s="2328" t="s">
        <v>1643</v>
      </c>
      <c r="BI6" s="2325" t="s">
        <v>385</v>
      </c>
      <c r="BJ6" s="2327" t="s">
        <v>774</v>
      </c>
      <c r="BK6" s="2325" t="s">
        <v>382</v>
      </c>
      <c r="BL6" s="2325" t="s">
        <v>3354</v>
      </c>
      <c r="BM6" s="2325" t="s">
        <v>384</v>
      </c>
      <c r="BO6" s="2295"/>
      <c r="BP6" s="2295" t="s">
        <v>1801</v>
      </c>
      <c r="BQ6" s="2295" t="s">
        <v>778</v>
      </c>
      <c r="BR6" s="2325" t="s">
        <v>377</v>
      </c>
      <c r="BS6" s="2325" t="s">
        <v>378</v>
      </c>
      <c r="BT6" s="2325" t="s">
        <v>379</v>
      </c>
      <c r="BU6" s="2325" t="s">
        <v>380</v>
      </c>
      <c r="BV6" s="2328" t="s">
        <v>1643</v>
      </c>
      <c r="BW6" s="2325" t="s">
        <v>385</v>
      </c>
      <c r="BX6" s="2327" t="s">
        <v>774</v>
      </c>
      <c r="BY6" s="2325" t="s">
        <v>382</v>
      </c>
      <c r="BZ6" s="2325" t="s">
        <v>3354</v>
      </c>
      <c r="CA6" s="2325" t="s">
        <v>384</v>
      </c>
      <c r="CB6" s="2326" t="s">
        <v>3353</v>
      </c>
      <c r="CC6" s="2325" t="s">
        <v>3352</v>
      </c>
      <c r="CD6" s="2325" t="s">
        <v>3351</v>
      </c>
      <c r="CF6" s="1162"/>
      <c r="CG6" s="1162" t="s">
        <v>1801</v>
      </c>
      <c r="CH6" s="1164" t="s">
        <v>778</v>
      </c>
      <c r="CI6" s="2321" t="s">
        <v>377</v>
      </c>
      <c r="CJ6" s="2321" t="s">
        <v>378</v>
      </c>
      <c r="CK6" s="2321" t="s">
        <v>379</v>
      </c>
      <c r="CL6" s="2321" t="s">
        <v>380</v>
      </c>
      <c r="CM6" s="2324" t="s">
        <v>1643</v>
      </c>
      <c r="CN6" s="2321" t="s">
        <v>385</v>
      </c>
      <c r="CO6" s="2323" t="s">
        <v>774</v>
      </c>
      <c r="CP6" s="2321" t="s">
        <v>382</v>
      </c>
      <c r="CQ6" s="2321" t="s">
        <v>3354</v>
      </c>
      <c r="CR6" s="2321" t="s">
        <v>384</v>
      </c>
      <c r="CS6" s="2322" t="s">
        <v>3353</v>
      </c>
      <c r="CT6" s="2321" t="s">
        <v>3352</v>
      </c>
      <c r="CU6" s="2321" t="s">
        <v>3351</v>
      </c>
      <c r="CW6" s="1162"/>
      <c r="CX6" s="1162" t="s">
        <v>1801</v>
      </c>
      <c r="CY6" s="1164" t="s">
        <v>778</v>
      </c>
      <c r="CZ6" s="2321" t="s">
        <v>377</v>
      </c>
      <c r="DA6" s="2321" t="s">
        <v>378</v>
      </c>
      <c r="DB6" s="2321" t="s">
        <v>379</v>
      </c>
      <c r="DC6" s="2321" t="s">
        <v>380</v>
      </c>
      <c r="DD6" s="2324" t="s">
        <v>1643</v>
      </c>
      <c r="DE6" s="2321" t="s">
        <v>385</v>
      </c>
      <c r="DF6" s="2323" t="s">
        <v>774</v>
      </c>
      <c r="DG6" s="2321" t="s">
        <v>382</v>
      </c>
      <c r="DH6" s="2321" t="s">
        <v>3354</v>
      </c>
      <c r="DI6" s="2321" t="s">
        <v>384</v>
      </c>
      <c r="DJ6" s="2322" t="s">
        <v>3353</v>
      </c>
      <c r="DK6" s="2321" t="s">
        <v>3352</v>
      </c>
      <c r="DL6" s="2321" t="s">
        <v>3351</v>
      </c>
      <c r="DN6" s="1162"/>
      <c r="DO6" s="1162" t="s">
        <v>1801</v>
      </c>
      <c r="DP6" s="1164" t="s">
        <v>778</v>
      </c>
      <c r="DQ6" s="2321" t="s">
        <v>377</v>
      </c>
      <c r="DR6" s="2321" t="s">
        <v>378</v>
      </c>
      <c r="DS6" s="2321" t="s">
        <v>379</v>
      </c>
      <c r="DT6" s="2321" t="s">
        <v>380</v>
      </c>
      <c r="DU6" s="2324" t="s">
        <v>1643</v>
      </c>
      <c r="DV6" s="2321" t="s">
        <v>385</v>
      </c>
      <c r="DW6" s="2323" t="s">
        <v>774</v>
      </c>
      <c r="DX6" s="2321" t="s">
        <v>382</v>
      </c>
      <c r="DY6" s="2321" t="s">
        <v>3354</v>
      </c>
      <c r="DZ6" s="2321" t="s">
        <v>384</v>
      </c>
      <c r="EA6" s="2322" t="s">
        <v>3353</v>
      </c>
      <c r="EB6" s="2321" t="s">
        <v>3352</v>
      </c>
      <c r="EC6" s="2321" t="s">
        <v>3351</v>
      </c>
      <c r="ED6" s="1464"/>
      <c r="EF6" s="1162"/>
      <c r="EG6" s="1162" t="s">
        <v>1801</v>
      </c>
      <c r="EH6" s="1164" t="s">
        <v>778</v>
      </c>
      <c r="EI6" s="2321" t="s">
        <v>377</v>
      </c>
      <c r="EJ6" s="2321" t="s">
        <v>378</v>
      </c>
      <c r="EK6" s="2321" t="s">
        <v>379</v>
      </c>
      <c r="EL6" s="2321" t="s">
        <v>380</v>
      </c>
      <c r="EM6" s="2324" t="s">
        <v>1643</v>
      </c>
      <c r="EN6" s="2321" t="s">
        <v>385</v>
      </c>
      <c r="EO6" s="2323" t="s">
        <v>774</v>
      </c>
      <c r="EP6" s="2321" t="s">
        <v>382</v>
      </c>
      <c r="EQ6" s="2321" t="s">
        <v>3354</v>
      </c>
      <c r="ER6" s="2321" t="s">
        <v>384</v>
      </c>
      <c r="ES6" s="2322" t="s">
        <v>3353</v>
      </c>
      <c r="ET6" s="2321" t="s">
        <v>3352</v>
      </c>
      <c r="EU6" s="2321" t="s">
        <v>3351</v>
      </c>
      <c r="EW6" s="1162"/>
      <c r="EX6" s="1162" t="s">
        <v>1801</v>
      </c>
      <c r="EY6" s="1164" t="s">
        <v>778</v>
      </c>
      <c r="EZ6" s="2321" t="s">
        <v>377</v>
      </c>
      <c r="FA6" s="2321" t="s">
        <v>378</v>
      </c>
      <c r="FB6" s="2321" t="s">
        <v>379</v>
      </c>
      <c r="FC6" s="2321" t="s">
        <v>380</v>
      </c>
      <c r="FD6" s="2324" t="s">
        <v>1643</v>
      </c>
      <c r="FE6" s="2321" t="s">
        <v>385</v>
      </c>
      <c r="FF6" s="2323" t="s">
        <v>774</v>
      </c>
      <c r="FG6" s="2321" t="s">
        <v>382</v>
      </c>
      <c r="FH6" s="2321" t="s">
        <v>3354</v>
      </c>
      <c r="FI6" s="2321" t="s">
        <v>384</v>
      </c>
      <c r="FJ6" s="2322" t="s">
        <v>3353</v>
      </c>
      <c r="FK6" s="2321" t="s">
        <v>3352</v>
      </c>
      <c r="FL6" s="2321" t="s">
        <v>3351</v>
      </c>
    </row>
    <row r="7" spans="2:168" ht="14.25" thickBot="1">
      <c r="B7" s="2320"/>
      <c r="C7" s="2319" t="s">
        <v>3350</v>
      </c>
      <c r="D7" s="2309">
        <f>1-E7</f>
        <v>1</v>
      </c>
      <c r="E7" s="2308">
        <f>(CB8*BY7)+(CC8*BZ7)+(CD8*CA7)</f>
        <v>0</v>
      </c>
      <c r="G7" s="2308"/>
      <c r="H7" s="2308"/>
      <c r="I7" s="2308"/>
      <c r="J7" s="2308"/>
      <c r="K7" s="2308"/>
      <c r="L7" s="2308"/>
      <c r="M7" s="2308"/>
      <c r="N7" s="2308"/>
      <c r="P7" s="2318" t="s">
        <v>3349</v>
      </c>
      <c r="Q7" s="2317"/>
      <c r="R7" s="2316"/>
      <c r="S7" s="2315"/>
      <c r="T7" s="2315"/>
      <c r="U7" s="2017"/>
      <c r="V7" s="2314" t="s">
        <v>1789</v>
      </c>
      <c r="W7" s="2313" t="s">
        <v>1789</v>
      </c>
      <c r="Y7" s="1"/>
      <c r="Z7" s="1"/>
      <c r="AA7" s="1"/>
      <c r="AB7" s="1"/>
      <c r="AC7" s="1"/>
      <c r="AD7" s="1"/>
      <c r="AE7" s="1"/>
      <c r="AF7" s="1"/>
      <c r="AG7" s="1"/>
      <c r="AH7" s="1"/>
      <c r="AI7" s="1"/>
      <c r="AJ7" s="1"/>
      <c r="AK7" s="1"/>
      <c r="AM7" s="2312">
        <f t="shared" ref="AM7:AY7" si="2">BR7*BR8</f>
        <v>1</v>
      </c>
      <c r="AN7" s="2311">
        <f t="shared" si="2"/>
        <v>0</v>
      </c>
      <c r="AO7" s="2311">
        <f t="shared" si="2"/>
        <v>0</v>
      </c>
      <c r="AP7" s="2311">
        <f t="shared" si="2"/>
        <v>0</v>
      </c>
      <c r="AQ7" s="2311">
        <f t="shared" si="2"/>
        <v>0</v>
      </c>
      <c r="AR7" s="2311">
        <f t="shared" si="2"/>
        <v>0</v>
      </c>
      <c r="AS7" s="2311">
        <f t="shared" si="2"/>
        <v>0</v>
      </c>
      <c r="AT7" s="2311">
        <f t="shared" si="2"/>
        <v>0</v>
      </c>
      <c r="AU7" s="2311">
        <f t="shared" si="2"/>
        <v>0</v>
      </c>
      <c r="AV7" s="2310">
        <f t="shared" si="2"/>
        <v>0</v>
      </c>
      <c r="AW7" s="2312">
        <f t="shared" si="2"/>
        <v>0</v>
      </c>
      <c r="AX7" s="2311">
        <f t="shared" si="2"/>
        <v>0</v>
      </c>
      <c r="AY7" s="2310">
        <f t="shared" si="2"/>
        <v>0</v>
      </c>
      <c r="BA7" s="2309"/>
      <c r="BB7" s="2308"/>
      <c r="BC7" s="2308"/>
      <c r="BD7" s="2292">
        <f t="shared" ref="BD7:BM7" si="3">BR7</f>
        <v>1</v>
      </c>
      <c r="BE7" s="2292">
        <f t="shared" si="3"/>
        <v>0</v>
      </c>
      <c r="BF7" s="2292">
        <f t="shared" si="3"/>
        <v>0</v>
      </c>
      <c r="BG7" s="2292">
        <f t="shared" si="3"/>
        <v>0</v>
      </c>
      <c r="BH7" s="2292">
        <f t="shared" si="3"/>
        <v>0</v>
      </c>
      <c r="BI7" s="2292">
        <f t="shared" si="3"/>
        <v>0</v>
      </c>
      <c r="BJ7" s="2292">
        <f t="shared" si="3"/>
        <v>0</v>
      </c>
      <c r="BK7" s="2292">
        <f t="shared" si="3"/>
        <v>0</v>
      </c>
      <c r="BL7" s="2292">
        <f t="shared" si="3"/>
        <v>0</v>
      </c>
      <c r="BM7" s="2292">
        <f t="shared" si="3"/>
        <v>0</v>
      </c>
      <c r="BO7" s="2307"/>
      <c r="BP7" s="2307" t="s">
        <v>779</v>
      </c>
      <c r="BQ7" s="2295" t="s">
        <v>780</v>
      </c>
      <c r="BR7" s="2292">
        <f>メイン!C47/メイン!$C$19</f>
        <v>1</v>
      </c>
      <c r="BS7" s="2292">
        <f>(メイン!E49+メイン!E53)/メイン!$C$19</f>
        <v>0</v>
      </c>
      <c r="BT7" s="2292">
        <f>メイン!C54/メイン!$C$19</f>
        <v>0</v>
      </c>
      <c r="BU7" s="2292">
        <f>メイン!C56/メイン!$C$19</f>
        <v>0</v>
      </c>
      <c r="BV7" s="2292">
        <f>メイン!C57/メイン!$C$19</f>
        <v>0</v>
      </c>
      <c r="BW7" s="2292">
        <f>メイン!C60/メイン!$C$19</f>
        <v>0</v>
      </c>
      <c r="BX7" s="2292">
        <f>(メイン!E50+メイン!E51+メイン!E52)/メイン!$C$19</f>
        <v>0</v>
      </c>
      <c r="BY7" s="2292">
        <f>メイン!C61/メイン!$C$19</f>
        <v>0</v>
      </c>
      <c r="BZ7" s="2292">
        <f>メイン!C62/メイン!$C$19</f>
        <v>0</v>
      </c>
      <c r="CA7" s="2292">
        <f>メイン!C64/メイン!$C$19</f>
        <v>0</v>
      </c>
      <c r="CB7" s="2292">
        <f>BY7</f>
        <v>0</v>
      </c>
      <c r="CC7" s="2292">
        <f>BZ7</f>
        <v>0</v>
      </c>
      <c r="CD7" s="2292">
        <f>CA7</f>
        <v>0</v>
      </c>
      <c r="CF7" s="1161"/>
      <c r="CG7" s="1161"/>
      <c r="CH7" s="1164"/>
      <c r="CI7" s="1175"/>
      <c r="CJ7" s="1175"/>
      <c r="CK7" s="1175"/>
      <c r="CL7" s="1175"/>
      <c r="CM7" s="1176"/>
      <c r="CN7" s="1175"/>
      <c r="CO7" s="1175"/>
      <c r="CP7" s="1175"/>
      <c r="CQ7" s="1175"/>
      <c r="CR7" s="1175"/>
      <c r="CS7" s="1175"/>
      <c r="CT7" s="1175"/>
      <c r="CU7" s="1175"/>
      <c r="CW7" s="1161"/>
      <c r="CX7" s="1161"/>
      <c r="CY7" s="1164"/>
      <c r="CZ7" s="1175"/>
      <c r="DA7" s="1175"/>
      <c r="DB7" s="1175"/>
      <c r="DC7" s="1175"/>
      <c r="DD7" s="1176"/>
      <c r="DE7" s="1175"/>
      <c r="DF7" s="1175"/>
      <c r="DG7" s="1175"/>
      <c r="DH7" s="1175"/>
      <c r="DI7" s="1175"/>
      <c r="DJ7" s="1175"/>
      <c r="DK7" s="1175"/>
      <c r="DL7" s="1175"/>
      <c r="DN7" s="1161"/>
      <c r="DO7" s="1161"/>
      <c r="DP7" s="1164"/>
      <c r="DQ7" s="1175"/>
      <c r="DR7" s="1175"/>
      <c r="DS7" s="1175"/>
      <c r="DT7" s="1175"/>
      <c r="DU7" s="1176"/>
      <c r="DV7" s="1175"/>
      <c r="DW7" s="1175"/>
      <c r="DX7" s="1175"/>
      <c r="DY7" s="1175"/>
      <c r="DZ7" s="1175"/>
      <c r="EA7" s="1175"/>
      <c r="EB7" s="1175"/>
      <c r="EC7" s="1175"/>
      <c r="ED7" s="1465"/>
      <c r="EF7" s="1161"/>
      <c r="EG7" s="1161"/>
      <c r="EH7" s="1164"/>
      <c r="EI7" s="1175"/>
      <c r="EJ7" s="1175"/>
      <c r="EK7" s="1175"/>
      <c r="EL7" s="1175"/>
      <c r="EM7" s="1176"/>
      <c r="EN7" s="1175"/>
      <c r="EO7" s="1175"/>
      <c r="EP7" s="1175"/>
      <c r="EQ7" s="1175"/>
      <c r="ER7" s="1175"/>
      <c r="ES7" s="1175"/>
      <c r="ET7" s="1175"/>
      <c r="EU7" s="1175"/>
      <c r="EW7" s="1161"/>
      <c r="EX7" s="1161"/>
      <c r="EY7" s="1164"/>
      <c r="EZ7" s="1175"/>
      <c r="FA7" s="1175"/>
      <c r="FB7" s="1175"/>
      <c r="FC7" s="1175"/>
      <c r="FD7" s="1176"/>
      <c r="FE7" s="1175"/>
      <c r="FF7" s="1175"/>
      <c r="FG7" s="1175"/>
      <c r="FH7" s="1175"/>
      <c r="FI7" s="1175"/>
      <c r="FJ7" s="1175"/>
      <c r="FK7" s="1175"/>
      <c r="FL7" s="1175"/>
    </row>
    <row r="8" spans="2:168" ht="15" thickBot="1">
      <c r="B8" s="2177" t="s">
        <v>3346</v>
      </c>
      <c r="C8" s="2188" t="s">
        <v>790</v>
      </c>
      <c r="D8" s="2187"/>
      <c r="E8" s="2186"/>
      <c r="G8" s="2186"/>
      <c r="H8" s="2186"/>
      <c r="I8" s="2186" t="e">
        <f>G9+G62+G112</f>
        <v>#REF!</v>
      </c>
      <c r="J8" s="2186" t="e">
        <f>H9+H62+H112</f>
        <v>#REF!</v>
      </c>
      <c r="K8" s="2186"/>
      <c r="L8" s="2186"/>
      <c r="M8" s="2186"/>
      <c r="N8" s="2186"/>
      <c r="P8" s="2306" t="s">
        <v>3348</v>
      </c>
      <c r="Q8" s="2305"/>
      <c r="R8" s="2304"/>
      <c r="S8" s="2303"/>
      <c r="T8" s="2303"/>
      <c r="U8" s="2017"/>
      <c r="V8" s="2302"/>
      <c r="W8" s="2301"/>
      <c r="Y8" s="1"/>
      <c r="Z8" s="1"/>
      <c r="AA8" s="1"/>
      <c r="AB8" s="1"/>
      <c r="AC8" s="1"/>
      <c r="AD8" s="1"/>
      <c r="AE8" s="1"/>
      <c r="AF8" s="1"/>
      <c r="AG8" s="1"/>
      <c r="AH8" s="1"/>
      <c r="AI8" s="1"/>
      <c r="AJ8" s="1"/>
      <c r="AK8" s="1"/>
      <c r="AM8" s="2300"/>
      <c r="AN8" s="2300"/>
      <c r="AO8" s="2300"/>
      <c r="AP8" s="2300"/>
      <c r="AQ8" s="2300"/>
      <c r="AR8" s="2300"/>
      <c r="AS8" s="2300"/>
      <c r="AT8" s="2300"/>
      <c r="AU8" s="2300"/>
      <c r="AV8" s="2300"/>
      <c r="AW8" s="2300"/>
      <c r="AX8" s="2300"/>
      <c r="AY8" s="2300"/>
      <c r="BA8" s="2299"/>
      <c r="BB8" s="2298"/>
      <c r="BC8" s="2298" t="e">
        <f>BB9+BB62+BB112</f>
        <v>#REF!</v>
      </c>
      <c r="BD8" s="2296"/>
      <c r="BE8" s="2296"/>
      <c r="BF8" s="2296"/>
      <c r="BG8" s="2296"/>
      <c r="BH8" s="2297"/>
      <c r="BI8" s="2296"/>
      <c r="BJ8" s="2296"/>
      <c r="BK8" s="2296">
        <f>BY8</f>
        <v>1</v>
      </c>
      <c r="BL8" s="2296">
        <f>BZ8</f>
        <v>1</v>
      </c>
      <c r="BM8" s="2296">
        <f>CA8</f>
        <v>1</v>
      </c>
      <c r="BO8" s="2177"/>
      <c r="BP8" s="2177" t="s">
        <v>3347</v>
      </c>
      <c r="BQ8" s="2295" t="s">
        <v>791</v>
      </c>
      <c r="BR8" s="2292">
        <v>1</v>
      </c>
      <c r="BS8" s="2292">
        <v>1</v>
      </c>
      <c r="BT8" s="2292">
        <v>1</v>
      </c>
      <c r="BU8" s="2292">
        <v>1</v>
      </c>
      <c r="BV8" s="2292">
        <v>1</v>
      </c>
      <c r="BW8" s="2292">
        <v>1</v>
      </c>
      <c r="BX8" s="2292">
        <v>1</v>
      </c>
      <c r="BY8" s="2292">
        <f>1-メイン!F68</f>
        <v>1</v>
      </c>
      <c r="BZ8" s="2292">
        <f>1-メイン!F69</f>
        <v>1</v>
      </c>
      <c r="CA8" s="2292">
        <f>1-メイン!F70</f>
        <v>1</v>
      </c>
      <c r="CB8" s="2294">
        <f>メイン!F68</f>
        <v>0</v>
      </c>
      <c r="CC8" s="2293">
        <f>メイン!F69</f>
        <v>0</v>
      </c>
      <c r="CD8" s="2292">
        <f>メイン!F70</f>
        <v>0</v>
      </c>
      <c r="CF8" s="1177" t="s">
        <v>3346</v>
      </c>
      <c r="CG8" s="1177"/>
      <c r="CH8" s="1181" t="s">
        <v>3345</v>
      </c>
      <c r="CI8" s="1182"/>
      <c r="CJ8" s="1182"/>
      <c r="CK8" s="1182"/>
      <c r="CL8" s="1182"/>
      <c r="CM8" s="1183"/>
      <c r="CN8" s="1182"/>
      <c r="CO8" s="1182"/>
      <c r="CP8" s="1182"/>
      <c r="CQ8" s="1182"/>
      <c r="CR8" s="1182"/>
      <c r="CS8" s="1184"/>
      <c r="CT8" s="1185"/>
      <c r="CU8" s="1185"/>
      <c r="CW8" s="1177" t="s">
        <v>3346</v>
      </c>
      <c r="CX8" s="1177"/>
      <c r="CY8" s="1181" t="s">
        <v>3345</v>
      </c>
      <c r="CZ8" s="1182"/>
      <c r="DA8" s="1182"/>
      <c r="DB8" s="1182"/>
      <c r="DC8" s="1182"/>
      <c r="DD8" s="1183"/>
      <c r="DE8" s="1182"/>
      <c r="DF8" s="1182"/>
      <c r="DG8" s="1182"/>
      <c r="DH8" s="1182"/>
      <c r="DI8" s="1182"/>
      <c r="DJ8" s="1184"/>
      <c r="DK8" s="1185"/>
      <c r="DL8" s="1185"/>
      <c r="DN8" s="1177" t="s">
        <v>3346</v>
      </c>
      <c r="DO8" s="1177"/>
      <c r="DP8" s="1181" t="s">
        <v>3345</v>
      </c>
      <c r="DQ8" s="1182"/>
      <c r="DR8" s="1182"/>
      <c r="DS8" s="1182"/>
      <c r="DT8" s="1182"/>
      <c r="DU8" s="1183"/>
      <c r="DV8" s="1182"/>
      <c r="DW8" s="1182"/>
      <c r="DX8" s="1182"/>
      <c r="DY8" s="1182"/>
      <c r="DZ8" s="1182"/>
      <c r="EA8" s="1184"/>
      <c r="EB8" s="1185"/>
      <c r="EC8" s="1185"/>
      <c r="ED8" s="1466"/>
      <c r="EF8" s="1177" t="s">
        <v>3346</v>
      </c>
      <c r="EG8" s="1177"/>
      <c r="EH8" s="1181" t="s">
        <v>3345</v>
      </c>
      <c r="EI8" s="1182"/>
      <c r="EJ8" s="1182"/>
      <c r="EK8" s="1182"/>
      <c r="EL8" s="1182"/>
      <c r="EM8" s="1183"/>
      <c r="EN8" s="1182"/>
      <c r="EO8" s="1182"/>
      <c r="EP8" s="1182"/>
      <c r="EQ8" s="1182"/>
      <c r="ER8" s="1182"/>
      <c r="ES8" s="1184"/>
      <c r="ET8" s="1185"/>
      <c r="EU8" s="1185"/>
      <c r="EW8" s="1177" t="s">
        <v>3346</v>
      </c>
      <c r="EX8" s="1177"/>
      <c r="EY8" s="1181" t="s">
        <v>3345</v>
      </c>
      <c r="EZ8" s="1182">
        <f>DQ8</f>
        <v>0</v>
      </c>
      <c r="FA8" s="1182"/>
      <c r="FB8" s="1182"/>
      <c r="FC8" s="1182"/>
      <c r="FD8" s="1183"/>
      <c r="FE8" s="1182"/>
      <c r="FF8" s="1182"/>
      <c r="FG8" s="1182"/>
      <c r="FH8" s="1182"/>
      <c r="FI8" s="1182"/>
      <c r="FJ8" s="1184"/>
      <c r="FK8" s="1185"/>
      <c r="FL8" s="1185"/>
    </row>
    <row r="9" spans="2:168" ht="14.25" thickBot="1">
      <c r="B9" s="2023" t="str">
        <f t="shared" ref="B9:B42" si="4">BO9</f>
        <v>Q1</v>
      </c>
      <c r="C9" s="2079" t="str">
        <f t="shared" ref="C9:C40" si="5">BQ9</f>
        <v>室内環境</v>
      </c>
      <c r="D9" s="2207" t="e">
        <f>IF(I$8=0,0,G9/I$8)</f>
        <v>#REF!</v>
      </c>
      <c r="E9" s="2089" t="e">
        <f>IF(J$8=0,0,H9/J$8)</f>
        <v>#REF!</v>
      </c>
      <c r="G9" s="2089" t="e">
        <f t="shared" ref="G9:G40" si="6">K9*M9</f>
        <v>#REF!</v>
      </c>
      <c r="H9" s="2089" t="e">
        <f t="shared" ref="H9:H40" si="7">L9*N9</f>
        <v>#REF!</v>
      </c>
      <c r="I9" s="2089" t="e">
        <f>G10+G20+G35+G48</f>
        <v>#REF!</v>
      </c>
      <c r="J9" s="2089" t="e">
        <f>H10+H20+H35+H48</f>
        <v>#REF!</v>
      </c>
      <c r="K9" s="2089" t="e">
        <f>IF(#REF!=0,0,1)</f>
        <v>#REF!</v>
      </c>
      <c r="L9" s="2089" t="e">
        <f>IF(#REF!=0,0,1)</f>
        <v>#REF!</v>
      </c>
      <c r="M9" s="2089">
        <f t="shared" ref="M9:M40" si="8">SUMPRODUCT($BR$7:$CA$7,BR9:CA9)</f>
        <v>0.4</v>
      </c>
      <c r="N9" s="2089">
        <f t="shared" ref="N9:N40" si="9">(CB$7*CB9)+(CC$7*CC9)+(CD$7*CD9)</f>
        <v>0</v>
      </c>
      <c r="P9" s="2291" t="s">
        <v>3344</v>
      </c>
      <c r="Q9" s="2170" t="s">
        <v>1792</v>
      </c>
      <c r="R9" s="2170"/>
      <c r="S9" s="2170"/>
      <c r="T9" s="2290"/>
      <c r="U9" s="2017"/>
      <c r="V9" s="2289"/>
      <c r="W9" s="2288"/>
      <c r="Y9" s="1"/>
      <c r="Z9" s="1"/>
      <c r="AA9" s="1"/>
      <c r="AB9" s="1"/>
      <c r="AC9" s="1"/>
      <c r="AD9" s="1"/>
      <c r="AE9" s="1"/>
      <c r="AF9" s="1"/>
      <c r="AG9" s="1"/>
      <c r="AH9" s="1"/>
      <c r="AI9" s="1"/>
      <c r="AJ9" s="1"/>
      <c r="AK9" s="1"/>
      <c r="AM9" s="2287" t="str">
        <f t="shared" ref="AM9:AY9" si="10">AM$6</f>
        <v>事務所</v>
      </c>
      <c r="AN9" s="2287" t="str">
        <f t="shared" si="10"/>
        <v>学校</v>
      </c>
      <c r="AO9" s="2287" t="str">
        <f t="shared" si="10"/>
        <v>物販店</v>
      </c>
      <c r="AP9" s="2287" t="str">
        <f t="shared" si="10"/>
        <v>飲食店</v>
      </c>
      <c r="AQ9" s="2287" t="str">
        <f t="shared" si="10"/>
        <v>集会所</v>
      </c>
      <c r="AR9" s="2287" t="str">
        <f t="shared" si="10"/>
        <v>工場</v>
      </c>
      <c r="AS9" s="2287" t="str">
        <f t="shared" si="10"/>
        <v>小中高</v>
      </c>
      <c r="AT9" s="2287" t="str">
        <f t="shared" si="10"/>
        <v>病院</v>
      </c>
      <c r="AU9" s="2287" t="str">
        <f t="shared" si="10"/>
        <v>ホテル</v>
      </c>
      <c r="AV9" s="2287" t="str">
        <f t="shared" si="10"/>
        <v>集合住宅</v>
      </c>
      <c r="AW9" s="2287" t="str">
        <f t="shared" si="10"/>
        <v>病院o</v>
      </c>
      <c r="AX9" s="2287" t="str">
        <f t="shared" si="10"/>
        <v>ホテルo</v>
      </c>
      <c r="AY9" s="2287" t="str">
        <f t="shared" si="10"/>
        <v>集合住宅o</v>
      </c>
      <c r="BA9" s="2082" t="e">
        <f>BB9/$BC$8</f>
        <v>#REF!</v>
      </c>
      <c r="BB9" s="2082" t="e">
        <f t="shared" ref="BB9:BB40" si="11">SUMPRODUCT($BD$7:$BM$7,BD9:BM9)</f>
        <v>#REF!</v>
      </c>
      <c r="BC9" s="2082" t="e">
        <f>BB10+BB20+BB35+BB48</f>
        <v>#REF!</v>
      </c>
      <c r="BD9" s="2081" t="e">
        <f>BR9*#REF!</f>
        <v>#REF!</v>
      </c>
      <c r="BE9" s="2081" t="e">
        <f>BS9*#REF!</f>
        <v>#REF!</v>
      </c>
      <c r="BF9" s="2081" t="e">
        <f>BT9*#REF!</f>
        <v>#REF!</v>
      </c>
      <c r="BG9" s="2081" t="e">
        <f>BU9*#REF!</f>
        <v>#REF!</v>
      </c>
      <c r="BH9" s="2081" t="e">
        <f>BV9*#REF!</f>
        <v>#REF!</v>
      </c>
      <c r="BI9" s="2081" t="e">
        <f>BW9*#REF!</f>
        <v>#REF!</v>
      </c>
      <c r="BJ9" s="2081" t="e">
        <f>BX9*#REF!</f>
        <v>#REF!</v>
      </c>
      <c r="BK9" s="2081" t="e">
        <f>BY9*#REF!</f>
        <v>#REF!</v>
      </c>
      <c r="BL9" s="2081" t="e">
        <f>BZ9*#REF!</f>
        <v>#REF!</v>
      </c>
      <c r="BM9" s="2081" t="e">
        <f>CA9*#REF!</f>
        <v>#REF!</v>
      </c>
      <c r="BO9" s="2023" t="str">
        <f t="shared" ref="BO9:BO40" si="12">IF($BO$3=1,CW9,IF($BO$3=2,DN9,IF($BO$3=3,EF9,IF($BO$3=4,EW9,CF9))))</f>
        <v>Q1</v>
      </c>
      <c r="BP9" s="2023" t="str">
        <f t="shared" ref="BP9:BP40" si="13">IF($BO$3=1,CX9,IF($BO$3=2,DO9,IF($BO$3=3,EG9,IF($BO$3=4,EX9,CG9))))</f>
        <v xml:space="preserve"> Q</v>
      </c>
      <c r="BQ9" s="2079" t="str">
        <f t="shared" ref="BQ9:BQ40" si="14">IF($BO$3=1,CY9,IF($BO$3=2,DP9,IF($BO$3=3,EH9,IF($BO$3=4,EY9,CH9))))</f>
        <v>室内環境</v>
      </c>
      <c r="BR9" s="2078">
        <f t="shared" ref="BR9:BR40" si="15">IF($BO$3=1,CZ9,IF($BO$3=2,DQ9,IF($BO$3=3,EI9,IF($BO$3=4,EZ9,CI9))))</f>
        <v>0.4</v>
      </c>
      <c r="BS9" s="2078">
        <f t="shared" ref="BS9:BS40" si="16">IF($BO$3=1,DA9,IF($BO$3=2,DR9,IF($BO$3=3,EJ9,IF($BO$3=4,FA9,CJ9))))</f>
        <v>0.4</v>
      </c>
      <c r="BT9" s="2078">
        <f t="shared" ref="BT9:BT40" si="17">IF($BO$3=1,DB9,IF($BO$3=2,DS9,IF($BO$3=3,EK9,IF($BO$3=4,FB9,CK9))))</f>
        <v>0.4</v>
      </c>
      <c r="BU9" s="2078">
        <f t="shared" ref="BU9:BU40" si="18">IF($BO$3=1,DC9,IF($BO$3=2,DT9,IF($BO$3=3,EL9,IF($BO$3=4,FC9,CL9))))</f>
        <v>0.4</v>
      </c>
      <c r="BV9" s="2078">
        <f t="shared" ref="BV9:BV40" si="19">IF($BO$3=1,DD9,IF($BO$3=2,DU9,IF($BO$3=3,EM9,IF($BO$3=4,FD9,CM9))))</f>
        <v>0.4</v>
      </c>
      <c r="BW9" s="2078">
        <f t="shared" ref="BW9:BW40" si="20">IF($BO$3=1,DE9,IF($BO$3=2,DV9,IF($BO$3=3,EN9,IF($BO$3=4,FE9,CN9))))</f>
        <v>0.3</v>
      </c>
      <c r="BX9" s="2078">
        <f t="shared" ref="BX9:BX40" si="21">IF($BO$3=1,DF9,IF($BO$3=2,DW9,IF($BO$3=3,EO9,IF($BO$3=4,FF9,CO9))))</f>
        <v>0.4</v>
      </c>
      <c r="BY9" s="2078">
        <f t="shared" ref="BY9:BY40" si="22">IF($BO$3=1,DG9,IF($BO$3=2,DX9,IF($BO$3=3,EP9,IF($BO$3=4,FG9,CP9))))</f>
        <v>0.4</v>
      </c>
      <c r="BZ9" s="2078">
        <f t="shared" ref="BZ9:BZ40" si="23">IF($BO$3=1,DH9,IF($BO$3=2,DY9,IF($BO$3=3,EQ9,IF($BO$3=4,FH9,CQ9))))</f>
        <v>0.4</v>
      </c>
      <c r="CA9" s="2078">
        <f t="shared" ref="CA9:CA40" si="24">IF($BO$3=1,DI9,IF($BO$3=2,DZ9,IF($BO$3=3,ER9,IF($BO$3=4,FI9,CR9))))</f>
        <v>0.4</v>
      </c>
      <c r="CB9" s="2078">
        <f t="shared" ref="CB9:CB40" si="25">IF($BO$3=1,DJ9,IF($BO$3=2,EA9,IF($BO$3=3,ES9,IF($BO$3=4,FJ9,CS9))))</f>
        <v>0</v>
      </c>
      <c r="CC9" s="2078">
        <f t="shared" ref="CC9:CC40" si="26">IF($BO$3=1,DK9,IF($BO$3=2,EB9,IF($BO$3=3,ET9,IF($BO$3=4,FK9,CT9))))</f>
        <v>0</v>
      </c>
      <c r="CD9" s="2078">
        <f t="shared" ref="CD9:CD40" si="27">IF($BO$3=1,DL9,IF($BO$3=2,EC9,IF($BO$3=3,EU9,IF($BO$3=4,FL9,CU9))))</f>
        <v>0</v>
      </c>
      <c r="CF9" s="1186" t="s">
        <v>3344</v>
      </c>
      <c r="CG9" s="1191" t="s">
        <v>792</v>
      </c>
      <c r="CH9" s="1189" t="s">
        <v>3343</v>
      </c>
      <c r="CI9" s="1190">
        <v>0.4</v>
      </c>
      <c r="CJ9" s="1190">
        <v>0.4</v>
      </c>
      <c r="CK9" s="1190">
        <v>0.4</v>
      </c>
      <c r="CL9" s="1190">
        <v>0.4</v>
      </c>
      <c r="CM9" s="1190">
        <v>0.4</v>
      </c>
      <c r="CN9" s="1190">
        <v>0.3</v>
      </c>
      <c r="CO9" s="1192">
        <v>0.4</v>
      </c>
      <c r="CP9" s="1190">
        <v>0.4</v>
      </c>
      <c r="CQ9" s="1190">
        <v>0.4</v>
      </c>
      <c r="CR9" s="1190">
        <v>0.4</v>
      </c>
      <c r="CS9" s="1193"/>
      <c r="CT9" s="1192"/>
      <c r="CU9" s="1192"/>
      <c r="CW9" s="1186" t="s">
        <v>3344</v>
      </c>
      <c r="CX9" s="1191" t="s">
        <v>792</v>
      </c>
      <c r="CY9" s="1189" t="s">
        <v>3343</v>
      </c>
      <c r="CZ9" s="1192">
        <v>0.4</v>
      </c>
      <c r="DA9" s="1192">
        <v>0.4</v>
      </c>
      <c r="DB9" s="1192">
        <v>0.4</v>
      </c>
      <c r="DC9" s="1192">
        <v>0.4</v>
      </c>
      <c r="DD9" s="1192">
        <v>0.4</v>
      </c>
      <c r="DE9" s="1192">
        <v>0.3</v>
      </c>
      <c r="DF9" s="1192">
        <v>0.4</v>
      </c>
      <c r="DG9" s="1192">
        <v>0.4</v>
      </c>
      <c r="DH9" s="1192">
        <v>0.4</v>
      </c>
      <c r="DI9" s="1192">
        <v>0.4</v>
      </c>
      <c r="DJ9" s="1193"/>
      <c r="DK9" s="1192"/>
      <c r="DL9" s="1192"/>
      <c r="DN9" s="1186" t="s">
        <v>3344</v>
      </c>
      <c r="DO9" s="1191" t="s">
        <v>792</v>
      </c>
      <c r="DP9" s="1189" t="s">
        <v>3343</v>
      </c>
      <c r="DQ9" s="1192">
        <v>0.4</v>
      </c>
      <c r="DR9" s="1192">
        <v>0.4</v>
      </c>
      <c r="DS9" s="1192">
        <v>0.4</v>
      </c>
      <c r="DT9" s="1192">
        <v>0.4</v>
      </c>
      <c r="DU9" s="1192">
        <v>0.4</v>
      </c>
      <c r="DV9" s="1192">
        <v>0.3</v>
      </c>
      <c r="DW9" s="1192">
        <v>0.4</v>
      </c>
      <c r="DX9" s="1192">
        <v>0.4</v>
      </c>
      <c r="DY9" s="1192">
        <v>0.4</v>
      </c>
      <c r="DZ9" s="1192">
        <v>0.4</v>
      </c>
      <c r="EA9" s="1193"/>
      <c r="EB9" s="1192"/>
      <c r="EC9" s="1192"/>
      <c r="ED9" s="1467"/>
      <c r="EF9" s="1186" t="s">
        <v>3344</v>
      </c>
      <c r="EG9" s="1191" t="s">
        <v>792</v>
      </c>
      <c r="EH9" s="1189" t="s">
        <v>3343</v>
      </c>
      <c r="EI9" s="1674">
        <v>0.5</v>
      </c>
      <c r="EJ9" s="1674">
        <v>0.5</v>
      </c>
      <c r="EK9" s="1674">
        <v>0.5</v>
      </c>
      <c r="EL9" s="1674">
        <v>0.5</v>
      </c>
      <c r="EM9" s="1674">
        <v>0.5</v>
      </c>
      <c r="EN9" s="1674">
        <v>0.35</v>
      </c>
      <c r="EO9" s="1674">
        <v>0.5</v>
      </c>
      <c r="EP9" s="1674">
        <v>0.5</v>
      </c>
      <c r="EQ9" s="1674">
        <v>0.5</v>
      </c>
      <c r="ER9" s="1674">
        <v>0.5</v>
      </c>
      <c r="ES9" s="1685">
        <f t="shared" ref="ES9:EU10" si="28">EA9</f>
        <v>0</v>
      </c>
      <c r="ET9" s="1684">
        <f t="shared" si="28"/>
        <v>0</v>
      </c>
      <c r="EU9" s="1684">
        <f t="shared" si="28"/>
        <v>0</v>
      </c>
      <c r="EW9" s="1186" t="s">
        <v>3344</v>
      </c>
      <c r="EX9" s="1191" t="s">
        <v>792</v>
      </c>
      <c r="EY9" s="1189" t="s">
        <v>3343</v>
      </c>
      <c r="EZ9" s="1813">
        <v>0.5</v>
      </c>
      <c r="FA9" s="1674"/>
      <c r="FB9" s="1674"/>
      <c r="FC9" s="1674"/>
      <c r="FD9" s="1674"/>
      <c r="FE9" s="1674"/>
      <c r="FF9" s="1674"/>
      <c r="FG9" s="1674"/>
      <c r="FH9" s="1674"/>
      <c r="FI9" s="1674"/>
      <c r="FJ9" s="1675"/>
      <c r="FK9" s="1674"/>
      <c r="FL9" s="1674"/>
    </row>
    <row r="10" spans="2:168" ht="14.25" thickBot="1">
      <c r="B10" s="2023">
        <f t="shared" si="4"/>
        <v>1</v>
      </c>
      <c r="C10" s="2050" t="str">
        <f t="shared" si="5"/>
        <v>音環境</v>
      </c>
      <c r="D10" s="2061" t="e">
        <f>IF(I$9=0,0,G10/I$9)</f>
        <v>#REF!</v>
      </c>
      <c r="E10" s="2060" t="e">
        <f>IF(J$9=0,0,H10/J$9)</f>
        <v>#REF!</v>
      </c>
      <c r="G10" s="2060" t="e">
        <f t="shared" si="6"/>
        <v>#REF!</v>
      </c>
      <c r="H10" s="2060" t="e">
        <f t="shared" si="7"/>
        <v>#REF!</v>
      </c>
      <c r="I10" s="2286" t="e">
        <f>G11+G14+G19</f>
        <v>#REF!</v>
      </c>
      <c r="J10" s="2286" t="e">
        <f>H11+H14+H19</f>
        <v>#REF!</v>
      </c>
      <c r="K10" s="2060" t="e">
        <f>IF(L10&gt;0,1,IF(#REF!=0,0,1))</f>
        <v>#REF!</v>
      </c>
      <c r="L10" s="2060" t="e">
        <f>IF(#REF!=0,0,1)</f>
        <v>#REF!</v>
      </c>
      <c r="M10" s="2060">
        <f t="shared" si="8"/>
        <v>0.15</v>
      </c>
      <c r="N10" s="2060">
        <f t="shared" si="9"/>
        <v>0</v>
      </c>
      <c r="P10" s="2066">
        <v>1</v>
      </c>
      <c r="Q10" s="2233" t="s">
        <v>1793</v>
      </c>
      <c r="R10" s="2045"/>
      <c r="S10" s="1309"/>
      <c r="T10" s="2044"/>
      <c r="U10" s="2017"/>
      <c r="V10" s="2074">
        <f>IF(SUMPRODUCT($AM$7:$AV$7,Y10:AH10)=0,0,SUMPRODUCT($AM$7:$AV$7,AM10:AV10)/SUMPRODUCT($AM$7:$AV$7,Y10:AH10))</f>
        <v>0</v>
      </c>
      <c r="W10" s="2073">
        <f>IF(SUMPRODUCT($AW$7:$AY$7,AI10:AK10)=0,0,SUMPRODUCT($AW$7:$AY$7,AW10:AY10)/SUMPRODUCT($AW$7:$AY$7,AI10:AK10))</f>
        <v>0</v>
      </c>
      <c r="Y10" s="1">
        <f t="shared" ref="Y10:Y41" si="29">IF(OR(AM10=0,AM10="-"),0,1)</f>
        <v>0</v>
      </c>
      <c r="Z10" s="1">
        <f t="shared" ref="Z10:Z41" si="30">IF(OR(AN10=0,AN10="-"),0,1)</f>
        <v>0</v>
      </c>
      <c r="AA10" s="1">
        <f t="shared" ref="AA10:AA41" si="31">IF(OR(AO10=0,AO10="-"),0,1)</f>
        <v>0</v>
      </c>
      <c r="AB10" s="1">
        <f t="shared" ref="AB10:AB41" si="32">IF(OR(AP10=0,AP10="-"),0,1)</f>
        <v>0</v>
      </c>
      <c r="AC10" s="1">
        <f t="shared" ref="AC10:AC41" si="33">IF(OR(AQ10=0,AQ10="-"),0,1)</f>
        <v>0</v>
      </c>
      <c r="AD10" s="1">
        <f t="shared" ref="AD10:AD41" si="34">IF(OR(AR10=0,AR10="-"),0,1)</f>
        <v>0</v>
      </c>
      <c r="AE10" s="1">
        <f t="shared" ref="AE10:AE41" si="35">IF(OR(AS10=0,AS10="-"),0,1)</f>
        <v>0</v>
      </c>
      <c r="AF10" s="1">
        <f t="shared" ref="AF10:AF41" si="36">IF(OR(AT10=0,AT10="-"),0,1)</f>
        <v>0</v>
      </c>
      <c r="AG10" s="1">
        <f t="shared" ref="AG10:AG41" si="37">IF(OR(AU10=0,AU10="-"),0,1)</f>
        <v>0</v>
      </c>
      <c r="AH10" s="1">
        <f t="shared" ref="AH10:AH41" si="38">IF(OR(AV10=0,AV10="-"),0,1)</f>
        <v>0</v>
      </c>
      <c r="AI10" s="1">
        <f t="shared" ref="AI10:AI41" si="39">IF(OR(AW10=0,AW10="-"),0,1)</f>
        <v>0</v>
      </c>
      <c r="AJ10" s="1">
        <f t="shared" ref="AJ10:AJ41" si="40">IF(OR(AX10=0,AX10="-"),0,1)</f>
        <v>0</v>
      </c>
      <c r="AK10" s="1">
        <f t="shared" ref="AK10:AK41" si="41">IF(OR(AY10=0,AY10="-"),0,1)</f>
        <v>0</v>
      </c>
      <c r="AM10" s="2055" t="s">
        <v>3316</v>
      </c>
      <c r="AN10" s="2055" t="s">
        <v>3316</v>
      </c>
      <c r="AO10" s="2055" t="s">
        <v>3316</v>
      </c>
      <c r="AP10" s="2055" t="s">
        <v>3316</v>
      </c>
      <c r="AQ10" s="2055" t="s">
        <v>3316</v>
      </c>
      <c r="AR10" s="2055" t="s">
        <v>3316</v>
      </c>
      <c r="AS10" s="2055" t="s">
        <v>3316</v>
      </c>
      <c r="AT10" s="2055" t="s">
        <v>3316</v>
      </c>
      <c r="AU10" s="2055" t="s">
        <v>3316</v>
      </c>
      <c r="AV10" s="2055" t="s">
        <v>3316</v>
      </c>
      <c r="AW10" s="2055" t="s">
        <v>3316</v>
      </c>
      <c r="AX10" s="2055" t="s">
        <v>3316</v>
      </c>
      <c r="AY10" s="2055" t="s">
        <v>3316</v>
      </c>
      <c r="BA10" s="2054" t="e">
        <f>BB10/$BC$9</f>
        <v>#REF!</v>
      </c>
      <c r="BB10" s="2054" t="e">
        <f t="shared" si="11"/>
        <v>#REF!</v>
      </c>
      <c r="BC10" s="2054"/>
      <c r="BD10" s="2053" t="e">
        <f>BR10*#REF!</f>
        <v>#REF!</v>
      </c>
      <c r="BE10" s="2053" t="e">
        <f>BS10*#REF!</f>
        <v>#REF!</v>
      </c>
      <c r="BF10" s="2053" t="e">
        <f>BT10*#REF!</f>
        <v>#REF!</v>
      </c>
      <c r="BG10" s="2053" t="e">
        <f>BU10*#REF!</f>
        <v>#REF!</v>
      </c>
      <c r="BH10" s="2138" t="e">
        <f>BV10*#REF!</f>
        <v>#REF!</v>
      </c>
      <c r="BI10" s="2053" t="e">
        <f>BW10*#REF!</f>
        <v>#REF!</v>
      </c>
      <c r="BJ10" s="2053" t="e">
        <f>BX10*#REF!</f>
        <v>#REF!</v>
      </c>
      <c r="BK10" s="2053" t="e">
        <f>BY10*#REF!</f>
        <v>#REF!</v>
      </c>
      <c r="BL10" s="2053" t="e">
        <f>BZ10*#REF!</f>
        <v>#REF!</v>
      </c>
      <c r="BM10" s="2053" t="e">
        <f>CA10*#REF!</f>
        <v>#REF!</v>
      </c>
      <c r="BO10" s="2114">
        <f t="shared" si="12"/>
        <v>1</v>
      </c>
      <c r="BP10" s="2114" t="str">
        <f t="shared" si="13"/>
        <v xml:space="preserve"> Q1</v>
      </c>
      <c r="BQ10" s="2050" t="str">
        <f t="shared" si="14"/>
        <v>音環境</v>
      </c>
      <c r="BR10" s="2048">
        <f t="shared" si="15"/>
        <v>0.15</v>
      </c>
      <c r="BS10" s="2048">
        <f t="shared" si="16"/>
        <v>0.15</v>
      </c>
      <c r="BT10" s="2048">
        <f t="shared" si="17"/>
        <v>0.15</v>
      </c>
      <c r="BU10" s="2048">
        <f t="shared" si="18"/>
        <v>0.15</v>
      </c>
      <c r="BV10" s="2136">
        <f t="shared" si="19"/>
        <v>0.15</v>
      </c>
      <c r="BW10" s="2048">
        <f t="shared" si="20"/>
        <v>0.15</v>
      </c>
      <c r="BX10" s="2048">
        <f t="shared" si="21"/>
        <v>0.15</v>
      </c>
      <c r="BY10" s="2048">
        <f t="shared" si="22"/>
        <v>0.15</v>
      </c>
      <c r="BZ10" s="2048">
        <f t="shared" si="23"/>
        <v>0.15</v>
      </c>
      <c r="CA10" s="2048">
        <f t="shared" si="24"/>
        <v>0.15</v>
      </c>
      <c r="CB10" s="2049">
        <f t="shared" si="25"/>
        <v>0</v>
      </c>
      <c r="CC10" s="2048">
        <f t="shared" si="26"/>
        <v>0</v>
      </c>
      <c r="CD10" s="2048">
        <f t="shared" si="27"/>
        <v>0</v>
      </c>
      <c r="CF10" s="1197">
        <v>1</v>
      </c>
      <c r="CG10" s="1201" t="s">
        <v>793</v>
      </c>
      <c r="CH10" s="1198" t="s">
        <v>783</v>
      </c>
      <c r="CI10" s="1199">
        <v>0.15</v>
      </c>
      <c r="CJ10" s="1199">
        <v>0.15</v>
      </c>
      <c r="CK10" s="1199">
        <v>0.15</v>
      </c>
      <c r="CL10" s="1199">
        <v>0.15</v>
      </c>
      <c r="CM10" s="1200">
        <v>0.23</v>
      </c>
      <c r="CN10" s="1199">
        <v>0.15</v>
      </c>
      <c r="CO10" s="1202">
        <v>0.15</v>
      </c>
      <c r="CP10" s="1199">
        <v>0.15</v>
      </c>
      <c r="CQ10" s="1199">
        <v>0.15</v>
      </c>
      <c r="CR10" s="1199">
        <v>0.15</v>
      </c>
      <c r="CS10" s="1203"/>
      <c r="CT10" s="1202"/>
      <c r="CU10" s="1202"/>
      <c r="CW10" s="1197">
        <v>1</v>
      </c>
      <c r="CX10" s="1201" t="s">
        <v>793</v>
      </c>
      <c r="CY10" s="1198" t="s">
        <v>783</v>
      </c>
      <c r="CZ10" s="1202">
        <v>0.15</v>
      </c>
      <c r="DA10" s="1202">
        <v>0.15</v>
      </c>
      <c r="DB10" s="1202">
        <v>0.15</v>
      </c>
      <c r="DC10" s="1202">
        <v>0.15</v>
      </c>
      <c r="DD10" s="1204">
        <v>0.23</v>
      </c>
      <c r="DE10" s="1202">
        <v>0.15</v>
      </c>
      <c r="DF10" s="1202">
        <v>0.15</v>
      </c>
      <c r="DG10" s="1202">
        <v>0.15</v>
      </c>
      <c r="DH10" s="1202">
        <v>0.15</v>
      </c>
      <c r="DI10" s="1202">
        <v>0.15</v>
      </c>
      <c r="DJ10" s="1203"/>
      <c r="DK10" s="1202"/>
      <c r="DL10" s="1202"/>
      <c r="DN10" s="1197">
        <v>1</v>
      </c>
      <c r="DO10" s="1201" t="s">
        <v>793</v>
      </c>
      <c r="DP10" s="1198" t="s">
        <v>783</v>
      </c>
      <c r="DQ10" s="1202">
        <v>0.15</v>
      </c>
      <c r="DR10" s="1202">
        <v>0.15</v>
      </c>
      <c r="DS10" s="1202">
        <v>0.15</v>
      </c>
      <c r="DT10" s="1202">
        <v>0.15</v>
      </c>
      <c r="DU10" s="1566">
        <v>0.15</v>
      </c>
      <c r="DV10" s="1202">
        <v>0.15</v>
      </c>
      <c r="DW10" s="1202">
        <v>0.15</v>
      </c>
      <c r="DX10" s="1202">
        <v>0.15</v>
      </c>
      <c r="DY10" s="1202">
        <v>0.15</v>
      </c>
      <c r="DZ10" s="1202">
        <v>0.15</v>
      </c>
      <c r="EA10" s="1203"/>
      <c r="EB10" s="1202"/>
      <c r="EC10" s="1202"/>
      <c r="ED10" s="1468"/>
      <c r="EF10" s="1197">
        <v>1</v>
      </c>
      <c r="EG10" s="1201" t="s">
        <v>793</v>
      </c>
      <c r="EH10" s="1198" t="s">
        <v>783</v>
      </c>
      <c r="EI10" s="1686">
        <f t="shared" ref="EI10:ER10" si="42">DQ10</f>
        <v>0.15</v>
      </c>
      <c r="EJ10" s="1686">
        <f t="shared" si="42"/>
        <v>0.15</v>
      </c>
      <c r="EK10" s="1686">
        <f t="shared" si="42"/>
        <v>0.15</v>
      </c>
      <c r="EL10" s="1686">
        <f t="shared" si="42"/>
        <v>0.15</v>
      </c>
      <c r="EM10" s="1687">
        <f t="shared" si="42"/>
        <v>0.15</v>
      </c>
      <c r="EN10" s="1686">
        <f t="shared" si="42"/>
        <v>0.15</v>
      </c>
      <c r="EO10" s="1686">
        <f t="shared" si="42"/>
        <v>0.15</v>
      </c>
      <c r="EP10" s="1686">
        <f t="shared" si="42"/>
        <v>0.15</v>
      </c>
      <c r="EQ10" s="1686">
        <f t="shared" si="42"/>
        <v>0.15</v>
      </c>
      <c r="ER10" s="1686">
        <f t="shared" si="42"/>
        <v>0.15</v>
      </c>
      <c r="ES10" s="1688">
        <f t="shared" si="28"/>
        <v>0</v>
      </c>
      <c r="ET10" s="1686">
        <f t="shared" si="28"/>
        <v>0</v>
      </c>
      <c r="EU10" s="1686">
        <f t="shared" si="28"/>
        <v>0</v>
      </c>
      <c r="EW10" s="1197">
        <v>1</v>
      </c>
      <c r="EX10" s="1201" t="s">
        <v>793</v>
      </c>
      <c r="EY10" s="1198" t="s">
        <v>783</v>
      </c>
      <c r="EZ10" s="1676">
        <f>DQ10</f>
        <v>0.15</v>
      </c>
      <c r="FA10" s="1676"/>
      <c r="FB10" s="1676"/>
      <c r="FC10" s="1676"/>
      <c r="FD10" s="1793"/>
      <c r="FE10" s="1676"/>
      <c r="FF10" s="1676"/>
      <c r="FG10" s="1676"/>
      <c r="FH10" s="1676"/>
      <c r="FI10" s="1676"/>
      <c r="FJ10" s="1677"/>
      <c r="FK10" s="1676"/>
      <c r="FL10" s="1676"/>
    </row>
    <row r="11" spans="2:168" ht="14.25" thickBot="1">
      <c r="B11" s="2023">
        <f t="shared" si="4"/>
        <v>1.1000000000000001</v>
      </c>
      <c r="C11" s="829" t="str">
        <f t="shared" si="5"/>
        <v>室内騒音レベル</v>
      </c>
      <c r="D11" s="2022" t="e">
        <f>IF(I$10=0,0,G11/I$10)</f>
        <v>#REF!</v>
      </c>
      <c r="E11" s="2022" t="e">
        <f>IF(J$10=0,0,H11/J$10)</f>
        <v>#REF!</v>
      </c>
      <c r="G11" s="2021" t="e">
        <f t="shared" si="6"/>
        <v>#REF!</v>
      </c>
      <c r="H11" s="2021" t="e">
        <f t="shared" si="7"/>
        <v>#REF!</v>
      </c>
      <c r="I11" s="2100" t="e">
        <f>SUM(G12:G13)</f>
        <v>#REF!</v>
      </c>
      <c r="J11" s="2100" t="e">
        <f>SUM(H12:H13)</f>
        <v>#REF!</v>
      </c>
      <c r="K11" s="2021" t="e">
        <f>IF(#REF!=0,0,1)</f>
        <v>#REF!</v>
      </c>
      <c r="L11" s="2021" t="e">
        <f>IF(#REF!=0,0,1)</f>
        <v>#REF!</v>
      </c>
      <c r="M11" s="2021">
        <f t="shared" si="8"/>
        <v>0.4</v>
      </c>
      <c r="N11" s="2021">
        <f t="shared" si="9"/>
        <v>0</v>
      </c>
      <c r="P11" s="2214"/>
      <c r="Q11" s="2035">
        <v>1.1000000000000001</v>
      </c>
      <c r="R11" s="2107" t="s">
        <v>2914</v>
      </c>
      <c r="S11" s="1655"/>
      <c r="T11" s="1655"/>
      <c r="U11" s="2017"/>
      <c r="V11" s="2110">
        <f>IF(SUMPRODUCT($AM$7:$AV$7,Y11:AH11)=0,0,SUMPRODUCT($AM$7:$AV$7,AM11:AV11)/SUMPRODUCT($AM$7:$AV$7,Y11:AH11))</f>
        <v>0</v>
      </c>
      <c r="W11" s="2109">
        <f>IF(SUMPRODUCT($AW$7:$AY$7,AI11:AK11)=0,0,SUMPRODUCT($AW$7:$AY$7,AW11:AY11)/SUMPRODUCT($AW$7:$AY$7,AI11:AK11))</f>
        <v>0</v>
      </c>
      <c r="Y11" s="1">
        <f t="shared" si="29"/>
        <v>0</v>
      </c>
      <c r="Z11" s="1">
        <f t="shared" si="30"/>
        <v>0</v>
      </c>
      <c r="AA11" s="1">
        <f t="shared" si="31"/>
        <v>0</v>
      </c>
      <c r="AB11" s="1">
        <f t="shared" si="32"/>
        <v>0</v>
      </c>
      <c r="AC11" s="1">
        <f t="shared" si="33"/>
        <v>0</v>
      </c>
      <c r="AD11" s="1">
        <f t="shared" si="34"/>
        <v>0</v>
      </c>
      <c r="AE11" s="1">
        <f t="shared" si="35"/>
        <v>0</v>
      </c>
      <c r="AF11" s="1">
        <f t="shared" si="36"/>
        <v>0</v>
      </c>
      <c r="AG11" s="1">
        <f t="shared" si="37"/>
        <v>0</v>
      </c>
      <c r="AH11" s="1">
        <f t="shared" si="38"/>
        <v>0</v>
      </c>
      <c r="AI11" s="1">
        <f t="shared" si="39"/>
        <v>1</v>
      </c>
      <c r="AJ11" s="1">
        <f t="shared" si="40"/>
        <v>1</v>
      </c>
      <c r="AK11" s="1">
        <f t="shared" si="41"/>
        <v>0</v>
      </c>
      <c r="AM11" s="2108"/>
      <c r="AN11" s="2108"/>
      <c r="AO11" s="2108"/>
      <c r="AP11" s="2108"/>
      <c r="AQ11" s="2108"/>
      <c r="AR11" s="2108"/>
      <c r="AS11" s="2108"/>
      <c r="AT11" s="2108"/>
      <c r="AU11" s="2108"/>
      <c r="AV11" s="2108"/>
      <c r="AW11" s="2108">
        <v>4</v>
      </c>
      <c r="AX11" s="2108">
        <v>5</v>
      </c>
      <c r="AY11" s="2108"/>
      <c r="BA11" s="2014"/>
      <c r="BB11" s="2014" t="e">
        <f t="shared" si="11"/>
        <v>#REF!</v>
      </c>
      <c r="BC11" s="2014"/>
      <c r="BD11" s="2013" t="e">
        <f>BR11*#REF!</f>
        <v>#REF!</v>
      </c>
      <c r="BE11" s="2013" t="e">
        <f>BS11*#REF!</f>
        <v>#REF!</v>
      </c>
      <c r="BF11" s="2013" t="e">
        <f>BT11*#REF!</f>
        <v>#REF!</v>
      </c>
      <c r="BG11" s="2013" t="e">
        <f>BU11*#REF!</f>
        <v>#REF!</v>
      </c>
      <c r="BH11" s="2013" t="e">
        <f>BV11*#REF!</f>
        <v>#REF!</v>
      </c>
      <c r="BI11" s="2013" t="e">
        <f>BW11*#REF!</f>
        <v>#REF!</v>
      </c>
      <c r="BJ11" s="2013" t="e">
        <f>BX11*#REF!</f>
        <v>#REF!</v>
      </c>
      <c r="BK11" s="2013" t="e">
        <f>BY11*#REF!</f>
        <v>#REF!</v>
      </c>
      <c r="BL11" s="2013" t="e">
        <f>BZ11*#REF!</f>
        <v>#REF!</v>
      </c>
      <c r="BM11" s="2013" t="e">
        <f>CA11*#REF!</f>
        <v>#REF!</v>
      </c>
      <c r="BO11" s="2040">
        <f t="shared" si="12"/>
        <v>1.1000000000000001</v>
      </c>
      <c r="BP11" s="2040" t="str">
        <f t="shared" si="13"/>
        <v xml:space="preserve"> Q1 1</v>
      </c>
      <c r="BQ11" s="829" t="str">
        <f t="shared" si="14"/>
        <v>室内騒音レベル</v>
      </c>
      <c r="BR11" s="2010">
        <f t="shared" si="15"/>
        <v>0.4</v>
      </c>
      <c r="BS11" s="2010">
        <f t="shared" si="16"/>
        <v>0.4</v>
      </c>
      <c r="BT11" s="2010">
        <f t="shared" si="17"/>
        <v>0.4</v>
      </c>
      <c r="BU11" s="2010">
        <f t="shared" si="18"/>
        <v>0.4</v>
      </c>
      <c r="BV11" s="2010">
        <f t="shared" si="19"/>
        <v>0.4</v>
      </c>
      <c r="BW11" s="2010">
        <f t="shared" si="20"/>
        <v>0.4</v>
      </c>
      <c r="BX11" s="2010">
        <f t="shared" si="21"/>
        <v>0.4</v>
      </c>
      <c r="BY11" s="2010">
        <f t="shared" si="22"/>
        <v>0.4</v>
      </c>
      <c r="BZ11" s="2010">
        <f t="shared" si="23"/>
        <v>0.4</v>
      </c>
      <c r="CA11" s="2010">
        <f t="shared" si="24"/>
        <v>0.5</v>
      </c>
      <c r="CB11" s="2039">
        <f t="shared" si="25"/>
        <v>0.4</v>
      </c>
      <c r="CC11" s="2010">
        <f t="shared" si="26"/>
        <v>0.4</v>
      </c>
      <c r="CD11" s="2010">
        <f t="shared" si="27"/>
        <v>0.5</v>
      </c>
      <c r="CF11" s="1207">
        <v>1.1000000000000001</v>
      </c>
      <c r="CG11" s="1211" t="s">
        <v>794</v>
      </c>
      <c r="CH11" s="1208" t="s">
        <v>3342</v>
      </c>
      <c r="CI11" s="1212">
        <v>0.4</v>
      </c>
      <c r="CJ11" s="1209">
        <v>0.4</v>
      </c>
      <c r="CK11" s="1209">
        <v>0.8</v>
      </c>
      <c r="CL11" s="1209">
        <v>0.4</v>
      </c>
      <c r="CM11" s="1212">
        <v>0.8</v>
      </c>
      <c r="CN11" s="1212">
        <v>0.5</v>
      </c>
      <c r="CO11" s="1213">
        <v>0.4</v>
      </c>
      <c r="CP11" s="1212">
        <v>0.4</v>
      </c>
      <c r="CQ11" s="1209">
        <v>0.8</v>
      </c>
      <c r="CR11" s="1209">
        <v>0.8</v>
      </c>
      <c r="CS11" s="1214">
        <v>0.5</v>
      </c>
      <c r="CT11" s="1213">
        <v>0.4</v>
      </c>
      <c r="CU11" s="1213">
        <v>0.4</v>
      </c>
      <c r="CW11" s="1207">
        <v>1.1000000000000001</v>
      </c>
      <c r="CX11" s="1211" t="s">
        <v>794</v>
      </c>
      <c r="CY11" s="1208" t="s">
        <v>3342</v>
      </c>
      <c r="CZ11" s="1213"/>
      <c r="DA11" s="1213"/>
      <c r="DB11" s="1213"/>
      <c r="DC11" s="1213"/>
      <c r="DD11" s="1215">
        <v>0.4</v>
      </c>
      <c r="DE11" s="1213"/>
      <c r="DF11" s="1213"/>
      <c r="DG11" s="1213"/>
      <c r="DH11" s="1213"/>
      <c r="DI11" s="1213"/>
      <c r="DJ11" s="1214"/>
      <c r="DK11" s="1213"/>
      <c r="DL11" s="1213"/>
      <c r="DN11" s="1207">
        <v>1.1000000000000001</v>
      </c>
      <c r="DO11" s="1211" t="s">
        <v>794</v>
      </c>
      <c r="DP11" s="1208" t="s">
        <v>2914</v>
      </c>
      <c r="DQ11" s="1213">
        <v>0.4</v>
      </c>
      <c r="DR11" s="1213">
        <v>0.4</v>
      </c>
      <c r="DS11" s="1213">
        <v>0.4</v>
      </c>
      <c r="DT11" s="1213">
        <v>0.4</v>
      </c>
      <c r="DU11" s="1567">
        <v>0.4</v>
      </c>
      <c r="DV11" s="1213">
        <v>0.4</v>
      </c>
      <c r="DW11" s="1213">
        <v>0.4</v>
      </c>
      <c r="DX11" s="1213">
        <v>0.4</v>
      </c>
      <c r="DY11" s="1213">
        <v>0.4</v>
      </c>
      <c r="DZ11" s="1213">
        <v>0.5</v>
      </c>
      <c r="EA11" s="1213">
        <v>0.4</v>
      </c>
      <c r="EB11" s="1213">
        <v>0.4</v>
      </c>
      <c r="EC11" s="1213">
        <v>0.5</v>
      </c>
      <c r="ED11" s="1469"/>
      <c r="EF11" s="1207">
        <v>1.1000000000000001</v>
      </c>
      <c r="EG11" s="1211" t="s">
        <v>794</v>
      </c>
      <c r="EH11" s="1208" t="s">
        <v>797</v>
      </c>
      <c r="EI11" s="1689">
        <v>0</v>
      </c>
      <c r="EJ11" s="1689">
        <v>0</v>
      </c>
      <c r="EK11" s="1689">
        <v>0</v>
      </c>
      <c r="EL11" s="1689">
        <v>0</v>
      </c>
      <c r="EM11" s="1689">
        <v>0</v>
      </c>
      <c r="EN11" s="1689">
        <v>0</v>
      </c>
      <c r="EO11" s="1689">
        <v>0</v>
      </c>
      <c r="EP11" s="1689">
        <v>0</v>
      </c>
      <c r="EQ11" s="1689">
        <v>0</v>
      </c>
      <c r="ER11" s="1689">
        <v>0</v>
      </c>
      <c r="ES11" s="1689">
        <v>0</v>
      </c>
      <c r="ET11" s="1689">
        <v>0</v>
      </c>
      <c r="EU11" s="1689">
        <v>0</v>
      </c>
      <c r="EW11" s="1207">
        <v>1.1000000000000001</v>
      </c>
      <c r="EX11" s="1211" t="s">
        <v>794</v>
      </c>
      <c r="EY11" s="1208" t="s">
        <v>797</v>
      </c>
      <c r="EZ11" s="1814">
        <v>1</v>
      </c>
      <c r="FA11" s="1678"/>
      <c r="FB11" s="1678"/>
      <c r="FC11" s="1678"/>
      <c r="FD11" s="1678"/>
      <c r="FE11" s="1678"/>
      <c r="FF11" s="1678"/>
      <c r="FG11" s="1678"/>
      <c r="FH11" s="1678"/>
      <c r="FI11" s="1678"/>
      <c r="FJ11" s="1678"/>
      <c r="FK11" s="1678"/>
      <c r="FL11" s="1678"/>
    </row>
    <row r="12" spans="2:168" ht="14.25" hidden="1" thickBot="1">
      <c r="B12" s="2023" t="str">
        <f t="shared" si="4"/>
        <v>1.1.1</v>
      </c>
      <c r="C12" s="829">
        <f t="shared" si="5"/>
        <v>0</v>
      </c>
      <c r="D12" s="2022" t="e">
        <f>IF(I$11=0,0,G12/I$11)</f>
        <v>#REF!</v>
      </c>
      <c r="E12" s="2022" t="e">
        <f>IF(J$11=0,0,H12/J$11)</f>
        <v>#REF!</v>
      </c>
      <c r="G12" s="2021" t="e">
        <f t="shared" si="6"/>
        <v>#REF!</v>
      </c>
      <c r="H12" s="2021" t="e">
        <f t="shared" si="7"/>
        <v>#REF!</v>
      </c>
      <c r="I12" s="2100"/>
      <c r="J12" s="2100"/>
      <c r="K12" s="2021" t="e">
        <f>IF(#REF!=0,0,1)</f>
        <v>#REF!</v>
      </c>
      <c r="L12" s="2021" t="e">
        <f>IF(#REF!=0,0,1)</f>
        <v>#REF!</v>
      </c>
      <c r="M12" s="2021">
        <f t="shared" si="8"/>
        <v>0</v>
      </c>
      <c r="N12" s="2021">
        <f t="shared" si="9"/>
        <v>0</v>
      </c>
      <c r="P12" s="2285"/>
      <c r="Q12" s="2284"/>
      <c r="R12" s="2283">
        <v>1</v>
      </c>
      <c r="S12" s="2282" t="s">
        <v>3341</v>
      </c>
      <c r="T12" s="2281"/>
      <c r="U12" s="2017"/>
      <c r="V12" s="2110"/>
      <c r="W12" s="2109"/>
      <c r="Y12" s="1">
        <f t="shared" si="29"/>
        <v>0</v>
      </c>
      <c r="Z12" s="1">
        <f t="shared" si="30"/>
        <v>0</v>
      </c>
      <c r="AA12" s="1">
        <f t="shared" si="31"/>
        <v>0</v>
      </c>
      <c r="AB12" s="1">
        <f t="shared" si="32"/>
        <v>0</v>
      </c>
      <c r="AC12" s="1">
        <f t="shared" si="33"/>
        <v>0</v>
      </c>
      <c r="AD12" s="1">
        <f t="shared" si="34"/>
        <v>0</v>
      </c>
      <c r="AE12" s="1">
        <f t="shared" si="35"/>
        <v>0</v>
      </c>
      <c r="AF12" s="1">
        <f t="shared" si="36"/>
        <v>0</v>
      </c>
      <c r="AG12" s="1">
        <f t="shared" si="37"/>
        <v>0</v>
      </c>
      <c r="AH12" s="1">
        <f t="shared" si="38"/>
        <v>0</v>
      </c>
      <c r="AI12" s="1">
        <f t="shared" si="39"/>
        <v>0</v>
      </c>
      <c r="AJ12" s="1">
        <f t="shared" si="40"/>
        <v>0</v>
      </c>
      <c r="AK12" s="1">
        <f t="shared" si="41"/>
        <v>0</v>
      </c>
      <c r="AM12" s="2165"/>
      <c r="AN12" s="2165"/>
      <c r="AO12" s="2165"/>
      <c r="AP12" s="2165"/>
      <c r="AQ12" s="2165"/>
      <c r="AR12" s="2165"/>
      <c r="AS12" s="2165"/>
      <c r="AT12" s="2165"/>
      <c r="AU12" s="2165"/>
      <c r="AV12" s="2165"/>
      <c r="AW12" s="2165"/>
      <c r="AX12" s="2165"/>
      <c r="AY12" s="2165"/>
      <c r="BA12" s="2014"/>
      <c r="BB12" s="2014" t="e">
        <f t="shared" si="11"/>
        <v>#REF!</v>
      </c>
      <c r="BC12" s="2014"/>
      <c r="BD12" s="2013" t="e">
        <f>BR12*#REF!</f>
        <v>#REF!</v>
      </c>
      <c r="BE12" s="2013" t="e">
        <f>BS12*#REF!</f>
        <v>#REF!</v>
      </c>
      <c r="BF12" s="2013" t="e">
        <f>BT12*#REF!</f>
        <v>#REF!</v>
      </c>
      <c r="BG12" s="2013" t="e">
        <f>BU12*#REF!</f>
        <v>#REF!</v>
      </c>
      <c r="BH12" s="2013" t="e">
        <f>BV12*#REF!</f>
        <v>#REF!</v>
      </c>
      <c r="BI12" s="2013" t="e">
        <f>BW12*#REF!</f>
        <v>#REF!</v>
      </c>
      <c r="BJ12" s="2013" t="e">
        <f>BX12*#REF!</f>
        <v>#REF!</v>
      </c>
      <c r="BK12" s="2013" t="e">
        <f>BY12*#REF!</f>
        <v>#REF!</v>
      </c>
      <c r="BL12" s="2013" t="e">
        <f>BZ12*#REF!</f>
        <v>#REF!</v>
      </c>
      <c r="BM12" s="2013" t="e">
        <f>CA12*#REF!</f>
        <v>#REF!</v>
      </c>
      <c r="BO12" s="2040" t="str">
        <f t="shared" si="12"/>
        <v>1.1.1</v>
      </c>
      <c r="BP12" s="2040" t="str">
        <f t="shared" si="13"/>
        <v xml:space="preserve"> Q1 1.1</v>
      </c>
      <c r="BQ12" s="829">
        <f t="shared" si="14"/>
        <v>0</v>
      </c>
      <c r="BR12" s="2010">
        <f t="shared" si="15"/>
        <v>0</v>
      </c>
      <c r="BS12" s="2010">
        <f t="shared" si="16"/>
        <v>0</v>
      </c>
      <c r="BT12" s="2010">
        <f t="shared" si="17"/>
        <v>0</v>
      </c>
      <c r="BU12" s="2010">
        <f t="shared" si="18"/>
        <v>0</v>
      </c>
      <c r="BV12" s="2010">
        <f t="shared" si="19"/>
        <v>0</v>
      </c>
      <c r="BW12" s="2010">
        <f t="shared" si="20"/>
        <v>0</v>
      </c>
      <c r="BX12" s="2010">
        <f t="shared" si="21"/>
        <v>0</v>
      </c>
      <c r="BY12" s="2010">
        <f t="shared" si="22"/>
        <v>0</v>
      </c>
      <c r="BZ12" s="2010">
        <f t="shared" si="23"/>
        <v>0</v>
      </c>
      <c r="CA12" s="2010">
        <f t="shared" si="24"/>
        <v>0</v>
      </c>
      <c r="CB12" s="2039">
        <f t="shared" si="25"/>
        <v>0</v>
      </c>
      <c r="CC12" s="2010">
        <f t="shared" si="26"/>
        <v>0</v>
      </c>
      <c r="CD12" s="2010">
        <f t="shared" si="27"/>
        <v>0</v>
      </c>
      <c r="CF12" s="1207" t="s">
        <v>795</v>
      </c>
      <c r="CG12" s="1211" t="s">
        <v>796</v>
      </c>
      <c r="CH12" s="1208" t="s">
        <v>797</v>
      </c>
      <c r="CI12" s="1209">
        <v>0.4</v>
      </c>
      <c r="CJ12" s="1209">
        <v>1</v>
      </c>
      <c r="CK12" s="1209">
        <v>1</v>
      </c>
      <c r="CL12" s="1209">
        <v>1</v>
      </c>
      <c r="CM12" s="1209">
        <v>1</v>
      </c>
      <c r="CN12" s="1209">
        <v>0.4</v>
      </c>
      <c r="CO12" s="1213">
        <v>1</v>
      </c>
      <c r="CP12" s="1209">
        <v>0.4</v>
      </c>
      <c r="CQ12" s="1209">
        <v>1</v>
      </c>
      <c r="CR12" s="1209">
        <v>1</v>
      </c>
      <c r="CS12" s="1214">
        <v>0.4</v>
      </c>
      <c r="CT12" s="1213">
        <v>1</v>
      </c>
      <c r="CU12" s="1213">
        <v>1</v>
      </c>
      <c r="CW12" s="1207" t="s">
        <v>795</v>
      </c>
      <c r="CX12" s="1211" t="s">
        <v>796</v>
      </c>
      <c r="CY12" s="1208" t="s">
        <v>797</v>
      </c>
      <c r="CZ12" s="1213"/>
      <c r="DA12" s="1213"/>
      <c r="DB12" s="1213"/>
      <c r="DC12" s="1213"/>
      <c r="DD12" s="1215">
        <v>1</v>
      </c>
      <c r="DE12" s="1213"/>
      <c r="DF12" s="1213"/>
      <c r="DG12" s="1213"/>
      <c r="DH12" s="1213"/>
      <c r="DI12" s="1213"/>
      <c r="DJ12" s="1214"/>
      <c r="DK12" s="1213"/>
      <c r="DL12" s="1213"/>
      <c r="DN12" s="1207" t="s">
        <v>795</v>
      </c>
      <c r="DO12" s="1211" t="s">
        <v>796</v>
      </c>
      <c r="DP12" s="1208"/>
      <c r="DQ12" s="1213"/>
      <c r="DR12" s="1213"/>
      <c r="DS12" s="1213"/>
      <c r="DT12" s="1213"/>
      <c r="DU12" s="1567"/>
      <c r="DV12" s="1213"/>
      <c r="DW12" s="1213"/>
      <c r="DX12" s="1213"/>
      <c r="DY12" s="1213"/>
      <c r="DZ12" s="1213"/>
      <c r="EA12" s="1214"/>
      <c r="EB12" s="1213"/>
      <c r="EC12" s="1213"/>
      <c r="ED12" s="1469"/>
      <c r="EF12" s="1207" t="s">
        <v>795</v>
      </c>
      <c r="EG12" s="1211" t="s">
        <v>796</v>
      </c>
      <c r="EH12" s="1208"/>
      <c r="EI12" s="1689"/>
      <c r="EJ12" s="1689"/>
      <c r="EK12" s="1689"/>
      <c r="EL12" s="1689"/>
      <c r="EM12" s="1690"/>
      <c r="EN12" s="1689"/>
      <c r="EO12" s="1689"/>
      <c r="EP12" s="1689"/>
      <c r="EQ12" s="1689"/>
      <c r="ER12" s="1689"/>
      <c r="ES12" s="1691"/>
      <c r="ET12" s="1689"/>
      <c r="EU12" s="1689"/>
      <c r="EW12" s="1207" t="s">
        <v>795</v>
      </c>
      <c r="EX12" s="1211" t="s">
        <v>796</v>
      </c>
      <c r="EY12" s="1208"/>
      <c r="EZ12" s="1814">
        <f>DQ12</f>
        <v>0</v>
      </c>
      <c r="FA12" s="1678"/>
      <c r="FB12" s="1678"/>
      <c r="FC12" s="1678"/>
      <c r="FD12" s="1794"/>
      <c r="FE12" s="1678"/>
      <c r="FF12" s="1678"/>
      <c r="FG12" s="1678"/>
      <c r="FH12" s="1678"/>
      <c r="FI12" s="1678"/>
      <c r="FJ12" s="1795"/>
      <c r="FK12" s="1678"/>
      <c r="FL12" s="1678"/>
    </row>
    <row r="13" spans="2:168" ht="14.25" hidden="1" thickBot="1">
      <c r="B13" s="2023" t="str">
        <f t="shared" si="4"/>
        <v>1.1.2</v>
      </c>
      <c r="C13" s="829">
        <f t="shared" si="5"/>
        <v>0</v>
      </c>
      <c r="D13" s="2022" t="e">
        <f>IF(I$11=0,0,G13/I$11)</f>
        <v>#REF!</v>
      </c>
      <c r="E13" s="2022" t="e">
        <f>IF(J$11=0,0,H13/J$11)</f>
        <v>#REF!</v>
      </c>
      <c r="G13" s="2021" t="e">
        <f t="shared" si="6"/>
        <v>#REF!</v>
      </c>
      <c r="H13" s="2021" t="e">
        <f t="shared" si="7"/>
        <v>#REF!</v>
      </c>
      <c r="I13" s="2100"/>
      <c r="J13" s="2100"/>
      <c r="K13" s="2021" t="e">
        <f>IF(#REF!=0,0,1)</f>
        <v>#REF!</v>
      </c>
      <c r="L13" s="2021" t="e">
        <f>IF(#REF!=0,0,1)</f>
        <v>#REF!</v>
      </c>
      <c r="M13" s="2021">
        <f t="shared" si="8"/>
        <v>0</v>
      </c>
      <c r="N13" s="2021">
        <f t="shared" si="9"/>
        <v>0</v>
      </c>
      <c r="P13" s="2256"/>
      <c r="Q13" s="2246"/>
      <c r="R13" s="2245">
        <v>2</v>
      </c>
      <c r="S13" s="2244" t="s">
        <v>3340</v>
      </c>
      <c r="T13" s="2144"/>
      <c r="U13" s="2017"/>
      <c r="V13" s="2016"/>
      <c r="W13" s="2015"/>
      <c r="Y13" s="1">
        <f t="shared" si="29"/>
        <v>0</v>
      </c>
      <c r="Z13" s="1">
        <f t="shared" si="30"/>
        <v>0</v>
      </c>
      <c r="AA13" s="1">
        <f t="shared" si="31"/>
        <v>0</v>
      </c>
      <c r="AB13" s="1">
        <f t="shared" si="32"/>
        <v>0</v>
      </c>
      <c r="AC13" s="1">
        <f t="shared" si="33"/>
        <v>0</v>
      </c>
      <c r="AD13" s="1">
        <f t="shared" si="34"/>
        <v>0</v>
      </c>
      <c r="AE13" s="1">
        <f t="shared" si="35"/>
        <v>0</v>
      </c>
      <c r="AF13" s="1">
        <f t="shared" si="36"/>
        <v>0</v>
      </c>
      <c r="AG13" s="1">
        <f t="shared" si="37"/>
        <v>0</v>
      </c>
      <c r="AH13" s="1">
        <f t="shared" si="38"/>
        <v>0</v>
      </c>
      <c r="AI13" s="1">
        <f t="shared" si="39"/>
        <v>0</v>
      </c>
      <c r="AJ13" s="1">
        <f t="shared" si="40"/>
        <v>0</v>
      </c>
      <c r="AK13" s="1">
        <f t="shared" si="41"/>
        <v>0</v>
      </c>
      <c r="AM13" s="2143"/>
      <c r="AN13" s="2143"/>
      <c r="AO13" s="2143"/>
      <c r="AP13" s="2143"/>
      <c r="AQ13" s="2143"/>
      <c r="AR13" s="2143"/>
      <c r="AS13" s="2143"/>
      <c r="AT13" s="2143"/>
      <c r="AU13" s="2143"/>
      <c r="AV13" s="2143"/>
      <c r="AW13" s="2143"/>
      <c r="AX13" s="2143"/>
      <c r="AY13" s="2143"/>
      <c r="BA13" s="2014"/>
      <c r="BB13" s="2014" t="e">
        <f t="shared" si="11"/>
        <v>#REF!</v>
      </c>
      <c r="BC13" s="2014"/>
      <c r="BD13" s="2013" t="e">
        <f>BR13*#REF!</f>
        <v>#REF!</v>
      </c>
      <c r="BE13" s="2013" t="e">
        <f>BS13*#REF!</f>
        <v>#REF!</v>
      </c>
      <c r="BF13" s="2013" t="e">
        <f>BT13*#REF!</f>
        <v>#REF!</v>
      </c>
      <c r="BG13" s="2013" t="e">
        <f>BU13*#REF!</f>
        <v>#REF!</v>
      </c>
      <c r="BH13" s="2013" t="e">
        <f>BV13*#REF!</f>
        <v>#REF!</v>
      </c>
      <c r="BI13" s="2013" t="e">
        <f>BW13*#REF!</f>
        <v>#REF!</v>
      </c>
      <c r="BJ13" s="2013" t="e">
        <f>BX13*#REF!</f>
        <v>#REF!</v>
      </c>
      <c r="BK13" s="2013" t="e">
        <f>BY13*#REF!</f>
        <v>#REF!</v>
      </c>
      <c r="BL13" s="2013" t="e">
        <f>BZ13*#REF!</f>
        <v>#REF!</v>
      </c>
      <c r="BM13" s="2013" t="e">
        <f>CA13*#REF!</f>
        <v>#REF!</v>
      </c>
      <c r="BO13" s="2040" t="str">
        <f t="shared" si="12"/>
        <v>1.1.2</v>
      </c>
      <c r="BP13" s="2040" t="str">
        <f t="shared" si="13"/>
        <v xml:space="preserve"> Q1 1.1</v>
      </c>
      <c r="BQ13" s="829">
        <f t="shared" si="14"/>
        <v>0</v>
      </c>
      <c r="BR13" s="2010">
        <f t="shared" si="15"/>
        <v>0</v>
      </c>
      <c r="BS13" s="2010">
        <f t="shared" si="16"/>
        <v>0</v>
      </c>
      <c r="BT13" s="2010">
        <f t="shared" si="17"/>
        <v>0</v>
      </c>
      <c r="BU13" s="2010">
        <f t="shared" si="18"/>
        <v>0</v>
      </c>
      <c r="BV13" s="2010">
        <f t="shared" si="19"/>
        <v>0</v>
      </c>
      <c r="BW13" s="2010">
        <f t="shared" si="20"/>
        <v>0</v>
      </c>
      <c r="BX13" s="2010">
        <f t="shared" si="21"/>
        <v>0</v>
      </c>
      <c r="BY13" s="2010">
        <f t="shared" si="22"/>
        <v>0</v>
      </c>
      <c r="BZ13" s="2010">
        <f t="shared" si="23"/>
        <v>0</v>
      </c>
      <c r="CA13" s="2010">
        <f t="shared" si="24"/>
        <v>0</v>
      </c>
      <c r="CB13" s="2039">
        <f t="shared" si="25"/>
        <v>0</v>
      </c>
      <c r="CC13" s="2010">
        <f t="shared" si="26"/>
        <v>0</v>
      </c>
      <c r="CD13" s="2010">
        <f t="shared" si="27"/>
        <v>0</v>
      </c>
      <c r="CF13" s="1207" t="s">
        <v>798</v>
      </c>
      <c r="CG13" s="1211" t="s">
        <v>796</v>
      </c>
      <c r="CH13" s="1208" t="s">
        <v>799</v>
      </c>
      <c r="CI13" s="1209">
        <v>0.6</v>
      </c>
      <c r="CJ13" s="1209"/>
      <c r="CK13" s="1209"/>
      <c r="CL13" s="1209"/>
      <c r="CM13" s="1209"/>
      <c r="CN13" s="1209">
        <v>0.6</v>
      </c>
      <c r="CO13" s="1213"/>
      <c r="CP13" s="1209">
        <v>0.6</v>
      </c>
      <c r="CQ13" s="1209"/>
      <c r="CR13" s="1209"/>
      <c r="CS13" s="1214">
        <v>0.6</v>
      </c>
      <c r="CT13" s="1213"/>
      <c r="CU13" s="1213"/>
      <c r="CW13" s="1207" t="s">
        <v>798</v>
      </c>
      <c r="CX13" s="1211" t="s">
        <v>796</v>
      </c>
      <c r="CY13" s="1208" t="s">
        <v>799</v>
      </c>
      <c r="CZ13" s="1213"/>
      <c r="DA13" s="1213"/>
      <c r="DB13" s="1213"/>
      <c r="DC13" s="1213"/>
      <c r="DD13" s="1215"/>
      <c r="DE13" s="1213"/>
      <c r="DF13" s="1213"/>
      <c r="DG13" s="1213"/>
      <c r="DH13" s="1213"/>
      <c r="DI13" s="1213"/>
      <c r="DJ13" s="1214"/>
      <c r="DK13" s="1213"/>
      <c r="DL13" s="1213"/>
      <c r="DN13" s="1207" t="s">
        <v>798</v>
      </c>
      <c r="DO13" s="1211" t="s">
        <v>796</v>
      </c>
      <c r="DP13" s="1208"/>
      <c r="DQ13" s="1213"/>
      <c r="DR13" s="1213"/>
      <c r="DS13" s="1213"/>
      <c r="DT13" s="1213"/>
      <c r="DU13" s="1567"/>
      <c r="DV13" s="1213"/>
      <c r="DW13" s="1213"/>
      <c r="DX13" s="1213"/>
      <c r="DY13" s="1213"/>
      <c r="DZ13" s="1213"/>
      <c r="EA13" s="1214"/>
      <c r="EB13" s="1213"/>
      <c r="EC13" s="1213"/>
      <c r="ED13" s="1469"/>
      <c r="EF13" s="1207" t="s">
        <v>798</v>
      </c>
      <c r="EG13" s="1211" t="s">
        <v>796</v>
      </c>
      <c r="EH13" s="1208"/>
      <c r="EI13" s="1689"/>
      <c r="EJ13" s="1689"/>
      <c r="EK13" s="1689"/>
      <c r="EL13" s="1689"/>
      <c r="EM13" s="1690"/>
      <c r="EN13" s="1689"/>
      <c r="EO13" s="1689"/>
      <c r="EP13" s="1689"/>
      <c r="EQ13" s="1689"/>
      <c r="ER13" s="1689"/>
      <c r="ES13" s="1691"/>
      <c r="ET13" s="1689"/>
      <c r="EU13" s="1689"/>
      <c r="EW13" s="1207" t="s">
        <v>798</v>
      </c>
      <c r="EX13" s="1211" t="s">
        <v>796</v>
      </c>
      <c r="EY13" s="1208"/>
      <c r="EZ13" s="1814">
        <f>DQ13</f>
        <v>0</v>
      </c>
      <c r="FA13" s="1678"/>
      <c r="FB13" s="1678"/>
      <c r="FC13" s="1678"/>
      <c r="FD13" s="1794"/>
      <c r="FE13" s="1678"/>
      <c r="FF13" s="1678"/>
      <c r="FG13" s="1678"/>
      <c r="FH13" s="1678"/>
      <c r="FI13" s="1678"/>
      <c r="FJ13" s="1795"/>
      <c r="FK13" s="1678"/>
      <c r="FL13" s="1678"/>
    </row>
    <row r="14" spans="2:168" ht="14.25" thickBot="1">
      <c r="B14" s="2023">
        <f t="shared" si="4"/>
        <v>1.2</v>
      </c>
      <c r="C14" s="829" t="str">
        <f t="shared" si="5"/>
        <v>遮音</v>
      </c>
      <c r="D14" s="2022" t="e">
        <f>IF(I$10=0,0,G14/I$10)</f>
        <v>#REF!</v>
      </c>
      <c r="E14" s="2022" t="e">
        <f>IF(J$10=0,0,H14/J$10)</f>
        <v>#REF!</v>
      </c>
      <c r="G14" s="2021" t="e">
        <f t="shared" si="6"/>
        <v>#REF!</v>
      </c>
      <c r="H14" s="2021" t="e">
        <f t="shared" si="7"/>
        <v>#REF!</v>
      </c>
      <c r="I14" s="2100" t="e">
        <f>SUM(G15:G18)</f>
        <v>#REF!</v>
      </c>
      <c r="J14" s="2100" t="e">
        <f>SUM(H15:H18)</f>
        <v>#REF!</v>
      </c>
      <c r="K14" s="2021" t="e">
        <f>IF(#REF!=0,0,1)</f>
        <v>#REF!</v>
      </c>
      <c r="L14" s="2021" t="e">
        <f>IF(#REF!=0,0,1)</f>
        <v>#REF!</v>
      </c>
      <c r="M14" s="2021">
        <f t="shared" si="8"/>
        <v>0.4</v>
      </c>
      <c r="N14" s="2021">
        <f t="shared" si="9"/>
        <v>0</v>
      </c>
      <c r="P14" s="2214"/>
      <c r="Q14" s="2035">
        <v>1.2</v>
      </c>
      <c r="R14" s="1655" t="s">
        <v>1796</v>
      </c>
      <c r="S14" s="7"/>
      <c r="T14" s="7"/>
      <c r="U14" s="2017"/>
      <c r="V14" s="2263">
        <f t="shared" ref="V14:V45" si="43">IF(SUMPRODUCT($AM$7:$AV$7,Y14:AH14)=0,0,SUMPRODUCT($AM$7:$AV$7,AM14:AV14)/SUMPRODUCT($AM$7:$AV$7,Y14:AH14))</f>
        <v>0</v>
      </c>
      <c r="W14" s="2262">
        <f t="shared" ref="W14:W45" si="44">IF(SUMPRODUCT($AW$7:$AY$7,AI14:AK14)=0,0,SUMPRODUCT($AW$7:$AY$7,AW14:AY14)/SUMPRODUCT($AW$7:$AY$7,AI14:AK14))</f>
        <v>0</v>
      </c>
      <c r="Y14" s="1">
        <f t="shared" si="29"/>
        <v>0</v>
      </c>
      <c r="Z14" s="1">
        <f t="shared" si="30"/>
        <v>0</v>
      </c>
      <c r="AA14" s="1">
        <f t="shared" si="31"/>
        <v>0</v>
      </c>
      <c r="AB14" s="1">
        <f t="shared" si="32"/>
        <v>0</v>
      </c>
      <c r="AC14" s="1">
        <f t="shared" si="33"/>
        <v>0</v>
      </c>
      <c r="AD14" s="1">
        <f t="shared" si="34"/>
        <v>0</v>
      </c>
      <c r="AE14" s="1">
        <f t="shared" si="35"/>
        <v>0</v>
      </c>
      <c r="AF14" s="1">
        <f t="shared" si="36"/>
        <v>0</v>
      </c>
      <c r="AG14" s="1">
        <f t="shared" si="37"/>
        <v>0</v>
      </c>
      <c r="AH14" s="1">
        <f t="shared" si="38"/>
        <v>0</v>
      </c>
      <c r="AI14" s="1">
        <f t="shared" si="39"/>
        <v>0</v>
      </c>
      <c r="AJ14" s="1">
        <f t="shared" si="40"/>
        <v>0</v>
      </c>
      <c r="AK14" s="1">
        <f t="shared" si="41"/>
        <v>0</v>
      </c>
      <c r="AM14" s="2261" t="s">
        <v>3316</v>
      </c>
      <c r="AN14" s="2261" t="s">
        <v>3316</v>
      </c>
      <c r="AO14" s="2261" t="s">
        <v>3316</v>
      </c>
      <c r="AP14" s="2261" t="s">
        <v>3316</v>
      </c>
      <c r="AQ14" s="2261" t="s">
        <v>3316</v>
      </c>
      <c r="AR14" s="2261" t="s">
        <v>3316</v>
      </c>
      <c r="AS14" s="2261" t="s">
        <v>3316</v>
      </c>
      <c r="AT14" s="2261" t="s">
        <v>3316</v>
      </c>
      <c r="AU14" s="2261" t="s">
        <v>3316</v>
      </c>
      <c r="AV14" s="2261" t="s">
        <v>3316</v>
      </c>
      <c r="AW14" s="2261" t="s">
        <v>3316</v>
      </c>
      <c r="AX14" s="2261" t="s">
        <v>3316</v>
      </c>
      <c r="AY14" s="2261" t="s">
        <v>3316</v>
      </c>
      <c r="BA14" s="2014"/>
      <c r="BB14" s="2014" t="e">
        <f t="shared" si="11"/>
        <v>#REF!</v>
      </c>
      <c r="BC14" s="2014"/>
      <c r="BD14" s="2013" t="e">
        <f>BR14*#REF!</f>
        <v>#REF!</v>
      </c>
      <c r="BE14" s="2013" t="e">
        <f>BS14*#REF!</f>
        <v>#REF!</v>
      </c>
      <c r="BF14" s="2013" t="e">
        <f>BT14*#REF!</f>
        <v>#REF!</v>
      </c>
      <c r="BG14" s="2013" t="e">
        <f>BU14*#REF!</f>
        <v>#REF!</v>
      </c>
      <c r="BH14" s="2013" t="e">
        <f>BV14*#REF!</f>
        <v>#REF!</v>
      </c>
      <c r="BI14" s="2013" t="e">
        <f>BW14*#REF!</f>
        <v>#REF!</v>
      </c>
      <c r="BJ14" s="2013" t="e">
        <f>BX14*#REF!</f>
        <v>#REF!</v>
      </c>
      <c r="BK14" s="2013" t="e">
        <f>BY14*#REF!</f>
        <v>#REF!</v>
      </c>
      <c r="BL14" s="2013" t="e">
        <f>BZ14*#REF!</f>
        <v>#REF!</v>
      </c>
      <c r="BM14" s="2013" t="e">
        <f>CA14*#REF!</f>
        <v>#REF!</v>
      </c>
      <c r="BO14" s="2040">
        <f t="shared" si="12"/>
        <v>1.2</v>
      </c>
      <c r="BP14" s="2040" t="str">
        <f t="shared" si="13"/>
        <v xml:space="preserve"> Q1 1</v>
      </c>
      <c r="BQ14" s="829" t="str">
        <f t="shared" si="14"/>
        <v>遮音</v>
      </c>
      <c r="BR14" s="2010">
        <f t="shared" si="15"/>
        <v>0.4</v>
      </c>
      <c r="BS14" s="2010">
        <f t="shared" si="16"/>
        <v>0.4</v>
      </c>
      <c r="BT14" s="2010">
        <f t="shared" si="17"/>
        <v>0.4</v>
      </c>
      <c r="BU14" s="2010">
        <f t="shared" si="18"/>
        <v>0.4</v>
      </c>
      <c r="BV14" s="2010">
        <f t="shared" si="19"/>
        <v>0.4</v>
      </c>
      <c r="BW14" s="2010">
        <f t="shared" si="20"/>
        <v>0.4</v>
      </c>
      <c r="BX14" s="2010">
        <f t="shared" si="21"/>
        <v>0.4</v>
      </c>
      <c r="BY14" s="2010">
        <f t="shared" si="22"/>
        <v>0.4</v>
      </c>
      <c r="BZ14" s="2010">
        <f t="shared" si="23"/>
        <v>0.4</v>
      </c>
      <c r="CA14" s="2010">
        <f t="shared" si="24"/>
        <v>0.5</v>
      </c>
      <c r="CB14" s="2039">
        <f t="shared" si="25"/>
        <v>0.4</v>
      </c>
      <c r="CC14" s="2010">
        <f t="shared" si="26"/>
        <v>0.4</v>
      </c>
      <c r="CD14" s="2010">
        <f t="shared" si="27"/>
        <v>0.5</v>
      </c>
      <c r="CF14" s="1207">
        <v>1.2</v>
      </c>
      <c r="CG14" s="1211" t="s">
        <v>794</v>
      </c>
      <c r="CH14" s="829" t="s">
        <v>2401</v>
      </c>
      <c r="CI14" s="1212">
        <v>0.4</v>
      </c>
      <c r="CJ14" s="1209">
        <v>0.4</v>
      </c>
      <c r="CK14" s="1209"/>
      <c r="CL14" s="1209">
        <v>0.4</v>
      </c>
      <c r="CM14" s="1209"/>
      <c r="CN14" s="1212">
        <v>0.5</v>
      </c>
      <c r="CO14" s="1213">
        <v>0.4</v>
      </c>
      <c r="CP14" s="1212">
        <v>0.4</v>
      </c>
      <c r="CQ14" s="1209"/>
      <c r="CR14" s="1209"/>
      <c r="CS14" s="1214">
        <v>0.5</v>
      </c>
      <c r="CT14" s="1213">
        <v>0.4</v>
      </c>
      <c r="CU14" s="1216">
        <v>0.4</v>
      </c>
      <c r="CW14" s="1207">
        <v>1.2</v>
      </c>
      <c r="CX14" s="1211" t="s">
        <v>794</v>
      </c>
      <c r="CY14" s="829" t="s">
        <v>2401</v>
      </c>
      <c r="CZ14" s="1213">
        <v>0.7</v>
      </c>
      <c r="DA14" s="1213">
        <v>0.7</v>
      </c>
      <c r="DB14" s="1213">
        <v>0.7</v>
      </c>
      <c r="DC14" s="1213">
        <v>0.7</v>
      </c>
      <c r="DD14" s="1215">
        <v>0.4</v>
      </c>
      <c r="DE14" s="1213">
        <v>0.7</v>
      </c>
      <c r="DF14" s="1213">
        <v>0.7</v>
      </c>
      <c r="DG14" s="1213">
        <v>0.7</v>
      </c>
      <c r="DH14" s="1213">
        <v>0.7</v>
      </c>
      <c r="DI14" s="1213">
        <v>1</v>
      </c>
      <c r="DJ14" s="1214">
        <v>0.7</v>
      </c>
      <c r="DK14" s="1213">
        <v>0.7</v>
      </c>
      <c r="DL14" s="1213">
        <v>1</v>
      </c>
      <c r="DN14" s="1207">
        <v>1.2</v>
      </c>
      <c r="DO14" s="1211" t="s">
        <v>794</v>
      </c>
      <c r="DP14" s="829" t="s">
        <v>2401</v>
      </c>
      <c r="DQ14" s="1213">
        <v>0.4</v>
      </c>
      <c r="DR14" s="1213">
        <v>0.4</v>
      </c>
      <c r="DS14" s="1213">
        <v>0.4</v>
      </c>
      <c r="DT14" s="1213">
        <v>0.4</v>
      </c>
      <c r="DU14" s="1567">
        <v>0.4</v>
      </c>
      <c r="DV14" s="1213">
        <v>0.4</v>
      </c>
      <c r="DW14" s="1213">
        <v>0.4</v>
      </c>
      <c r="DX14" s="1213">
        <v>0.4</v>
      </c>
      <c r="DY14" s="1213">
        <v>0.4</v>
      </c>
      <c r="DZ14" s="1213">
        <v>0.5</v>
      </c>
      <c r="EA14" s="1213">
        <v>0.4</v>
      </c>
      <c r="EB14" s="1213">
        <v>0.4</v>
      </c>
      <c r="EC14" s="1213">
        <v>0.5</v>
      </c>
      <c r="ED14" s="1469"/>
      <c r="EF14" s="1207">
        <v>1.2</v>
      </c>
      <c r="EG14" s="1211" t="s">
        <v>794</v>
      </c>
      <c r="EH14" s="829" t="s">
        <v>2401</v>
      </c>
      <c r="EI14" s="1678">
        <v>0.67</v>
      </c>
      <c r="EJ14" s="1678">
        <v>0.67</v>
      </c>
      <c r="EK14" s="1678">
        <v>0.67</v>
      </c>
      <c r="EL14" s="1678">
        <v>0.67</v>
      </c>
      <c r="EM14" s="1678">
        <v>0.67</v>
      </c>
      <c r="EN14" s="1678">
        <v>0.67</v>
      </c>
      <c r="EO14" s="1678">
        <v>0.67</v>
      </c>
      <c r="EP14" s="1678">
        <v>0.67</v>
      </c>
      <c r="EQ14" s="1678">
        <v>0.67</v>
      </c>
      <c r="ER14" s="1678">
        <v>1</v>
      </c>
      <c r="ES14" s="1678">
        <v>0.67</v>
      </c>
      <c r="ET14" s="1678">
        <v>0.67</v>
      </c>
      <c r="EU14" s="1678">
        <v>1</v>
      </c>
      <c r="EW14" s="1207">
        <v>1.2</v>
      </c>
      <c r="EX14" s="1211" t="s">
        <v>794</v>
      </c>
      <c r="EY14" s="829" t="s">
        <v>2401</v>
      </c>
      <c r="EZ14" s="1814">
        <v>0</v>
      </c>
      <c r="FA14" s="1678"/>
      <c r="FB14" s="1678"/>
      <c r="FC14" s="1678"/>
      <c r="FD14" s="1678"/>
      <c r="FE14" s="1678"/>
      <c r="FF14" s="1678"/>
      <c r="FG14" s="1678"/>
      <c r="FH14" s="1678"/>
      <c r="FI14" s="1678"/>
      <c r="FJ14" s="1678"/>
      <c r="FK14" s="1678"/>
      <c r="FL14" s="1678"/>
    </row>
    <row r="15" spans="2:168">
      <c r="B15" s="2023" t="str">
        <f t="shared" si="4"/>
        <v>1.2.1</v>
      </c>
      <c r="C15" s="829" t="str">
        <f t="shared" si="5"/>
        <v>開口部遮音性能</v>
      </c>
      <c r="D15" s="2022" t="e">
        <f t="shared" ref="D15:E18" si="45">IF(I$14=0,0,G15/I$14)</f>
        <v>#REF!</v>
      </c>
      <c r="E15" s="2022" t="e">
        <f t="shared" si="45"/>
        <v>#REF!</v>
      </c>
      <c r="G15" s="2021" t="e">
        <f t="shared" si="6"/>
        <v>#REF!</v>
      </c>
      <c r="H15" s="2021" t="e">
        <f t="shared" si="7"/>
        <v>#REF!</v>
      </c>
      <c r="I15" s="2100"/>
      <c r="J15" s="2100"/>
      <c r="K15" s="2021" t="e">
        <f>IF(#REF!=0,0,1)</f>
        <v>#REF!</v>
      </c>
      <c r="L15" s="2021" t="e">
        <f>IF(#REF!=0,0,1)</f>
        <v>#REF!</v>
      </c>
      <c r="M15" s="2021">
        <f t="shared" si="8"/>
        <v>0.6</v>
      </c>
      <c r="N15" s="2021">
        <f t="shared" si="9"/>
        <v>0</v>
      </c>
      <c r="P15" s="2214"/>
      <c r="Q15" s="2068"/>
      <c r="R15" s="993">
        <v>1</v>
      </c>
      <c r="S15" s="507" t="s">
        <v>3338</v>
      </c>
      <c r="T15" s="1655"/>
      <c r="U15" s="2017"/>
      <c r="V15" s="2025">
        <f t="shared" si="43"/>
        <v>0</v>
      </c>
      <c r="W15" s="2024">
        <f t="shared" si="44"/>
        <v>0</v>
      </c>
      <c r="Y15" s="1">
        <f t="shared" si="29"/>
        <v>0</v>
      </c>
      <c r="Z15" s="1">
        <f t="shared" si="30"/>
        <v>0</v>
      </c>
      <c r="AA15" s="1">
        <f t="shared" si="31"/>
        <v>0</v>
      </c>
      <c r="AB15" s="1">
        <f t="shared" si="32"/>
        <v>0</v>
      </c>
      <c r="AC15" s="1">
        <f t="shared" si="33"/>
        <v>0</v>
      </c>
      <c r="AD15" s="1">
        <f t="shared" si="34"/>
        <v>0</v>
      </c>
      <c r="AE15" s="1">
        <f t="shared" si="35"/>
        <v>0</v>
      </c>
      <c r="AF15" s="1">
        <f t="shared" si="36"/>
        <v>0</v>
      </c>
      <c r="AG15" s="1">
        <f t="shared" si="37"/>
        <v>0</v>
      </c>
      <c r="AH15" s="1">
        <f t="shared" si="38"/>
        <v>0</v>
      </c>
      <c r="AI15" s="1">
        <f t="shared" si="39"/>
        <v>0</v>
      </c>
      <c r="AJ15" s="1">
        <f t="shared" si="40"/>
        <v>0</v>
      </c>
      <c r="AK15" s="1">
        <f t="shared" si="41"/>
        <v>0</v>
      </c>
      <c r="AM15" s="1827"/>
      <c r="AN15" s="1827"/>
      <c r="AO15" s="1827"/>
      <c r="AP15" s="1827"/>
      <c r="AQ15" s="1827"/>
      <c r="AR15" s="1827"/>
      <c r="AS15" s="1827"/>
      <c r="AT15" s="1827"/>
      <c r="AU15" s="1827"/>
      <c r="AV15" s="1827"/>
      <c r="AW15" s="1827"/>
      <c r="AX15" s="1827"/>
      <c r="AY15" s="1827"/>
      <c r="BA15" s="2014"/>
      <c r="BB15" s="2014" t="e">
        <f t="shared" si="11"/>
        <v>#REF!</v>
      </c>
      <c r="BC15" s="2014"/>
      <c r="BD15" s="2013" t="e">
        <f>BR15*#REF!</f>
        <v>#REF!</v>
      </c>
      <c r="BE15" s="2013" t="e">
        <f>BS15*#REF!</f>
        <v>#REF!</v>
      </c>
      <c r="BF15" s="2013" t="e">
        <f>BT15*#REF!</f>
        <v>#REF!</v>
      </c>
      <c r="BG15" s="2013" t="e">
        <f>BU15*#REF!</f>
        <v>#REF!</v>
      </c>
      <c r="BH15" s="2094" t="e">
        <f>BV15*#REF!</f>
        <v>#REF!</v>
      </c>
      <c r="BI15" s="2013" t="e">
        <f>BW15*#REF!</f>
        <v>#REF!</v>
      </c>
      <c r="BJ15" s="2013" t="e">
        <f>BX15*#REF!</f>
        <v>#REF!</v>
      </c>
      <c r="BK15" s="2013" t="e">
        <f>BY15*#REF!</f>
        <v>#REF!</v>
      </c>
      <c r="BL15" s="2013" t="e">
        <f>BZ15*#REF!</f>
        <v>#REF!</v>
      </c>
      <c r="BM15" s="2013" t="e">
        <f>CA15*#REF!</f>
        <v>#REF!</v>
      </c>
      <c r="BO15" s="2040" t="str">
        <f t="shared" si="12"/>
        <v>1.2.1</v>
      </c>
      <c r="BP15" s="2040" t="str">
        <f t="shared" si="13"/>
        <v xml:space="preserve"> Q1 1.2</v>
      </c>
      <c r="BQ15" s="829" t="str">
        <f t="shared" si="14"/>
        <v>開口部遮音性能</v>
      </c>
      <c r="BR15" s="2010">
        <f t="shared" si="15"/>
        <v>0.6</v>
      </c>
      <c r="BS15" s="2010">
        <f t="shared" si="16"/>
        <v>0.3</v>
      </c>
      <c r="BT15" s="2010">
        <f t="shared" si="17"/>
        <v>1</v>
      </c>
      <c r="BU15" s="2010">
        <f t="shared" si="18"/>
        <v>0.6</v>
      </c>
      <c r="BV15" s="2093">
        <f t="shared" si="19"/>
        <v>1</v>
      </c>
      <c r="BW15" s="2010">
        <f t="shared" si="20"/>
        <v>0.6</v>
      </c>
      <c r="BX15" s="2010">
        <f t="shared" si="21"/>
        <v>0.3</v>
      </c>
      <c r="BY15" s="2010">
        <f t="shared" si="22"/>
        <v>0.4</v>
      </c>
      <c r="BZ15" s="2010">
        <f t="shared" si="23"/>
        <v>1</v>
      </c>
      <c r="CA15" s="2010">
        <f t="shared" si="24"/>
        <v>1</v>
      </c>
      <c r="CB15" s="2039">
        <f t="shared" si="25"/>
        <v>0.3</v>
      </c>
      <c r="CC15" s="2010">
        <f t="shared" si="26"/>
        <v>0.3</v>
      </c>
      <c r="CD15" s="2010">
        <f t="shared" si="27"/>
        <v>0.3</v>
      </c>
      <c r="CF15" s="1207" t="s">
        <v>3339</v>
      </c>
      <c r="CG15" s="1211" t="s">
        <v>800</v>
      </c>
      <c r="CH15" s="829" t="s">
        <v>3338</v>
      </c>
      <c r="CI15" s="1218"/>
      <c r="CJ15" s="1218"/>
      <c r="CK15" s="1218"/>
      <c r="CL15" s="1218"/>
      <c r="CM15" s="1218"/>
      <c r="CN15" s="1218"/>
      <c r="CO15" s="1213"/>
      <c r="CP15" s="1218"/>
      <c r="CQ15" s="1218"/>
      <c r="CR15" s="1218"/>
      <c r="CS15" s="1214"/>
      <c r="CT15" s="1213"/>
      <c r="CU15" s="1213"/>
      <c r="CW15" s="1207" t="s">
        <v>3339</v>
      </c>
      <c r="CX15" s="1211" t="s">
        <v>800</v>
      </c>
      <c r="CY15" s="829" t="s">
        <v>3338</v>
      </c>
      <c r="CZ15" s="1213">
        <v>0.6</v>
      </c>
      <c r="DA15" s="1213">
        <v>0.4</v>
      </c>
      <c r="DB15" s="1213">
        <v>1</v>
      </c>
      <c r="DC15" s="1213">
        <v>0.6</v>
      </c>
      <c r="DD15" s="1215">
        <v>1</v>
      </c>
      <c r="DE15" s="1213">
        <v>0.6</v>
      </c>
      <c r="DF15" s="1213">
        <v>0.4</v>
      </c>
      <c r="DG15" s="1213">
        <v>0.4</v>
      </c>
      <c r="DH15" s="1213">
        <v>1</v>
      </c>
      <c r="DI15" s="1213">
        <v>1</v>
      </c>
      <c r="DJ15" s="1214">
        <v>0.3</v>
      </c>
      <c r="DK15" s="1213">
        <v>0.3</v>
      </c>
      <c r="DL15" s="1213">
        <v>0.3</v>
      </c>
      <c r="DN15" s="1207" t="s">
        <v>3339</v>
      </c>
      <c r="DO15" s="1211" t="s">
        <v>800</v>
      </c>
      <c r="DP15" s="829" t="s">
        <v>3338</v>
      </c>
      <c r="DQ15" s="1213">
        <v>0.6</v>
      </c>
      <c r="DR15" s="1213">
        <v>0.3</v>
      </c>
      <c r="DS15" s="1213">
        <v>1</v>
      </c>
      <c r="DT15" s="1213">
        <v>0.6</v>
      </c>
      <c r="DU15" s="1568">
        <v>1</v>
      </c>
      <c r="DV15" s="1213">
        <v>0.6</v>
      </c>
      <c r="DW15" s="1213">
        <v>0.3</v>
      </c>
      <c r="DX15" s="1213">
        <v>0.4</v>
      </c>
      <c r="DY15" s="1213">
        <v>1</v>
      </c>
      <c r="DZ15" s="1213">
        <v>1</v>
      </c>
      <c r="EA15" s="1213">
        <v>0.3</v>
      </c>
      <c r="EB15" s="1213">
        <v>0.3</v>
      </c>
      <c r="EC15" s="1213">
        <v>0.3</v>
      </c>
      <c r="ED15" s="1469"/>
      <c r="EF15" s="1207" t="s">
        <v>3339</v>
      </c>
      <c r="EG15" s="1211" t="s">
        <v>800</v>
      </c>
      <c r="EH15" s="829" t="s">
        <v>3338</v>
      </c>
      <c r="EI15" s="1689">
        <f t="shared" ref="EI15:EU18" si="46">DQ15</f>
        <v>0.6</v>
      </c>
      <c r="EJ15" s="1689">
        <f t="shared" si="46"/>
        <v>0.3</v>
      </c>
      <c r="EK15" s="1689">
        <f t="shared" si="46"/>
        <v>1</v>
      </c>
      <c r="EL15" s="1689">
        <f t="shared" si="46"/>
        <v>0.6</v>
      </c>
      <c r="EM15" s="1690">
        <f t="shared" si="46"/>
        <v>1</v>
      </c>
      <c r="EN15" s="1689">
        <f t="shared" si="46"/>
        <v>0.6</v>
      </c>
      <c r="EO15" s="1689">
        <f t="shared" si="46"/>
        <v>0.3</v>
      </c>
      <c r="EP15" s="1689">
        <f t="shared" si="46"/>
        <v>0.4</v>
      </c>
      <c r="EQ15" s="1689">
        <f t="shared" si="46"/>
        <v>1</v>
      </c>
      <c r="ER15" s="1689">
        <f t="shared" si="46"/>
        <v>1</v>
      </c>
      <c r="ES15" s="1689">
        <f t="shared" si="46"/>
        <v>0.3</v>
      </c>
      <c r="ET15" s="1689">
        <f t="shared" si="46"/>
        <v>0.3</v>
      </c>
      <c r="EU15" s="1689">
        <f t="shared" si="46"/>
        <v>0.3</v>
      </c>
      <c r="EW15" s="1207" t="s">
        <v>3339</v>
      </c>
      <c r="EX15" s="1211" t="s">
        <v>800</v>
      </c>
      <c r="EY15" s="829" t="s">
        <v>3338</v>
      </c>
      <c r="EZ15" s="1814">
        <v>0</v>
      </c>
      <c r="FA15" s="1678"/>
      <c r="FB15" s="1678"/>
      <c r="FC15" s="1678"/>
      <c r="FD15" s="1794"/>
      <c r="FE15" s="1678"/>
      <c r="FF15" s="1678"/>
      <c r="FG15" s="1678"/>
      <c r="FH15" s="1678"/>
      <c r="FI15" s="1678"/>
      <c r="FJ15" s="1678"/>
      <c r="FK15" s="1678"/>
      <c r="FL15" s="1678"/>
    </row>
    <row r="16" spans="2:168">
      <c r="B16" s="2023" t="str">
        <f t="shared" si="4"/>
        <v>1.2.2</v>
      </c>
      <c r="C16" s="829" t="str">
        <f t="shared" si="5"/>
        <v>界壁遮音性能</v>
      </c>
      <c r="D16" s="2022" t="e">
        <f t="shared" si="45"/>
        <v>#REF!</v>
      </c>
      <c r="E16" s="2022" t="e">
        <f t="shared" si="45"/>
        <v>#REF!</v>
      </c>
      <c r="G16" s="2021" t="e">
        <f t="shared" si="6"/>
        <v>#REF!</v>
      </c>
      <c r="H16" s="2021" t="e">
        <f t="shared" si="7"/>
        <v>#REF!</v>
      </c>
      <c r="I16" s="2021"/>
      <c r="J16" s="2021"/>
      <c r="K16" s="2021" t="e">
        <f>IF(#REF!=0,0,1)</f>
        <v>#REF!</v>
      </c>
      <c r="L16" s="2021" t="e">
        <f>IF(#REF!=0,0,1)</f>
        <v>#REF!</v>
      </c>
      <c r="M16" s="2021">
        <f t="shared" si="8"/>
        <v>0.4</v>
      </c>
      <c r="N16" s="2021">
        <f t="shared" si="9"/>
        <v>0</v>
      </c>
      <c r="P16" s="2214"/>
      <c r="Q16" s="2101"/>
      <c r="R16" s="993">
        <v>2</v>
      </c>
      <c r="S16" s="507" t="s">
        <v>602</v>
      </c>
      <c r="T16" s="1655"/>
      <c r="U16" s="2017"/>
      <c r="V16" s="2038">
        <f t="shared" si="43"/>
        <v>0</v>
      </c>
      <c r="W16" s="2037">
        <f t="shared" si="44"/>
        <v>0</v>
      </c>
      <c r="Y16" s="1">
        <f t="shared" si="29"/>
        <v>0</v>
      </c>
      <c r="Z16" s="1">
        <f t="shared" si="30"/>
        <v>0</v>
      </c>
      <c r="AA16" s="1">
        <f t="shared" si="31"/>
        <v>0</v>
      </c>
      <c r="AB16" s="1">
        <f t="shared" si="32"/>
        <v>0</v>
      </c>
      <c r="AC16" s="1">
        <f t="shared" si="33"/>
        <v>0</v>
      </c>
      <c r="AD16" s="1">
        <f t="shared" si="34"/>
        <v>0</v>
      </c>
      <c r="AE16" s="1">
        <f t="shared" si="35"/>
        <v>0</v>
      </c>
      <c r="AF16" s="1">
        <f t="shared" si="36"/>
        <v>0</v>
      </c>
      <c r="AG16" s="1">
        <f t="shared" si="37"/>
        <v>0</v>
      </c>
      <c r="AH16" s="1">
        <f t="shared" si="38"/>
        <v>0</v>
      </c>
      <c r="AI16" s="1">
        <f t="shared" si="39"/>
        <v>0</v>
      </c>
      <c r="AJ16" s="1">
        <f t="shared" si="40"/>
        <v>0</v>
      </c>
      <c r="AK16" s="1">
        <f t="shared" si="41"/>
        <v>0</v>
      </c>
      <c r="AM16" s="1828"/>
      <c r="AN16" s="1828"/>
      <c r="AO16" s="1828"/>
      <c r="AP16" s="1828"/>
      <c r="AQ16" s="1828"/>
      <c r="AR16" s="1828"/>
      <c r="AS16" s="1828"/>
      <c r="AT16" s="1828"/>
      <c r="AU16" s="1828"/>
      <c r="AV16" s="1828"/>
      <c r="AW16" s="1828"/>
      <c r="AX16" s="1828"/>
      <c r="AY16" s="1828"/>
      <c r="BA16" s="2014"/>
      <c r="BB16" s="2014" t="e">
        <f t="shared" si="11"/>
        <v>#REF!</v>
      </c>
      <c r="BC16" s="2014"/>
      <c r="BD16" s="2013" t="e">
        <f>BR16*#REF!</f>
        <v>#REF!</v>
      </c>
      <c r="BE16" s="2013" t="e">
        <f>BS16*#REF!</f>
        <v>#REF!</v>
      </c>
      <c r="BF16" s="2013" t="e">
        <f>BT16*#REF!</f>
        <v>#REF!</v>
      </c>
      <c r="BG16" s="2013" t="e">
        <f>BU16*#REF!</f>
        <v>#REF!</v>
      </c>
      <c r="BH16" s="2094" t="e">
        <f>BV16*#REF!</f>
        <v>#REF!</v>
      </c>
      <c r="BI16" s="2013" t="e">
        <f>BW16*#REF!</f>
        <v>#REF!</v>
      </c>
      <c r="BJ16" s="2013" t="e">
        <f>BX16*#REF!</f>
        <v>#REF!</v>
      </c>
      <c r="BK16" s="2013" t="e">
        <f>BY16*#REF!</f>
        <v>#REF!</v>
      </c>
      <c r="BL16" s="2013" t="e">
        <f>BZ16*#REF!</f>
        <v>#REF!</v>
      </c>
      <c r="BM16" s="2013" t="e">
        <f>CA16*#REF!</f>
        <v>#REF!</v>
      </c>
      <c r="BO16" s="2040" t="str">
        <f t="shared" si="12"/>
        <v>1.2.2</v>
      </c>
      <c r="BP16" s="2040" t="str">
        <f t="shared" si="13"/>
        <v xml:space="preserve"> Q1 1.2</v>
      </c>
      <c r="BQ16" s="829" t="str">
        <f t="shared" si="14"/>
        <v>界壁遮音性能</v>
      </c>
      <c r="BR16" s="2010">
        <f t="shared" si="15"/>
        <v>0.4</v>
      </c>
      <c r="BS16" s="2010">
        <f t="shared" si="16"/>
        <v>0.3</v>
      </c>
      <c r="BT16" s="2010">
        <f t="shared" si="17"/>
        <v>0</v>
      </c>
      <c r="BU16" s="2010">
        <f t="shared" si="18"/>
        <v>0.4</v>
      </c>
      <c r="BV16" s="2093">
        <f t="shared" si="19"/>
        <v>0</v>
      </c>
      <c r="BW16" s="2010">
        <f t="shared" si="20"/>
        <v>0.4</v>
      </c>
      <c r="BX16" s="2010">
        <f t="shared" si="21"/>
        <v>0.3</v>
      </c>
      <c r="BY16" s="2010">
        <f t="shared" si="22"/>
        <v>0.6</v>
      </c>
      <c r="BZ16" s="2010">
        <f t="shared" si="23"/>
        <v>0</v>
      </c>
      <c r="CA16" s="2010">
        <f t="shared" si="24"/>
        <v>0</v>
      </c>
      <c r="CB16" s="2039">
        <f t="shared" si="25"/>
        <v>0.3</v>
      </c>
      <c r="CC16" s="2010">
        <f t="shared" si="26"/>
        <v>0.3</v>
      </c>
      <c r="CD16" s="2010">
        <f t="shared" si="27"/>
        <v>0.3</v>
      </c>
      <c r="CF16" s="1207" t="s">
        <v>3337</v>
      </c>
      <c r="CG16" s="1211" t="s">
        <v>800</v>
      </c>
      <c r="CH16" s="829" t="s">
        <v>602</v>
      </c>
      <c r="CI16" s="1219">
        <v>1</v>
      </c>
      <c r="CJ16" s="1213">
        <v>0.4</v>
      </c>
      <c r="CK16" s="1213"/>
      <c r="CL16" s="1213">
        <v>1</v>
      </c>
      <c r="CM16" s="1220"/>
      <c r="CN16" s="1219">
        <v>1</v>
      </c>
      <c r="CO16" s="1213">
        <v>0.4</v>
      </c>
      <c r="CP16" s="1219">
        <v>0.4</v>
      </c>
      <c r="CQ16" s="1213"/>
      <c r="CR16" s="1213"/>
      <c r="CS16" s="1214">
        <v>1</v>
      </c>
      <c r="CT16" s="1213">
        <v>0.4</v>
      </c>
      <c r="CU16" s="1213">
        <v>0.4</v>
      </c>
      <c r="CW16" s="1207" t="s">
        <v>3337</v>
      </c>
      <c r="CX16" s="1211" t="s">
        <v>800</v>
      </c>
      <c r="CY16" s="829" t="s">
        <v>602</v>
      </c>
      <c r="CZ16" s="1213">
        <v>0.4</v>
      </c>
      <c r="DA16" s="1213">
        <v>0.3</v>
      </c>
      <c r="DB16" s="1213"/>
      <c r="DC16" s="1213">
        <v>0.4</v>
      </c>
      <c r="DD16" s="1215"/>
      <c r="DE16" s="1213">
        <v>0.4</v>
      </c>
      <c r="DF16" s="1213">
        <v>0.3</v>
      </c>
      <c r="DG16" s="1213">
        <v>0.6</v>
      </c>
      <c r="DH16" s="1213"/>
      <c r="DI16" s="1213"/>
      <c r="DJ16" s="1214">
        <v>0.3</v>
      </c>
      <c r="DK16" s="1213">
        <v>0.3</v>
      </c>
      <c r="DL16" s="1213">
        <v>0.3</v>
      </c>
      <c r="DN16" s="1207" t="s">
        <v>3337</v>
      </c>
      <c r="DO16" s="1211" t="s">
        <v>800</v>
      </c>
      <c r="DP16" s="829" t="s">
        <v>602</v>
      </c>
      <c r="DQ16" s="1213">
        <v>0.4</v>
      </c>
      <c r="DR16" s="1213">
        <v>0.3</v>
      </c>
      <c r="DS16" s="1213"/>
      <c r="DT16" s="1213">
        <v>0.4</v>
      </c>
      <c r="DU16" s="1567"/>
      <c r="DV16" s="1213">
        <v>0.4</v>
      </c>
      <c r="DW16" s="1213">
        <v>0.3</v>
      </c>
      <c r="DX16" s="1213">
        <v>0.6</v>
      </c>
      <c r="DY16" s="1213"/>
      <c r="DZ16" s="1213"/>
      <c r="EA16" s="1213">
        <v>0.3</v>
      </c>
      <c r="EB16" s="1213">
        <v>0.3</v>
      </c>
      <c r="EC16" s="1213">
        <v>0.3</v>
      </c>
      <c r="ED16" s="1469"/>
      <c r="EF16" s="1207" t="s">
        <v>3337</v>
      </c>
      <c r="EG16" s="1211" t="s">
        <v>800</v>
      </c>
      <c r="EH16" s="829" t="s">
        <v>602</v>
      </c>
      <c r="EI16" s="1689">
        <f t="shared" si="46"/>
        <v>0.4</v>
      </c>
      <c r="EJ16" s="1689">
        <f t="shared" si="46"/>
        <v>0.3</v>
      </c>
      <c r="EK16" s="1689">
        <f t="shared" si="46"/>
        <v>0</v>
      </c>
      <c r="EL16" s="1689">
        <f t="shared" si="46"/>
        <v>0.4</v>
      </c>
      <c r="EM16" s="1690">
        <f t="shared" si="46"/>
        <v>0</v>
      </c>
      <c r="EN16" s="1689">
        <f t="shared" si="46"/>
        <v>0.4</v>
      </c>
      <c r="EO16" s="1689">
        <f t="shared" si="46"/>
        <v>0.3</v>
      </c>
      <c r="EP16" s="1689">
        <f t="shared" si="46"/>
        <v>0.6</v>
      </c>
      <c r="EQ16" s="1689">
        <f t="shared" si="46"/>
        <v>0</v>
      </c>
      <c r="ER16" s="1689">
        <f t="shared" si="46"/>
        <v>0</v>
      </c>
      <c r="ES16" s="1689">
        <f t="shared" si="46"/>
        <v>0.3</v>
      </c>
      <c r="ET16" s="1689">
        <f t="shared" si="46"/>
        <v>0.3</v>
      </c>
      <c r="EU16" s="1689">
        <f t="shared" si="46"/>
        <v>0.3</v>
      </c>
      <c r="EW16" s="1207" t="s">
        <v>3337</v>
      </c>
      <c r="EX16" s="1211" t="s">
        <v>800</v>
      </c>
      <c r="EY16" s="829" t="s">
        <v>602</v>
      </c>
      <c r="EZ16" s="1814">
        <v>0</v>
      </c>
      <c r="FA16" s="1678"/>
      <c r="FB16" s="1678"/>
      <c r="FC16" s="1678"/>
      <c r="FD16" s="1794"/>
      <c r="FE16" s="1678"/>
      <c r="FF16" s="1678"/>
      <c r="FG16" s="1678"/>
      <c r="FH16" s="1678"/>
      <c r="FI16" s="1678"/>
      <c r="FJ16" s="1678"/>
      <c r="FK16" s="1678"/>
      <c r="FL16" s="1678"/>
    </row>
    <row r="17" spans="2:168">
      <c r="B17" s="2023" t="str">
        <f t="shared" si="4"/>
        <v>1.2.3</v>
      </c>
      <c r="C17" s="829" t="str">
        <f t="shared" si="5"/>
        <v>界床遮音性能（軽量衝撃源）</v>
      </c>
      <c r="D17" s="2022" t="e">
        <f t="shared" si="45"/>
        <v>#REF!</v>
      </c>
      <c r="E17" s="2022" t="e">
        <f t="shared" si="45"/>
        <v>#REF!</v>
      </c>
      <c r="G17" s="2021" t="e">
        <f t="shared" si="6"/>
        <v>#REF!</v>
      </c>
      <c r="H17" s="2021" t="e">
        <f t="shared" si="7"/>
        <v>#REF!</v>
      </c>
      <c r="I17" s="2021"/>
      <c r="J17" s="2021"/>
      <c r="K17" s="2021" t="e">
        <f>IF(#REF!=0,0,1)</f>
        <v>#REF!</v>
      </c>
      <c r="L17" s="2021" t="e">
        <f>IF(#REF!=0,0,1)</f>
        <v>#REF!</v>
      </c>
      <c r="M17" s="2021">
        <f t="shared" si="8"/>
        <v>0</v>
      </c>
      <c r="N17" s="2021">
        <f t="shared" si="9"/>
        <v>0</v>
      </c>
      <c r="P17" s="2214"/>
      <c r="Q17" s="2101"/>
      <c r="R17" s="993">
        <v>3</v>
      </c>
      <c r="S17" s="507" t="s">
        <v>603</v>
      </c>
      <c r="T17" s="1655"/>
      <c r="U17" s="2017"/>
      <c r="V17" s="2038">
        <f t="shared" si="43"/>
        <v>0</v>
      </c>
      <c r="W17" s="2037">
        <f t="shared" si="44"/>
        <v>0</v>
      </c>
      <c r="Y17" s="1">
        <f t="shared" si="29"/>
        <v>0</v>
      </c>
      <c r="Z17" s="1">
        <f t="shared" si="30"/>
        <v>0</v>
      </c>
      <c r="AA17" s="1">
        <f t="shared" si="31"/>
        <v>0</v>
      </c>
      <c r="AB17" s="1">
        <f t="shared" si="32"/>
        <v>0</v>
      </c>
      <c r="AC17" s="1">
        <f t="shared" si="33"/>
        <v>0</v>
      </c>
      <c r="AD17" s="1">
        <f t="shared" si="34"/>
        <v>0</v>
      </c>
      <c r="AE17" s="1">
        <f t="shared" si="35"/>
        <v>0</v>
      </c>
      <c r="AF17" s="1">
        <f t="shared" si="36"/>
        <v>0</v>
      </c>
      <c r="AG17" s="1">
        <f t="shared" si="37"/>
        <v>0</v>
      </c>
      <c r="AH17" s="1">
        <f t="shared" si="38"/>
        <v>0</v>
      </c>
      <c r="AI17" s="1">
        <f t="shared" si="39"/>
        <v>1</v>
      </c>
      <c r="AJ17" s="1">
        <f t="shared" si="40"/>
        <v>0</v>
      </c>
      <c r="AK17" s="1">
        <f t="shared" si="41"/>
        <v>0</v>
      </c>
      <c r="AM17" s="1828"/>
      <c r="AN17" s="1828"/>
      <c r="AO17" s="1828"/>
      <c r="AP17" s="1828"/>
      <c r="AQ17" s="1828"/>
      <c r="AR17" s="1828"/>
      <c r="AS17" s="1828"/>
      <c r="AT17" s="1828"/>
      <c r="AU17" s="1828"/>
      <c r="AV17" s="1828"/>
      <c r="AW17" s="1828">
        <v>4</v>
      </c>
      <c r="AX17" s="1828"/>
      <c r="AY17" s="1828"/>
      <c r="BA17" s="2014"/>
      <c r="BB17" s="2014" t="e">
        <f t="shared" si="11"/>
        <v>#REF!</v>
      </c>
      <c r="BC17" s="2014"/>
      <c r="BD17" s="2013" t="e">
        <f>BR17*#REF!</f>
        <v>#REF!</v>
      </c>
      <c r="BE17" s="2013" t="e">
        <f>BS17*#REF!</f>
        <v>#REF!</v>
      </c>
      <c r="BF17" s="2013" t="e">
        <f>BT17*#REF!</f>
        <v>#REF!</v>
      </c>
      <c r="BG17" s="2013" t="e">
        <f>BU17*#REF!</f>
        <v>#REF!</v>
      </c>
      <c r="BH17" s="2094" t="e">
        <f>BV17*#REF!</f>
        <v>#REF!</v>
      </c>
      <c r="BI17" s="2013" t="e">
        <f>BW17*#REF!</f>
        <v>#REF!</v>
      </c>
      <c r="BJ17" s="2013" t="e">
        <f>BX17*#REF!</f>
        <v>#REF!</v>
      </c>
      <c r="BK17" s="2013" t="e">
        <f>BY17*#REF!</f>
        <v>#REF!</v>
      </c>
      <c r="BL17" s="2013" t="e">
        <f>BZ17*#REF!</f>
        <v>#REF!</v>
      </c>
      <c r="BM17" s="2013" t="e">
        <f>CA17*#REF!</f>
        <v>#REF!</v>
      </c>
      <c r="BO17" s="2040" t="str">
        <f t="shared" si="12"/>
        <v>1.2.3</v>
      </c>
      <c r="BP17" s="2040" t="str">
        <f t="shared" si="13"/>
        <v xml:space="preserve"> Q1 1.2</v>
      </c>
      <c r="BQ17" s="829" t="str">
        <f t="shared" si="14"/>
        <v>界床遮音性能（軽量衝撃源）</v>
      </c>
      <c r="BR17" s="2010">
        <f t="shared" si="15"/>
        <v>0</v>
      </c>
      <c r="BS17" s="2010">
        <f t="shared" si="16"/>
        <v>0.2</v>
      </c>
      <c r="BT17" s="2010">
        <f t="shared" si="17"/>
        <v>0</v>
      </c>
      <c r="BU17" s="2010">
        <f t="shared" si="18"/>
        <v>0</v>
      </c>
      <c r="BV17" s="2093">
        <f t="shared" si="19"/>
        <v>0</v>
      </c>
      <c r="BW17" s="2010">
        <f t="shared" si="20"/>
        <v>0</v>
      </c>
      <c r="BX17" s="2010">
        <f t="shared" si="21"/>
        <v>0.2</v>
      </c>
      <c r="BY17" s="2010">
        <f t="shared" si="22"/>
        <v>0</v>
      </c>
      <c r="BZ17" s="2010">
        <f t="shared" si="23"/>
        <v>0</v>
      </c>
      <c r="CA17" s="2010">
        <f t="shared" si="24"/>
        <v>0</v>
      </c>
      <c r="CB17" s="2039">
        <f t="shared" si="25"/>
        <v>0.2</v>
      </c>
      <c r="CC17" s="2010">
        <f t="shared" si="26"/>
        <v>0.2</v>
      </c>
      <c r="CD17" s="2010">
        <f t="shared" si="27"/>
        <v>0.2</v>
      </c>
      <c r="CF17" s="1207" t="s">
        <v>3336</v>
      </c>
      <c r="CG17" s="1211" t="s">
        <v>800</v>
      </c>
      <c r="CH17" s="829" t="s">
        <v>603</v>
      </c>
      <c r="CI17" s="1213"/>
      <c r="CJ17" s="1213">
        <v>0.3</v>
      </c>
      <c r="CK17" s="1213"/>
      <c r="CL17" s="1213"/>
      <c r="CM17" s="1220"/>
      <c r="CN17" s="1213"/>
      <c r="CO17" s="1213">
        <v>0.3</v>
      </c>
      <c r="CP17" s="1219">
        <v>0.6</v>
      </c>
      <c r="CQ17" s="1213"/>
      <c r="CR17" s="1213"/>
      <c r="CS17" s="1214"/>
      <c r="CT17" s="1213">
        <v>0.3</v>
      </c>
      <c r="CU17" s="1213">
        <v>0.3</v>
      </c>
      <c r="CW17" s="1207" t="s">
        <v>3336</v>
      </c>
      <c r="CX17" s="1211" t="s">
        <v>800</v>
      </c>
      <c r="CY17" s="829" t="s">
        <v>603</v>
      </c>
      <c r="CZ17" s="1213"/>
      <c r="DA17" s="1213">
        <v>0.15</v>
      </c>
      <c r="DB17" s="1213"/>
      <c r="DC17" s="1213"/>
      <c r="DD17" s="1215"/>
      <c r="DE17" s="1213"/>
      <c r="DF17" s="1213">
        <v>0.15</v>
      </c>
      <c r="DG17" s="1213"/>
      <c r="DH17" s="1213"/>
      <c r="DI17" s="1213"/>
      <c r="DJ17" s="1214">
        <v>0.2</v>
      </c>
      <c r="DK17" s="1213">
        <v>0.2</v>
      </c>
      <c r="DL17" s="1213">
        <v>0.2</v>
      </c>
      <c r="DN17" s="1207" t="s">
        <v>3336</v>
      </c>
      <c r="DO17" s="1211" t="s">
        <v>800</v>
      </c>
      <c r="DP17" s="829" t="s">
        <v>603</v>
      </c>
      <c r="DQ17" s="1213"/>
      <c r="DR17" s="1213">
        <v>0.2</v>
      </c>
      <c r="DS17" s="1213"/>
      <c r="DT17" s="1213"/>
      <c r="DU17" s="1569"/>
      <c r="DV17" s="1213"/>
      <c r="DW17" s="1213">
        <v>0.2</v>
      </c>
      <c r="DX17" s="1213"/>
      <c r="DY17" s="1213"/>
      <c r="DZ17" s="1213"/>
      <c r="EA17" s="1214">
        <v>0.2</v>
      </c>
      <c r="EB17" s="1213">
        <v>0.2</v>
      </c>
      <c r="EC17" s="1213">
        <v>0.2</v>
      </c>
      <c r="ED17" s="1469"/>
      <c r="EF17" s="1207" t="s">
        <v>3336</v>
      </c>
      <c r="EG17" s="1211" t="s">
        <v>800</v>
      </c>
      <c r="EH17" s="829" t="s">
        <v>603</v>
      </c>
      <c r="EI17" s="1689">
        <f t="shared" si="46"/>
        <v>0</v>
      </c>
      <c r="EJ17" s="1689">
        <f t="shared" si="46"/>
        <v>0.2</v>
      </c>
      <c r="EK17" s="1689">
        <f t="shared" si="46"/>
        <v>0</v>
      </c>
      <c r="EL17" s="1689">
        <f t="shared" si="46"/>
        <v>0</v>
      </c>
      <c r="EM17" s="1690">
        <f t="shared" si="46"/>
        <v>0</v>
      </c>
      <c r="EN17" s="1689">
        <f t="shared" si="46"/>
        <v>0</v>
      </c>
      <c r="EO17" s="1689">
        <f t="shared" si="46"/>
        <v>0.2</v>
      </c>
      <c r="EP17" s="1689">
        <f t="shared" si="46"/>
        <v>0</v>
      </c>
      <c r="EQ17" s="1689">
        <f t="shared" si="46"/>
        <v>0</v>
      </c>
      <c r="ER17" s="1689">
        <f t="shared" si="46"/>
        <v>0</v>
      </c>
      <c r="ES17" s="1691">
        <f t="shared" si="46"/>
        <v>0.2</v>
      </c>
      <c r="ET17" s="1689">
        <f t="shared" si="46"/>
        <v>0.2</v>
      </c>
      <c r="EU17" s="1689">
        <f t="shared" si="46"/>
        <v>0.2</v>
      </c>
      <c r="EW17" s="1207" t="s">
        <v>3336</v>
      </c>
      <c r="EX17" s="1211" t="s">
        <v>800</v>
      </c>
      <c r="EY17" s="829" t="s">
        <v>603</v>
      </c>
      <c r="EZ17" s="1814">
        <v>0</v>
      </c>
      <c r="FA17" s="1678"/>
      <c r="FB17" s="1678"/>
      <c r="FC17" s="1678"/>
      <c r="FD17" s="1794"/>
      <c r="FE17" s="1678"/>
      <c r="FF17" s="1678"/>
      <c r="FG17" s="1678"/>
      <c r="FH17" s="1678"/>
      <c r="FI17" s="1678"/>
      <c r="FJ17" s="1795"/>
      <c r="FK17" s="1678"/>
      <c r="FL17" s="1678"/>
    </row>
    <row r="18" spans="2:168">
      <c r="B18" s="2023" t="str">
        <f t="shared" si="4"/>
        <v>1.2.4</v>
      </c>
      <c r="C18" s="829" t="str">
        <f t="shared" si="5"/>
        <v>界床遮音性能（重量衝撃源）</v>
      </c>
      <c r="D18" s="2022" t="e">
        <f t="shared" si="45"/>
        <v>#REF!</v>
      </c>
      <c r="E18" s="2022" t="e">
        <f t="shared" si="45"/>
        <v>#REF!</v>
      </c>
      <c r="G18" s="2021" t="e">
        <f t="shared" si="6"/>
        <v>#REF!</v>
      </c>
      <c r="H18" s="2021" t="e">
        <f t="shared" si="7"/>
        <v>#REF!</v>
      </c>
      <c r="I18" s="2021"/>
      <c r="J18" s="2021"/>
      <c r="K18" s="2021" t="e">
        <f>IF(#REF!=0,0,1)</f>
        <v>#REF!</v>
      </c>
      <c r="L18" s="2021" t="e">
        <f>IF(#REF!=0,0,1)</f>
        <v>#REF!</v>
      </c>
      <c r="M18" s="2021">
        <f t="shared" si="8"/>
        <v>0</v>
      </c>
      <c r="N18" s="2021">
        <f t="shared" si="9"/>
        <v>0</v>
      </c>
      <c r="P18" s="2214"/>
      <c r="Q18" s="2227"/>
      <c r="R18" s="993">
        <v>4</v>
      </c>
      <c r="S18" s="507" t="s">
        <v>604</v>
      </c>
      <c r="T18" s="1655"/>
      <c r="U18" s="2017"/>
      <c r="V18" s="2038">
        <f t="shared" si="43"/>
        <v>0</v>
      </c>
      <c r="W18" s="2037">
        <f t="shared" si="44"/>
        <v>0</v>
      </c>
      <c r="Y18" s="1">
        <f t="shared" si="29"/>
        <v>0</v>
      </c>
      <c r="Z18" s="1">
        <f t="shared" si="30"/>
        <v>0</v>
      </c>
      <c r="AA18" s="1">
        <f t="shared" si="31"/>
        <v>0</v>
      </c>
      <c r="AB18" s="1">
        <f t="shared" si="32"/>
        <v>0</v>
      </c>
      <c r="AC18" s="1">
        <f t="shared" si="33"/>
        <v>0</v>
      </c>
      <c r="AD18" s="1">
        <f t="shared" si="34"/>
        <v>0</v>
      </c>
      <c r="AE18" s="1">
        <f t="shared" si="35"/>
        <v>0</v>
      </c>
      <c r="AF18" s="1">
        <f t="shared" si="36"/>
        <v>0</v>
      </c>
      <c r="AG18" s="1">
        <f t="shared" si="37"/>
        <v>0</v>
      </c>
      <c r="AH18" s="1">
        <f t="shared" si="38"/>
        <v>0</v>
      </c>
      <c r="AI18" s="1">
        <f t="shared" si="39"/>
        <v>0</v>
      </c>
      <c r="AJ18" s="1">
        <f t="shared" si="40"/>
        <v>0</v>
      </c>
      <c r="AK18" s="1">
        <f t="shared" si="41"/>
        <v>0</v>
      </c>
      <c r="AM18" s="1828"/>
      <c r="AN18" s="1828"/>
      <c r="AO18" s="1828"/>
      <c r="AP18" s="1828"/>
      <c r="AQ18" s="1828"/>
      <c r="AR18" s="1828"/>
      <c r="AS18" s="1828"/>
      <c r="AT18" s="1828"/>
      <c r="AU18" s="1828"/>
      <c r="AV18" s="1828"/>
      <c r="AW18" s="1828"/>
      <c r="AX18" s="1828"/>
      <c r="AY18" s="1828"/>
      <c r="BA18" s="2014"/>
      <c r="BB18" s="2014" t="e">
        <f t="shared" si="11"/>
        <v>#REF!</v>
      </c>
      <c r="BC18" s="2014"/>
      <c r="BD18" s="2013" t="e">
        <f>BR18*#REF!</f>
        <v>#REF!</v>
      </c>
      <c r="BE18" s="2013" t="e">
        <f>BS18*#REF!</f>
        <v>#REF!</v>
      </c>
      <c r="BF18" s="2013" t="e">
        <f>BT18*#REF!</f>
        <v>#REF!</v>
      </c>
      <c r="BG18" s="2013" t="e">
        <f>BU18*#REF!</f>
        <v>#REF!</v>
      </c>
      <c r="BH18" s="2094" t="e">
        <f>BV18*#REF!</f>
        <v>#REF!</v>
      </c>
      <c r="BI18" s="2013" t="e">
        <f>BW18*#REF!</f>
        <v>#REF!</v>
      </c>
      <c r="BJ18" s="2013" t="e">
        <f>BX18*#REF!</f>
        <v>#REF!</v>
      </c>
      <c r="BK18" s="2013" t="e">
        <f>BY18*#REF!</f>
        <v>#REF!</v>
      </c>
      <c r="BL18" s="2013" t="e">
        <f>BZ18*#REF!</f>
        <v>#REF!</v>
      </c>
      <c r="BM18" s="2013" t="e">
        <f>CA18*#REF!</f>
        <v>#REF!</v>
      </c>
      <c r="BO18" s="2040" t="str">
        <f t="shared" si="12"/>
        <v>1.2.4</v>
      </c>
      <c r="BP18" s="2040" t="str">
        <f t="shared" si="13"/>
        <v xml:space="preserve"> Q1 1.2</v>
      </c>
      <c r="BQ18" s="829" t="str">
        <f t="shared" si="14"/>
        <v>界床遮音性能（重量衝撃源）</v>
      </c>
      <c r="BR18" s="2010">
        <f t="shared" si="15"/>
        <v>0</v>
      </c>
      <c r="BS18" s="2010">
        <f t="shared" si="16"/>
        <v>0.2</v>
      </c>
      <c r="BT18" s="2010">
        <f t="shared" si="17"/>
        <v>0</v>
      </c>
      <c r="BU18" s="2010">
        <f t="shared" si="18"/>
        <v>0</v>
      </c>
      <c r="BV18" s="2093">
        <f t="shared" si="19"/>
        <v>0</v>
      </c>
      <c r="BW18" s="2010">
        <f t="shared" si="20"/>
        <v>0</v>
      </c>
      <c r="BX18" s="2010">
        <f t="shared" si="21"/>
        <v>0.2</v>
      </c>
      <c r="BY18" s="2010">
        <f t="shared" si="22"/>
        <v>0</v>
      </c>
      <c r="BZ18" s="2010">
        <f t="shared" si="23"/>
        <v>0</v>
      </c>
      <c r="CA18" s="2010">
        <f t="shared" si="24"/>
        <v>0</v>
      </c>
      <c r="CB18" s="2039">
        <f t="shared" si="25"/>
        <v>0.2</v>
      </c>
      <c r="CC18" s="2010">
        <f t="shared" si="26"/>
        <v>0.2</v>
      </c>
      <c r="CD18" s="2010">
        <f t="shared" si="27"/>
        <v>0.2</v>
      </c>
      <c r="CF18" s="1207" t="s">
        <v>3335</v>
      </c>
      <c r="CG18" s="1211" t="s">
        <v>800</v>
      </c>
      <c r="CH18" s="829" t="s">
        <v>604</v>
      </c>
      <c r="CI18" s="1213"/>
      <c r="CJ18" s="1213">
        <v>0.3</v>
      </c>
      <c r="CK18" s="1213"/>
      <c r="CL18" s="1213"/>
      <c r="CM18" s="1220"/>
      <c r="CN18" s="1213"/>
      <c r="CO18" s="1213">
        <v>0.3</v>
      </c>
      <c r="CP18" s="1213"/>
      <c r="CQ18" s="1213"/>
      <c r="CR18" s="1213"/>
      <c r="CS18" s="1214"/>
      <c r="CT18" s="1213">
        <v>0.3</v>
      </c>
      <c r="CU18" s="1213">
        <v>0.3</v>
      </c>
      <c r="CW18" s="1207" t="s">
        <v>3335</v>
      </c>
      <c r="CX18" s="1211" t="s">
        <v>800</v>
      </c>
      <c r="CY18" s="829" t="s">
        <v>604</v>
      </c>
      <c r="CZ18" s="1213"/>
      <c r="DA18" s="1213">
        <v>0.15</v>
      </c>
      <c r="DB18" s="1213"/>
      <c r="DC18" s="1213"/>
      <c r="DD18" s="1215"/>
      <c r="DE18" s="1213"/>
      <c r="DF18" s="1213">
        <v>0.15</v>
      </c>
      <c r="DG18" s="1213"/>
      <c r="DH18" s="1213"/>
      <c r="DI18" s="1213"/>
      <c r="DJ18" s="1214">
        <v>0.2</v>
      </c>
      <c r="DK18" s="1213">
        <v>0.2</v>
      </c>
      <c r="DL18" s="1213">
        <v>0.2</v>
      </c>
      <c r="DN18" s="1207" t="s">
        <v>3335</v>
      </c>
      <c r="DO18" s="1211" t="s">
        <v>800</v>
      </c>
      <c r="DP18" s="829" t="s">
        <v>604</v>
      </c>
      <c r="DQ18" s="1213"/>
      <c r="DR18" s="1213">
        <v>0.2</v>
      </c>
      <c r="DS18" s="1213"/>
      <c r="DT18" s="1213"/>
      <c r="DU18" s="1569"/>
      <c r="DV18" s="1213"/>
      <c r="DW18" s="1213">
        <v>0.2</v>
      </c>
      <c r="DX18" s="1213"/>
      <c r="DY18" s="1213"/>
      <c r="DZ18" s="1213"/>
      <c r="EA18" s="1214">
        <v>0.2</v>
      </c>
      <c r="EB18" s="1213">
        <v>0.2</v>
      </c>
      <c r="EC18" s="1213">
        <v>0.2</v>
      </c>
      <c r="ED18" s="1469"/>
      <c r="EF18" s="1207" t="s">
        <v>3335</v>
      </c>
      <c r="EG18" s="1211" t="s">
        <v>800</v>
      </c>
      <c r="EH18" s="829" t="s">
        <v>604</v>
      </c>
      <c r="EI18" s="1689">
        <f t="shared" si="46"/>
        <v>0</v>
      </c>
      <c r="EJ18" s="1689">
        <f t="shared" si="46"/>
        <v>0.2</v>
      </c>
      <c r="EK18" s="1689">
        <f t="shared" si="46"/>
        <v>0</v>
      </c>
      <c r="EL18" s="1689">
        <f t="shared" si="46"/>
        <v>0</v>
      </c>
      <c r="EM18" s="1690">
        <f t="shared" si="46"/>
        <v>0</v>
      </c>
      <c r="EN18" s="1689">
        <f t="shared" si="46"/>
        <v>0</v>
      </c>
      <c r="EO18" s="1689">
        <f t="shared" si="46"/>
        <v>0.2</v>
      </c>
      <c r="EP18" s="1689">
        <f t="shared" si="46"/>
        <v>0</v>
      </c>
      <c r="EQ18" s="1689">
        <f t="shared" si="46"/>
        <v>0</v>
      </c>
      <c r="ER18" s="1689">
        <f t="shared" si="46"/>
        <v>0</v>
      </c>
      <c r="ES18" s="1691">
        <f t="shared" si="46"/>
        <v>0.2</v>
      </c>
      <c r="ET18" s="1689">
        <f t="shared" si="46"/>
        <v>0.2</v>
      </c>
      <c r="EU18" s="1689">
        <f t="shared" si="46"/>
        <v>0.2</v>
      </c>
      <c r="EW18" s="1207" t="s">
        <v>3335</v>
      </c>
      <c r="EX18" s="1211" t="s">
        <v>800</v>
      </c>
      <c r="EY18" s="829" t="s">
        <v>604</v>
      </c>
      <c r="EZ18" s="1814">
        <v>0</v>
      </c>
      <c r="FA18" s="1678"/>
      <c r="FB18" s="1678"/>
      <c r="FC18" s="1678"/>
      <c r="FD18" s="1794"/>
      <c r="FE18" s="1678"/>
      <c r="FF18" s="1678"/>
      <c r="FG18" s="1678"/>
      <c r="FH18" s="1678"/>
      <c r="FI18" s="1678"/>
      <c r="FJ18" s="1795"/>
      <c r="FK18" s="1678"/>
      <c r="FL18" s="1678"/>
    </row>
    <row r="19" spans="2:168" ht="14.25" thickBot="1">
      <c r="B19" s="2023">
        <f t="shared" si="4"/>
        <v>1.3</v>
      </c>
      <c r="C19" s="829" t="str">
        <f t="shared" si="5"/>
        <v>吸音</v>
      </c>
      <c r="D19" s="2022" t="e">
        <f>IF(I$10=0,0,G19/I$10)</f>
        <v>#REF!</v>
      </c>
      <c r="E19" s="2022" t="e">
        <f>IF(J$10=0,0,H19/J$10)</f>
        <v>#REF!</v>
      </c>
      <c r="G19" s="2021" t="e">
        <f t="shared" si="6"/>
        <v>#REF!</v>
      </c>
      <c r="H19" s="2021" t="e">
        <f t="shared" si="7"/>
        <v>#REF!</v>
      </c>
      <c r="I19" s="2021"/>
      <c r="J19" s="2021"/>
      <c r="K19" s="2021" t="e">
        <f>IF(#REF!=0,0,1)</f>
        <v>#REF!</v>
      </c>
      <c r="L19" s="2021" t="e">
        <f>IF(#REF!=0,0,1)</f>
        <v>#REF!</v>
      </c>
      <c r="M19" s="2021">
        <f t="shared" si="8"/>
        <v>0.2</v>
      </c>
      <c r="N19" s="2021">
        <f t="shared" si="9"/>
        <v>0</v>
      </c>
      <c r="P19" s="2280"/>
      <c r="Q19" s="2069">
        <v>1.3</v>
      </c>
      <c r="R19" s="1655" t="s">
        <v>605</v>
      </c>
      <c r="S19" s="1655"/>
      <c r="T19" s="1655"/>
      <c r="U19" s="2017"/>
      <c r="V19" s="2016">
        <f t="shared" si="43"/>
        <v>0</v>
      </c>
      <c r="W19" s="2015">
        <f t="shared" si="44"/>
        <v>0</v>
      </c>
      <c r="Y19" s="1">
        <f t="shared" si="29"/>
        <v>0</v>
      </c>
      <c r="Z19" s="1">
        <f t="shared" si="30"/>
        <v>0</v>
      </c>
      <c r="AA19" s="1">
        <f t="shared" si="31"/>
        <v>0</v>
      </c>
      <c r="AB19" s="1">
        <f t="shared" si="32"/>
        <v>0</v>
      </c>
      <c r="AC19" s="1">
        <f t="shared" si="33"/>
        <v>0</v>
      </c>
      <c r="AD19" s="1">
        <f t="shared" si="34"/>
        <v>0</v>
      </c>
      <c r="AE19" s="1">
        <f t="shared" si="35"/>
        <v>0</v>
      </c>
      <c r="AF19" s="1">
        <f t="shared" si="36"/>
        <v>0</v>
      </c>
      <c r="AG19" s="1">
        <f t="shared" si="37"/>
        <v>0</v>
      </c>
      <c r="AH19" s="1">
        <f t="shared" si="38"/>
        <v>0</v>
      </c>
      <c r="AI19" s="1">
        <f t="shared" si="39"/>
        <v>0</v>
      </c>
      <c r="AJ19" s="1">
        <f t="shared" si="40"/>
        <v>0</v>
      </c>
      <c r="AK19" s="1">
        <f t="shared" si="41"/>
        <v>0</v>
      </c>
      <c r="AM19" s="1829"/>
      <c r="AN19" s="1829"/>
      <c r="AO19" s="1829"/>
      <c r="AP19" s="1829"/>
      <c r="AQ19" s="1829"/>
      <c r="AR19" s="1829"/>
      <c r="AS19" s="1829"/>
      <c r="AT19" s="1829"/>
      <c r="AU19" s="1829"/>
      <c r="AV19" s="1829"/>
      <c r="AW19" s="1829"/>
      <c r="AX19" s="1829"/>
      <c r="AY19" s="1829"/>
      <c r="BA19" s="2014"/>
      <c r="BB19" s="2014" t="e">
        <f t="shared" si="11"/>
        <v>#REF!</v>
      </c>
      <c r="BC19" s="2014"/>
      <c r="BD19" s="2013" t="e">
        <f>BR19*#REF!</f>
        <v>#REF!</v>
      </c>
      <c r="BE19" s="2013" t="e">
        <f>BS19*#REF!</f>
        <v>#REF!</v>
      </c>
      <c r="BF19" s="2013" t="e">
        <f>BT19*#REF!</f>
        <v>#REF!</v>
      </c>
      <c r="BG19" s="2013" t="e">
        <f>BU19*#REF!</f>
        <v>#REF!</v>
      </c>
      <c r="BH19" s="2094" t="e">
        <f>BV19*#REF!</f>
        <v>#REF!</v>
      </c>
      <c r="BI19" s="2013" t="e">
        <f>BW19*#REF!</f>
        <v>#REF!</v>
      </c>
      <c r="BJ19" s="2013" t="e">
        <f>BX19*#REF!</f>
        <v>#REF!</v>
      </c>
      <c r="BK19" s="2013" t="e">
        <f>BY19*#REF!</f>
        <v>#REF!</v>
      </c>
      <c r="BL19" s="2013" t="e">
        <f>BZ19*#REF!</f>
        <v>#REF!</v>
      </c>
      <c r="BM19" s="2013" t="e">
        <f>CA19*#REF!</f>
        <v>#REF!</v>
      </c>
      <c r="BO19" s="2040">
        <f t="shared" si="12"/>
        <v>1.3</v>
      </c>
      <c r="BP19" s="2040" t="str">
        <f t="shared" si="13"/>
        <v xml:space="preserve"> Q1 1</v>
      </c>
      <c r="BQ19" s="829" t="str">
        <f t="shared" si="14"/>
        <v>吸音</v>
      </c>
      <c r="BR19" s="2010">
        <f t="shared" si="15"/>
        <v>0.2</v>
      </c>
      <c r="BS19" s="2010">
        <f t="shared" si="16"/>
        <v>0.2</v>
      </c>
      <c r="BT19" s="2010">
        <f t="shared" si="17"/>
        <v>0.2</v>
      </c>
      <c r="BU19" s="2010">
        <f t="shared" si="18"/>
        <v>0.2</v>
      </c>
      <c r="BV19" s="2093">
        <f t="shared" si="19"/>
        <v>0.2</v>
      </c>
      <c r="BW19" s="2010">
        <f t="shared" si="20"/>
        <v>0.2</v>
      </c>
      <c r="BX19" s="2010">
        <f t="shared" si="21"/>
        <v>0.2</v>
      </c>
      <c r="BY19" s="2010">
        <f t="shared" si="22"/>
        <v>0.2</v>
      </c>
      <c r="BZ19" s="2010">
        <f t="shared" si="23"/>
        <v>0.2</v>
      </c>
      <c r="CA19" s="2010">
        <f t="shared" si="24"/>
        <v>0</v>
      </c>
      <c r="CB19" s="2039">
        <f t="shared" si="25"/>
        <v>0.2</v>
      </c>
      <c r="CC19" s="2010">
        <f t="shared" si="26"/>
        <v>0.2</v>
      </c>
      <c r="CD19" s="2010">
        <f t="shared" si="27"/>
        <v>0</v>
      </c>
      <c r="CF19" s="1207">
        <v>1.3</v>
      </c>
      <c r="CG19" s="1211" t="s">
        <v>794</v>
      </c>
      <c r="CH19" s="829" t="s">
        <v>605</v>
      </c>
      <c r="CI19" s="1219">
        <v>0.2</v>
      </c>
      <c r="CJ19" s="1209">
        <v>0.2</v>
      </c>
      <c r="CK19" s="1209">
        <v>0.2</v>
      </c>
      <c r="CL19" s="1209">
        <v>0.2</v>
      </c>
      <c r="CM19" s="1219">
        <v>0.2</v>
      </c>
      <c r="CN19" s="1209"/>
      <c r="CO19" s="1213">
        <v>0.2</v>
      </c>
      <c r="CP19" s="1219">
        <v>0.2</v>
      </c>
      <c r="CQ19" s="1209">
        <v>0.2</v>
      </c>
      <c r="CR19" s="1209">
        <v>0.2</v>
      </c>
      <c r="CS19" s="1214"/>
      <c r="CT19" s="1213">
        <v>0.2</v>
      </c>
      <c r="CU19" s="1219">
        <v>0.2</v>
      </c>
      <c r="CW19" s="1207">
        <v>1.3</v>
      </c>
      <c r="CX19" s="1211" t="s">
        <v>794</v>
      </c>
      <c r="CY19" s="829" t="s">
        <v>605</v>
      </c>
      <c r="CZ19" s="1213">
        <v>0.3</v>
      </c>
      <c r="DA19" s="1213">
        <v>0.3</v>
      </c>
      <c r="DB19" s="1213">
        <v>0.3</v>
      </c>
      <c r="DC19" s="1213">
        <v>0.3</v>
      </c>
      <c r="DD19" s="1215">
        <v>0.2</v>
      </c>
      <c r="DE19" s="1213">
        <v>0.3</v>
      </c>
      <c r="DF19" s="1213">
        <v>0.3</v>
      </c>
      <c r="DG19" s="1213">
        <v>0.3</v>
      </c>
      <c r="DH19" s="1213">
        <v>0.3</v>
      </c>
      <c r="DI19" s="1213">
        <v>0</v>
      </c>
      <c r="DJ19" s="1214">
        <v>0.3</v>
      </c>
      <c r="DK19" s="1213">
        <v>0.3</v>
      </c>
      <c r="DL19" s="1213">
        <v>0</v>
      </c>
      <c r="DN19" s="1207">
        <v>1.3</v>
      </c>
      <c r="DO19" s="1211" t="s">
        <v>794</v>
      </c>
      <c r="DP19" s="829" t="s">
        <v>605</v>
      </c>
      <c r="DQ19" s="1213">
        <v>0.2</v>
      </c>
      <c r="DR19" s="1213">
        <v>0.2</v>
      </c>
      <c r="DS19" s="1213">
        <v>0.2</v>
      </c>
      <c r="DT19" s="1213">
        <v>0.2</v>
      </c>
      <c r="DU19" s="1569">
        <v>0.2</v>
      </c>
      <c r="DV19" s="1213">
        <v>0.2</v>
      </c>
      <c r="DW19" s="1213">
        <v>0.2</v>
      </c>
      <c r="DX19" s="1213">
        <v>0.2</v>
      </c>
      <c r="DY19" s="1213">
        <v>0.2</v>
      </c>
      <c r="DZ19" s="1213">
        <v>0</v>
      </c>
      <c r="EA19" s="1214">
        <v>0.2</v>
      </c>
      <c r="EB19" s="1213">
        <v>0.2</v>
      </c>
      <c r="EC19" s="1213">
        <v>0</v>
      </c>
      <c r="ED19" s="1469"/>
      <c r="EF19" s="1207">
        <v>1.3</v>
      </c>
      <c r="EG19" s="1211" t="s">
        <v>794</v>
      </c>
      <c r="EH19" s="829" t="s">
        <v>605</v>
      </c>
      <c r="EI19" s="1678">
        <v>0.33</v>
      </c>
      <c r="EJ19" s="1678">
        <v>0.33</v>
      </c>
      <c r="EK19" s="1678">
        <v>0.33</v>
      </c>
      <c r="EL19" s="1678">
        <v>0.33</v>
      </c>
      <c r="EM19" s="1678">
        <v>0.33</v>
      </c>
      <c r="EN19" s="1678">
        <v>0.33</v>
      </c>
      <c r="EO19" s="1678">
        <v>0.33</v>
      </c>
      <c r="EP19" s="1678">
        <v>0.33</v>
      </c>
      <c r="EQ19" s="1678">
        <v>0.33</v>
      </c>
      <c r="ER19" s="1689">
        <f t="shared" ref="ER19:ER31" si="47">DZ19</f>
        <v>0</v>
      </c>
      <c r="ES19" s="1678">
        <v>0.33</v>
      </c>
      <c r="ET19" s="1678">
        <v>0.33</v>
      </c>
      <c r="EU19" s="1689">
        <f t="shared" ref="EU19:EU31" si="48">EC19</f>
        <v>0</v>
      </c>
      <c r="EW19" s="1207">
        <v>1.3</v>
      </c>
      <c r="EX19" s="1211" t="s">
        <v>794</v>
      </c>
      <c r="EY19" s="829" t="s">
        <v>605</v>
      </c>
      <c r="EZ19" s="1814">
        <v>0</v>
      </c>
      <c r="FA19" s="1678"/>
      <c r="FB19" s="1678"/>
      <c r="FC19" s="1678"/>
      <c r="FD19" s="1678"/>
      <c r="FE19" s="1678"/>
      <c r="FF19" s="1678"/>
      <c r="FG19" s="1678"/>
      <c r="FH19" s="1678"/>
      <c r="FI19" s="1678"/>
      <c r="FJ19" s="1678"/>
      <c r="FK19" s="1678"/>
      <c r="FL19" s="1678"/>
    </row>
    <row r="20" spans="2:168">
      <c r="B20" s="2023">
        <f t="shared" si="4"/>
        <v>2</v>
      </c>
      <c r="C20" s="2050" t="str">
        <f t="shared" si="5"/>
        <v>温熱環境</v>
      </c>
      <c r="D20" s="2061" t="e">
        <f>IF(I$9=0,0,G20/I$9)</f>
        <v>#REF!</v>
      </c>
      <c r="E20" s="2060" t="e">
        <f>IF(J$9=0,0,H20/J$9)</f>
        <v>#REF!</v>
      </c>
      <c r="G20" s="2060" t="e">
        <f t="shared" si="6"/>
        <v>#REF!</v>
      </c>
      <c r="H20" s="2060" t="e">
        <f t="shared" si="7"/>
        <v>#REF!</v>
      </c>
      <c r="I20" s="2060" t="e">
        <f>G21+G30+G31+G32</f>
        <v>#REF!</v>
      </c>
      <c r="J20" s="2060" t="e">
        <f>H21+H30+H31+H32</f>
        <v>#REF!</v>
      </c>
      <c r="K20" s="2060" t="e">
        <f>IF(L20&gt;0,1,IF(#REF!=0,0,1))</f>
        <v>#REF!</v>
      </c>
      <c r="L20" s="2060" t="e">
        <f>IF(#REF!=0,0,1)</f>
        <v>#REF!</v>
      </c>
      <c r="M20" s="2060">
        <f t="shared" si="8"/>
        <v>0.35</v>
      </c>
      <c r="N20" s="2060">
        <f t="shared" si="9"/>
        <v>0</v>
      </c>
      <c r="P20" s="2070">
        <v>2</v>
      </c>
      <c r="Q20" s="2058" t="s">
        <v>606</v>
      </c>
      <c r="R20" s="2116"/>
      <c r="S20" s="2106"/>
      <c r="T20" s="2106"/>
      <c r="U20" s="2017"/>
      <c r="V20" s="2057">
        <f t="shared" si="43"/>
        <v>0</v>
      </c>
      <c r="W20" s="2056">
        <f t="shared" si="44"/>
        <v>0</v>
      </c>
      <c r="Y20" s="1">
        <f t="shared" si="29"/>
        <v>0</v>
      </c>
      <c r="Z20" s="1">
        <f t="shared" si="30"/>
        <v>0</v>
      </c>
      <c r="AA20" s="1">
        <f t="shared" si="31"/>
        <v>0</v>
      </c>
      <c r="AB20" s="1">
        <f t="shared" si="32"/>
        <v>0</v>
      </c>
      <c r="AC20" s="1">
        <f t="shared" si="33"/>
        <v>0</v>
      </c>
      <c r="AD20" s="1">
        <f t="shared" si="34"/>
        <v>0</v>
      </c>
      <c r="AE20" s="1">
        <f t="shared" si="35"/>
        <v>0</v>
      </c>
      <c r="AF20" s="1">
        <f t="shared" si="36"/>
        <v>0</v>
      </c>
      <c r="AG20" s="1">
        <f t="shared" si="37"/>
        <v>0</v>
      </c>
      <c r="AH20" s="1">
        <f t="shared" si="38"/>
        <v>0</v>
      </c>
      <c r="AI20" s="1">
        <f t="shared" si="39"/>
        <v>0</v>
      </c>
      <c r="AJ20" s="1">
        <f t="shared" si="40"/>
        <v>0</v>
      </c>
      <c r="AK20" s="1">
        <f t="shared" si="41"/>
        <v>0</v>
      </c>
      <c r="AM20" s="2055" t="s">
        <v>3316</v>
      </c>
      <c r="AN20" s="2055" t="s">
        <v>3316</v>
      </c>
      <c r="AO20" s="2055" t="s">
        <v>3316</v>
      </c>
      <c r="AP20" s="2055" t="s">
        <v>3316</v>
      </c>
      <c r="AQ20" s="2055" t="s">
        <v>3316</v>
      </c>
      <c r="AR20" s="2055" t="s">
        <v>3316</v>
      </c>
      <c r="AS20" s="2055" t="s">
        <v>3316</v>
      </c>
      <c r="AT20" s="2055" t="s">
        <v>3316</v>
      </c>
      <c r="AU20" s="2055" t="s">
        <v>3316</v>
      </c>
      <c r="AV20" s="2055" t="s">
        <v>3316</v>
      </c>
      <c r="AW20" s="2055" t="s">
        <v>3316</v>
      </c>
      <c r="AX20" s="2055" t="s">
        <v>3316</v>
      </c>
      <c r="AY20" s="2055" t="s">
        <v>3316</v>
      </c>
      <c r="BA20" s="2054" t="e">
        <f>BB20/$BC$9</f>
        <v>#REF!</v>
      </c>
      <c r="BB20" s="2054" t="e">
        <f t="shared" si="11"/>
        <v>#REF!</v>
      </c>
      <c r="BC20" s="2054"/>
      <c r="BD20" s="2053" t="e">
        <f>BR20*#REF!</f>
        <v>#REF!</v>
      </c>
      <c r="BE20" s="2053" t="e">
        <f>BS20*#REF!</f>
        <v>#REF!</v>
      </c>
      <c r="BF20" s="2053" t="e">
        <f>BT20*#REF!</f>
        <v>#REF!</v>
      </c>
      <c r="BG20" s="2053" t="e">
        <f>BU20*#REF!</f>
        <v>#REF!</v>
      </c>
      <c r="BH20" s="2232" t="e">
        <f>BV20*#REF!</f>
        <v>#REF!</v>
      </c>
      <c r="BI20" s="2053" t="e">
        <f>BW20*#REF!</f>
        <v>#REF!</v>
      </c>
      <c r="BJ20" s="2053" t="e">
        <f>BX20*#REF!</f>
        <v>#REF!</v>
      </c>
      <c r="BK20" s="2053" t="e">
        <f>BY20*#REF!</f>
        <v>#REF!</v>
      </c>
      <c r="BL20" s="2053" t="e">
        <f>BZ20*#REF!</f>
        <v>#REF!</v>
      </c>
      <c r="BM20" s="2053" t="e">
        <f>CA20*#REF!</f>
        <v>#REF!</v>
      </c>
      <c r="BO20" s="2114">
        <f t="shared" si="12"/>
        <v>2</v>
      </c>
      <c r="BP20" s="2114" t="str">
        <f t="shared" si="13"/>
        <v xml:space="preserve"> Q1</v>
      </c>
      <c r="BQ20" s="2050" t="str">
        <f t="shared" si="14"/>
        <v>温熱環境</v>
      </c>
      <c r="BR20" s="2048">
        <f t="shared" si="15"/>
        <v>0.35</v>
      </c>
      <c r="BS20" s="2048">
        <f t="shared" si="16"/>
        <v>0.35</v>
      </c>
      <c r="BT20" s="2048">
        <f t="shared" si="17"/>
        <v>0.35</v>
      </c>
      <c r="BU20" s="2048">
        <f t="shared" si="18"/>
        <v>0.35</v>
      </c>
      <c r="BV20" s="2231">
        <f t="shared" si="19"/>
        <v>0.35</v>
      </c>
      <c r="BW20" s="2048">
        <f t="shared" si="20"/>
        <v>0.35</v>
      </c>
      <c r="BX20" s="2048">
        <f t="shared" si="21"/>
        <v>0.35</v>
      </c>
      <c r="BY20" s="2048">
        <f t="shared" si="22"/>
        <v>0.35</v>
      </c>
      <c r="BZ20" s="2048">
        <f t="shared" si="23"/>
        <v>0.35</v>
      </c>
      <c r="CA20" s="2048">
        <f t="shared" si="24"/>
        <v>0.35</v>
      </c>
      <c r="CB20" s="2049">
        <f t="shared" si="25"/>
        <v>0</v>
      </c>
      <c r="CC20" s="2048">
        <f t="shared" si="26"/>
        <v>0</v>
      </c>
      <c r="CD20" s="2048">
        <f t="shared" si="27"/>
        <v>0</v>
      </c>
      <c r="CF20" s="1197">
        <v>2</v>
      </c>
      <c r="CG20" s="1201" t="s">
        <v>793</v>
      </c>
      <c r="CH20" s="1198" t="s">
        <v>786</v>
      </c>
      <c r="CI20" s="1199">
        <v>0.35</v>
      </c>
      <c r="CJ20" s="1199">
        <v>0.35</v>
      </c>
      <c r="CK20" s="1199">
        <v>0.35</v>
      </c>
      <c r="CL20" s="1199">
        <v>0.35</v>
      </c>
      <c r="CM20" s="1199">
        <v>0.44</v>
      </c>
      <c r="CN20" s="1199">
        <v>0.35</v>
      </c>
      <c r="CO20" s="1202">
        <v>0.35</v>
      </c>
      <c r="CP20" s="1199">
        <v>0.35</v>
      </c>
      <c r="CQ20" s="1199">
        <v>0.35</v>
      </c>
      <c r="CR20" s="1199">
        <v>0.35</v>
      </c>
      <c r="CS20" s="1203"/>
      <c r="CT20" s="1202"/>
      <c r="CU20" s="1202"/>
      <c r="CW20" s="1197">
        <v>2</v>
      </c>
      <c r="CX20" s="1201" t="s">
        <v>793</v>
      </c>
      <c r="CY20" s="1198" t="s">
        <v>786</v>
      </c>
      <c r="CZ20" s="1202">
        <v>0.35</v>
      </c>
      <c r="DA20" s="1202">
        <v>0.35</v>
      </c>
      <c r="DB20" s="1202">
        <v>0.35</v>
      </c>
      <c r="DC20" s="1202">
        <v>0.35</v>
      </c>
      <c r="DD20" s="1222">
        <v>0.44</v>
      </c>
      <c r="DE20" s="1202">
        <v>0.35</v>
      </c>
      <c r="DF20" s="1202">
        <v>0.35</v>
      </c>
      <c r="DG20" s="1202">
        <v>0.35</v>
      </c>
      <c r="DH20" s="1202">
        <v>0.35</v>
      </c>
      <c r="DI20" s="1202">
        <v>0.35</v>
      </c>
      <c r="DJ20" s="1203"/>
      <c r="DK20" s="1202"/>
      <c r="DL20" s="1202"/>
      <c r="DN20" s="1197">
        <v>2</v>
      </c>
      <c r="DO20" s="1201" t="s">
        <v>793</v>
      </c>
      <c r="DP20" s="1198" t="s">
        <v>786</v>
      </c>
      <c r="DQ20" s="1202">
        <v>0.35</v>
      </c>
      <c r="DR20" s="1202">
        <v>0.35</v>
      </c>
      <c r="DS20" s="1202">
        <v>0.35</v>
      </c>
      <c r="DT20" s="1202">
        <v>0.35</v>
      </c>
      <c r="DU20" s="1570">
        <v>0.35</v>
      </c>
      <c r="DV20" s="1202">
        <v>0.35</v>
      </c>
      <c r="DW20" s="1202">
        <v>0.35</v>
      </c>
      <c r="DX20" s="1202">
        <v>0.35</v>
      </c>
      <c r="DY20" s="1202">
        <v>0.35</v>
      </c>
      <c r="DZ20" s="1202">
        <v>0.35</v>
      </c>
      <c r="EA20" s="1203"/>
      <c r="EB20" s="1202"/>
      <c r="EC20" s="1202"/>
      <c r="ED20" s="1468"/>
      <c r="EF20" s="1197">
        <v>2</v>
      </c>
      <c r="EG20" s="1201" t="s">
        <v>793</v>
      </c>
      <c r="EH20" s="1198" t="s">
        <v>786</v>
      </c>
      <c r="EI20" s="1686">
        <f t="shared" ref="EI20:EI31" si="49">DQ20</f>
        <v>0.35</v>
      </c>
      <c r="EJ20" s="1686">
        <f t="shared" ref="EJ20:EJ31" si="50">DR20</f>
        <v>0.35</v>
      </c>
      <c r="EK20" s="1686">
        <f t="shared" ref="EK20:EK31" si="51">DS20</f>
        <v>0.35</v>
      </c>
      <c r="EL20" s="1686">
        <f t="shared" ref="EL20:EL31" si="52">DT20</f>
        <v>0.35</v>
      </c>
      <c r="EM20" s="1693">
        <f t="shared" ref="EM20:EM31" si="53">DU20</f>
        <v>0.35</v>
      </c>
      <c r="EN20" s="1686">
        <f t="shared" ref="EN20:EN31" si="54">DV20</f>
        <v>0.35</v>
      </c>
      <c r="EO20" s="1686">
        <f t="shared" ref="EO20:EO31" si="55">DW20</f>
        <v>0.35</v>
      </c>
      <c r="EP20" s="1686">
        <f t="shared" ref="EP20:EP31" si="56">DX20</f>
        <v>0.35</v>
      </c>
      <c r="EQ20" s="1686">
        <f t="shared" ref="EQ20:EQ31" si="57">DY20</f>
        <v>0.35</v>
      </c>
      <c r="ER20" s="1686">
        <f t="shared" si="47"/>
        <v>0.35</v>
      </c>
      <c r="ES20" s="1688">
        <f t="shared" ref="ES20:ES31" si="58">EA20</f>
        <v>0</v>
      </c>
      <c r="ET20" s="1686">
        <f t="shared" ref="ET20:ET31" si="59">EB20</f>
        <v>0</v>
      </c>
      <c r="EU20" s="1686">
        <f t="shared" si="48"/>
        <v>0</v>
      </c>
      <c r="EW20" s="1197">
        <v>2</v>
      </c>
      <c r="EX20" s="1201" t="s">
        <v>793</v>
      </c>
      <c r="EY20" s="1198" t="s">
        <v>786</v>
      </c>
      <c r="EZ20" s="1676">
        <f t="shared" ref="EZ20:EZ40" si="60">DQ20</f>
        <v>0.35</v>
      </c>
      <c r="FA20" s="1676"/>
      <c r="FB20" s="1676"/>
      <c r="FC20" s="1676"/>
      <c r="FD20" s="1796"/>
      <c r="FE20" s="1676"/>
      <c r="FF20" s="1676"/>
      <c r="FG20" s="1676"/>
      <c r="FH20" s="1676"/>
      <c r="FI20" s="1676"/>
      <c r="FJ20" s="1677"/>
      <c r="FK20" s="1676"/>
      <c r="FL20" s="1676"/>
    </row>
    <row r="21" spans="2:168" ht="14.25" thickBot="1">
      <c r="B21" s="2023">
        <f t="shared" si="4"/>
        <v>2.1</v>
      </c>
      <c r="C21" s="829" t="str">
        <f t="shared" si="5"/>
        <v>室温制御</v>
      </c>
      <c r="D21" s="2022" t="e">
        <f>IF(I$20=0,0,G21/I$20)</f>
        <v>#REF!</v>
      </c>
      <c r="E21" s="2021" t="e">
        <f>IF(J$20=0,0,H21/J$20)</f>
        <v>#REF!</v>
      </c>
      <c r="G21" s="2021" t="e">
        <f t="shared" si="6"/>
        <v>#REF!</v>
      </c>
      <c r="H21" s="2021" t="e">
        <f t="shared" si="7"/>
        <v>#REF!</v>
      </c>
      <c r="I21" s="2021" t="e">
        <f>SUM(G22:G29)</f>
        <v>#REF!</v>
      </c>
      <c r="J21" s="2021" t="e">
        <f>SUM(H22:H29)</f>
        <v>#REF!</v>
      </c>
      <c r="K21" s="2021" t="e">
        <f>IF(#REF!=0,0,1)</f>
        <v>#REF!</v>
      </c>
      <c r="L21" s="2021" t="e">
        <f>IF(#REF!=0,0,1)</f>
        <v>#REF!</v>
      </c>
      <c r="M21" s="2021">
        <f t="shared" si="8"/>
        <v>0.5</v>
      </c>
      <c r="N21" s="2021">
        <f t="shared" si="9"/>
        <v>0</v>
      </c>
      <c r="P21" s="2214"/>
      <c r="Q21" s="2035">
        <v>2.1</v>
      </c>
      <c r="R21" s="2129" t="s">
        <v>607</v>
      </c>
      <c r="S21" s="2106"/>
      <c r="T21" s="2106"/>
      <c r="U21" s="2017"/>
      <c r="V21" s="2263">
        <f t="shared" si="43"/>
        <v>0</v>
      </c>
      <c r="W21" s="2262">
        <f t="shared" si="44"/>
        <v>0</v>
      </c>
      <c r="Y21" s="1">
        <f t="shared" si="29"/>
        <v>0</v>
      </c>
      <c r="Z21" s="1">
        <f t="shared" si="30"/>
        <v>0</v>
      </c>
      <c r="AA21" s="1">
        <f t="shared" si="31"/>
        <v>0</v>
      </c>
      <c r="AB21" s="1">
        <f t="shared" si="32"/>
        <v>0</v>
      </c>
      <c r="AC21" s="1">
        <f t="shared" si="33"/>
        <v>0</v>
      </c>
      <c r="AD21" s="1">
        <f t="shared" si="34"/>
        <v>0</v>
      </c>
      <c r="AE21" s="1">
        <f t="shared" si="35"/>
        <v>0</v>
      </c>
      <c r="AF21" s="1">
        <f t="shared" si="36"/>
        <v>0</v>
      </c>
      <c r="AG21" s="1">
        <f t="shared" si="37"/>
        <v>0</v>
      </c>
      <c r="AH21" s="1">
        <f t="shared" si="38"/>
        <v>0</v>
      </c>
      <c r="AI21" s="1">
        <f t="shared" si="39"/>
        <v>0</v>
      </c>
      <c r="AJ21" s="1">
        <f t="shared" si="40"/>
        <v>0</v>
      </c>
      <c r="AK21" s="1">
        <f t="shared" si="41"/>
        <v>0</v>
      </c>
      <c r="AM21" s="2261" t="s">
        <v>3316</v>
      </c>
      <c r="AN21" s="2261" t="s">
        <v>3316</v>
      </c>
      <c r="AO21" s="2261" t="s">
        <v>3316</v>
      </c>
      <c r="AP21" s="2261" t="s">
        <v>3316</v>
      </c>
      <c r="AQ21" s="2261" t="s">
        <v>3316</v>
      </c>
      <c r="AR21" s="2261" t="s">
        <v>3316</v>
      </c>
      <c r="AS21" s="2261" t="s">
        <v>3316</v>
      </c>
      <c r="AT21" s="2261" t="s">
        <v>3316</v>
      </c>
      <c r="AU21" s="2261" t="s">
        <v>3316</v>
      </c>
      <c r="AV21" s="2261" t="s">
        <v>3316</v>
      </c>
      <c r="AW21" s="2261" t="s">
        <v>3316</v>
      </c>
      <c r="AX21" s="2261" t="s">
        <v>3316</v>
      </c>
      <c r="AY21" s="2261" t="s">
        <v>3316</v>
      </c>
      <c r="BA21" s="2014"/>
      <c r="BB21" s="2014" t="e">
        <f t="shared" si="11"/>
        <v>#REF!</v>
      </c>
      <c r="BC21" s="2014"/>
      <c r="BD21" s="2013" t="e">
        <f>BR21*#REF!</f>
        <v>#REF!</v>
      </c>
      <c r="BE21" s="2013" t="e">
        <f>BS21*#REF!</f>
        <v>#REF!</v>
      </c>
      <c r="BF21" s="2013" t="e">
        <f>BT21*#REF!</f>
        <v>#REF!</v>
      </c>
      <c r="BG21" s="2013" t="e">
        <f>BU21*#REF!</f>
        <v>#REF!</v>
      </c>
      <c r="BH21" s="2226" t="e">
        <f>BV21*#REF!</f>
        <v>#REF!</v>
      </c>
      <c r="BI21" s="2013" t="e">
        <f>BW21*#REF!</f>
        <v>#REF!</v>
      </c>
      <c r="BJ21" s="2013" t="e">
        <f>BX21*#REF!</f>
        <v>#REF!</v>
      </c>
      <c r="BK21" s="2013" t="e">
        <f>BY21*#REF!</f>
        <v>#REF!</v>
      </c>
      <c r="BL21" s="2013" t="e">
        <f>BZ21*#REF!</f>
        <v>#REF!</v>
      </c>
      <c r="BM21" s="2013" t="e">
        <f>CA21*#REF!</f>
        <v>#REF!</v>
      </c>
      <c r="BO21" s="2040">
        <f t="shared" si="12"/>
        <v>2.1</v>
      </c>
      <c r="BP21" s="2040" t="str">
        <f t="shared" si="13"/>
        <v xml:space="preserve"> Q1 2</v>
      </c>
      <c r="BQ21" s="829" t="str">
        <f t="shared" si="14"/>
        <v>室温制御</v>
      </c>
      <c r="BR21" s="2010">
        <f t="shared" si="15"/>
        <v>0.5</v>
      </c>
      <c r="BS21" s="2010">
        <f t="shared" si="16"/>
        <v>0.5</v>
      </c>
      <c r="BT21" s="2010">
        <f t="shared" si="17"/>
        <v>0.5</v>
      </c>
      <c r="BU21" s="2010">
        <f t="shared" si="18"/>
        <v>0.5</v>
      </c>
      <c r="BV21" s="2225">
        <f t="shared" si="19"/>
        <v>0.5</v>
      </c>
      <c r="BW21" s="2010">
        <f t="shared" si="20"/>
        <v>0.5</v>
      </c>
      <c r="BX21" s="2010">
        <f t="shared" si="21"/>
        <v>0.5</v>
      </c>
      <c r="BY21" s="2010">
        <f t="shared" si="22"/>
        <v>0.5</v>
      </c>
      <c r="BZ21" s="2010">
        <f t="shared" si="23"/>
        <v>0.5</v>
      </c>
      <c r="CA21" s="2010">
        <f t="shared" si="24"/>
        <v>0.5</v>
      </c>
      <c r="CB21" s="2039">
        <f t="shared" si="25"/>
        <v>0.5</v>
      </c>
      <c r="CC21" s="2010">
        <f t="shared" si="26"/>
        <v>0.5</v>
      </c>
      <c r="CD21" s="2010">
        <f t="shared" si="27"/>
        <v>0.5</v>
      </c>
      <c r="CF21" s="1207">
        <v>2.1</v>
      </c>
      <c r="CG21" s="1211" t="s">
        <v>801</v>
      </c>
      <c r="CH21" s="1208" t="s">
        <v>607</v>
      </c>
      <c r="CI21" s="1209">
        <v>0.5</v>
      </c>
      <c r="CJ21" s="1209">
        <v>0.5</v>
      </c>
      <c r="CK21" s="1209">
        <v>0.5</v>
      </c>
      <c r="CL21" s="1209">
        <v>0.5</v>
      </c>
      <c r="CM21" s="1209">
        <v>0.5</v>
      </c>
      <c r="CN21" s="1209">
        <v>0.5</v>
      </c>
      <c r="CO21" s="1213">
        <v>0.5</v>
      </c>
      <c r="CP21" s="1209">
        <v>0.5</v>
      </c>
      <c r="CQ21" s="1209">
        <v>0.5</v>
      </c>
      <c r="CR21" s="1209">
        <v>0.5</v>
      </c>
      <c r="CS21" s="1214">
        <v>1</v>
      </c>
      <c r="CT21" s="1213">
        <v>1</v>
      </c>
      <c r="CU21" s="1213">
        <v>1</v>
      </c>
      <c r="CW21" s="1207">
        <v>2.1</v>
      </c>
      <c r="CX21" s="1211" t="s">
        <v>801</v>
      </c>
      <c r="CY21" s="1208" t="s">
        <v>607</v>
      </c>
      <c r="CZ21" s="1213">
        <v>0.5</v>
      </c>
      <c r="DA21" s="1213">
        <v>0.5</v>
      </c>
      <c r="DB21" s="1213">
        <v>0.5</v>
      </c>
      <c r="DC21" s="1213">
        <v>0.5</v>
      </c>
      <c r="DD21" s="1215">
        <v>0.5</v>
      </c>
      <c r="DE21" s="1213">
        <v>0.5</v>
      </c>
      <c r="DF21" s="1213">
        <v>0.5</v>
      </c>
      <c r="DG21" s="1213">
        <v>0.5</v>
      </c>
      <c r="DH21" s="1213">
        <v>0.5</v>
      </c>
      <c r="DI21" s="1213">
        <v>0.5</v>
      </c>
      <c r="DJ21" s="1214">
        <v>0.5</v>
      </c>
      <c r="DK21" s="1213">
        <v>0.5</v>
      </c>
      <c r="DL21" s="1213">
        <v>0.5</v>
      </c>
      <c r="DN21" s="1207">
        <v>2.1</v>
      </c>
      <c r="DO21" s="1211" t="s">
        <v>801</v>
      </c>
      <c r="DP21" s="1208" t="s">
        <v>607</v>
      </c>
      <c r="DQ21" s="1213">
        <v>0.5</v>
      </c>
      <c r="DR21" s="1213">
        <v>0.5</v>
      </c>
      <c r="DS21" s="1213">
        <v>0.5</v>
      </c>
      <c r="DT21" s="1213">
        <v>0.5</v>
      </c>
      <c r="DU21" s="1571">
        <v>0.5</v>
      </c>
      <c r="DV21" s="1213">
        <v>0.5</v>
      </c>
      <c r="DW21" s="1213">
        <v>0.5</v>
      </c>
      <c r="DX21" s="1213">
        <v>0.5</v>
      </c>
      <c r="DY21" s="1213">
        <v>0.5</v>
      </c>
      <c r="DZ21" s="1213">
        <v>0.5</v>
      </c>
      <c r="EA21" s="1214">
        <v>0.5</v>
      </c>
      <c r="EB21" s="1213">
        <v>0.5</v>
      </c>
      <c r="EC21" s="1213">
        <v>0.5</v>
      </c>
      <c r="ED21" s="1469"/>
      <c r="EF21" s="1207">
        <v>2.1</v>
      </c>
      <c r="EG21" s="1211" t="s">
        <v>801</v>
      </c>
      <c r="EH21" s="1208" t="s">
        <v>607</v>
      </c>
      <c r="EI21" s="1689">
        <f t="shared" si="49"/>
        <v>0.5</v>
      </c>
      <c r="EJ21" s="1689">
        <f t="shared" si="50"/>
        <v>0.5</v>
      </c>
      <c r="EK21" s="1689">
        <f t="shared" si="51"/>
        <v>0.5</v>
      </c>
      <c r="EL21" s="1689">
        <f t="shared" si="52"/>
        <v>0.5</v>
      </c>
      <c r="EM21" s="1694">
        <f t="shared" si="53"/>
        <v>0.5</v>
      </c>
      <c r="EN21" s="1689">
        <f t="shared" si="54"/>
        <v>0.5</v>
      </c>
      <c r="EO21" s="1689">
        <f t="shared" si="55"/>
        <v>0.5</v>
      </c>
      <c r="EP21" s="1689">
        <f t="shared" si="56"/>
        <v>0.5</v>
      </c>
      <c r="EQ21" s="1689">
        <f t="shared" si="57"/>
        <v>0.5</v>
      </c>
      <c r="ER21" s="1689">
        <f t="shared" si="47"/>
        <v>0.5</v>
      </c>
      <c r="ES21" s="1691">
        <f t="shared" si="58"/>
        <v>0.5</v>
      </c>
      <c r="ET21" s="1689">
        <f t="shared" si="59"/>
        <v>0.5</v>
      </c>
      <c r="EU21" s="1689">
        <f t="shared" si="48"/>
        <v>0.5</v>
      </c>
      <c r="EW21" s="1207">
        <v>2.1</v>
      </c>
      <c r="EX21" s="1211" t="s">
        <v>801</v>
      </c>
      <c r="EY21" s="1208" t="s">
        <v>607</v>
      </c>
      <c r="EZ21" s="1678">
        <f t="shared" si="60"/>
        <v>0.5</v>
      </c>
      <c r="FA21" s="1678"/>
      <c r="FB21" s="1678"/>
      <c r="FC21" s="1678"/>
      <c r="FD21" s="1797"/>
      <c r="FE21" s="1678"/>
      <c r="FF21" s="1678"/>
      <c r="FG21" s="1678"/>
      <c r="FH21" s="1678"/>
      <c r="FI21" s="1678"/>
      <c r="FJ21" s="1795"/>
      <c r="FK21" s="1678"/>
      <c r="FL21" s="1678"/>
    </row>
    <row r="22" spans="2:168">
      <c r="B22" s="2023" t="str">
        <f t="shared" si="4"/>
        <v>2.1.1</v>
      </c>
      <c r="C22" s="829" t="str">
        <f t="shared" si="5"/>
        <v>室温</v>
      </c>
      <c r="D22" s="2100" t="e">
        <f t="shared" ref="D22:E29" si="61">IF(I$21&gt;0,G22/I$21,0)</f>
        <v>#REF!</v>
      </c>
      <c r="E22" s="2021" t="e">
        <f t="shared" si="61"/>
        <v>#REF!</v>
      </c>
      <c r="G22" s="2021" t="e">
        <f t="shared" si="6"/>
        <v>#REF!</v>
      </c>
      <c r="H22" s="2021" t="e">
        <f t="shared" si="7"/>
        <v>#REF!</v>
      </c>
      <c r="I22" s="2021"/>
      <c r="J22" s="2021"/>
      <c r="K22" s="2021" t="e">
        <f>IF(#REF!=0,0,1)</f>
        <v>#REF!</v>
      </c>
      <c r="L22" s="2021" t="e">
        <f>IF(#REF!=0,0,1)</f>
        <v>#REF!</v>
      </c>
      <c r="M22" s="2021">
        <f t="shared" si="8"/>
        <v>0.37499999999999994</v>
      </c>
      <c r="N22" s="2021">
        <f t="shared" si="9"/>
        <v>0</v>
      </c>
      <c r="P22" s="2214"/>
      <c r="Q22" s="2019"/>
      <c r="R22" s="993">
        <v>1</v>
      </c>
      <c r="S22" s="1655" t="s">
        <v>760</v>
      </c>
      <c r="T22" s="2036"/>
      <c r="U22" s="2017"/>
      <c r="V22" s="2025">
        <f t="shared" si="43"/>
        <v>0</v>
      </c>
      <c r="W22" s="2024">
        <f t="shared" si="44"/>
        <v>0</v>
      </c>
      <c r="Y22" s="1">
        <f t="shared" si="29"/>
        <v>0</v>
      </c>
      <c r="Z22" s="1">
        <f t="shared" si="30"/>
        <v>0</v>
      </c>
      <c r="AA22" s="1">
        <f t="shared" si="31"/>
        <v>0</v>
      </c>
      <c r="AB22" s="1">
        <f t="shared" si="32"/>
        <v>0</v>
      </c>
      <c r="AC22" s="1">
        <f t="shared" si="33"/>
        <v>0</v>
      </c>
      <c r="AD22" s="1">
        <f t="shared" si="34"/>
        <v>0</v>
      </c>
      <c r="AE22" s="1">
        <f t="shared" si="35"/>
        <v>0</v>
      </c>
      <c r="AF22" s="1">
        <f t="shared" si="36"/>
        <v>0</v>
      </c>
      <c r="AG22" s="1">
        <f t="shared" si="37"/>
        <v>0</v>
      </c>
      <c r="AH22" s="1">
        <f t="shared" si="38"/>
        <v>0</v>
      </c>
      <c r="AI22" s="1">
        <f t="shared" si="39"/>
        <v>0</v>
      </c>
      <c r="AJ22" s="1">
        <f t="shared" si="40"/>
        <v>0</v>
      </c>
      <c r="AK22" s="1">
        <f t="shared" si="41"/>
        <v>0</v>
      </c>
      <c r="AM22" s="1827"/>
      <c r="AN22" s="1827"/>
      <c r="AO22" s="1827"/>
      <c r="AP22" s="1827"/>
      <c r="AQ22" s="1827"/>
      <c r="AR22" s="1827"/>
      <c r="AS22" s="1827"/>
      <c r="AT22" s="1827"/>
      <c r="AU22" s="1827"/>
      <c r="AV22" s="1827"/>
      <c r="AW22" s="1827"/>
      <c r="AX22" s="1827"/>
      <c r="AY22" s="1827"/>
      <c r="BA22" s="2014"/>
      <c r="BB22" s="2014" t="e">
        <f t="shared" si="11"/>
        <v>#REF!</v>
      </c>
      <c r="BC22" s="2014"/>
      <c r="BD22" s="2013" t="e">
        <f>BR22*#REF!</f>
        <v>#REF!</v>
      </c>
      <c r="BE22" s="2013" t="e">
        <f>BS22*#REF!</f>
        <v>#REF!</v>
      </c>
      <c r="BF22" s="2013" t="e">
        <f>BT22*#REF!</f>
        <v>#REF!</v>
      </c>
      <c r="BG22" s="2013" t="e">
        <f>BU22*#REF!</f>
        <v>#REF!</v>
      </c>
      <c r="BH22" s="2226" t="e">
        <f>BV22*#REF!</f>
        <v>#REF!</v>
      </c>
      <c r="BI22" s="2013" t="e">
        <f>BW22*#REF!</f>
        <v>#REF!</v>
      </c>
      <c r="BJ22" s="2013" t="e">
        <f>BX22*#REF!</f>
        <v>#REF!</v>
      </c>
      <c r="BK22" s="2013" t="e">
        <f>BY22*#REF!</f>
        <v>#REF!</v>
      </c>
      <c r="BL22" s="2013" t="e">
        <f>BZ22*#REF!</f>
        <v>#REF!</v>
      </c>
      <c r="BM22" s="2013" t="e">
        <f>CA22*#REF!</f>
        <v>#REF!</v>
      </c>
      <c r="BO22" s="2040" t="str">
        <f t="shared" si="12"/>
        <v>2.1.1</v>
      </c>
      <c r="BP22" s="2040" t="str">
        <f t="shared" si="13"/>
        <v xml:space="preserve"> Q1 2.1</v>
      </c>
      <c r="BQ22" s="829" t="str">
        <f t="shared" si="14"/>
        <v>室温</v>
      </c>
      <c r="BR22" s="2010">
        <f t="shared" si="15"/>
        <v>0.37499999999999994</v>
      </c>
      <c r="BS22" s="2010">
        <f t="shared" si="16"/>
        <v>0.6</v>
      </c>
      <c r="BT22" s="2010">
        <f t="shared" si="17"/>
        <v>0.49999999999999989</v>
      </c>
      <c r="BU22" s="2010">
        <f t="shared" si="18"/>
        <v>0.49999999999999989</v>
      </c>
      <c r="BV22" s="2225">
        <f t="shared" si="19"/>
        <v>0.37499999999999994</v>
      </c>
      <c r="BW22" s="2010">
        <f t="shared" si="20"/>
        <v>0.37499999999999994</v>
      </c>
      <c r="BX22" s="2010">
        <f t="shared" si="21"/>
        <v>0.6</v>
      </c>
      <c r="BY22" s="2010">
        <f t="shared" si="22"/>
        <v>0.37499999999999994</v>
      </c>
      <c r="BZ22" s="2010">
        <f t="shared" si="23"/>
        <v>0.37499999999999994</v>
      </c>
      <c r="CA22" s="2010">
        <f t="shared" si="24"/>
        <v>0.625</v>
      </c>
      <c r="CB22" s="2039">
        <f t="shared" si="25"/>
        <v>0.57142857142857151</v>
      </c>
      <c r="CC22" s="2010">
        <f t="shared" si="26"/>
        <v>0.57142857142857151</v>
      </c>
      <c r="CD22" s="2010">
        <f t="shared" si="27"/>
        <v>0.625</v>
      </c>
      <c r="CF22" s="1207" t="s">
        <v>3334</v>
      </c>
      <c r="CG22" s="1211" t="s">
        <v>413</v>
      </c>
      <c r="CH22" s="1208" t="s">
        <v>414</v>
      </c>
      <c r="CI22" s="1209">
        <v>0.3</v>
      </c>
      <c r="CJ22" s="1209">
        <v>0.3</v>
      </c>
      <c r="CK22" s="1209">
        <v>0.3</v>
      </c>
      <c r="CL22" s="1209">
        <v>0.3</v>
      </c>
      <c r="CM22" s="1223">
        <v>0.3</v>
      </c>
      <c r="CN22" s="1209">
        <v>0.3</v>
      </c>
      <c r="CO22" s="1213">
        <v>0.3</v>
      </c>
      <c r="CP22" s="1209">
        <v>0.3</v>
      </c>
      <c r="CQ22" s="1209">
        <v>0.3</v>
      </c>
      <c r="CR22" s="1209">
        <v>0.5</v>
      </c>
      <c r="CS22" s="1214"/>
      <c r="CT22" s="1213"/>
      <c r="CU22" s="1213"/>
      <c r="CW22" s="1207" t="s">
        <v>3334</v>
      </c>
      <c r="CX22" s="1211" t="s">
        <v>413</v>
      </c>
      <c r="CY22" s="1208" t="s">
        <v>3333</v>
      </c>
      <c r="CZ22" s="1213">
        <v>0.3</v>
      </c>
      <c r="DA22" s="1213">
        <v>0.6</v>
      </c>
      <c r="DB22" s="1213">
        <v>0.3</v>
      </c>
      <c r="DC22" s="1213">
        <v>0.3</v>
      </c>
      <c r="DD22" s="1215">
        <v>0.3</v>
      </c>
      <c r="DE22" s="1213">
        <v>0.3</v>
      </c>
      <c r="DF22" s="1213">
        <v>0.6</v>
      </c>
      <c r="DG22" s="1213">
        <v>0.3</v>
      </c>
      <c r="DH22" s="1213">
        <v>0.3</v>
      </c>
      <c r="DI22" s="1213">
        <v>0.6</v>
      </c>
      <c r="DJ22" s="1214">
        <v>0.6</v>
      </c>
      <c r="DK22" s="1213">
        <v>0.6</v>
      </c>
      <c r="DL22" s="1213">
        <v>0.6</v>
      </c>
      <c r="DN22" s="1207" t="s">
        <v>3334</v>
      </c>
      <c r="DO22" s="1211" t="s">
        <v>413</v>
      </c>
      <c r="DP22" s="1208" t="s">
        <v>3333</v>
      </c>
      <c r="DQ22" s="1815">
        <f>0.3/(0.3+0.2+0.3)</f>
        <v>0.37499999999999994</v>
      </c>
      <c r="DR22" s="1815">
        <f>0.3/(0.3+0.2)</f>
        <v>0.6</v>
      </c>
      <c r="DS22" s="1815">
        <f>0.3/(0.3+0.1+0.2)</f>
        <v>0.49999999999999989</v>
      </c>
      <c r="DT22" s="1815">
        <f>0.3/(0.3+0.1+0.2)</f>
        <v>0.49999999999999989</v>
      </c>
      <c r="DU22" s="1815">
        <f>0.3/(0.3+0.2+0.3)</f>
        <v>0.37499999999999994</v>
      </c>
      <c r="DV22" s="1815">
        <f>0.3/(0.3+0.2+0.3)</f>
        <v>0.37499999999999994</v>
      </c>
      <c r="DW22" s="1815">
        <f>0.3/(0.3+0.2)</f>
        <v>0.6</v>
      </c>
      <c r="DX22" s="1815">
        <f>0.3/(0.3+0.2+0.3)</f>
        <v>0.37499999999999994</v>
      </c>
      <c r="DY22" s="1815">
        <f>0.3/(0.3+0.2+0.3)</f>
        <v>0.37499999999999994</v>
      </c>
      <c r="DZ22" s="1815">
        <f>0.5/(0.5+0.3)</f>
        <v>0.625</v>
      </c>
      <c r="EA22" s="1815">
        <f>0.4/(0.4+0.3)</f>
        <v>0.57142857142857151</v>
      </c>
      <c r="EB22" s="1815">
        <f>0.4/(0.4+0.3)</f>
        <v>0.57142857142857151</v>
      </c>
      <c r="EC22" s="1815">
        <f>0.5/(0.5+0.3)</f>
        <v>0.625</v>
      </c>
      <c r="ED22" s="1469"/>
      <c r="EF22" s="1207" t="s">
        <v>3334</v>
      </c>
      <c r="EG22" s="1211" t="s">
        <v>413</v>
      </c>
      <c r="EH22" s="1208" t="s">
        <v>3333</v>
      </c>
      <c r="EI22" s="1689">
        <f t="shared" si="49"/>
        <v>0.37499999999999994</v>
      </c>
      <c r="EJ22" s="1689">
        <f t="shared" si="50"/>
        <v>0.6</v>
      </c>
      <c r="EK22" s="1689">
        <f t="shared" si="51"/>
        <v>0.49999999999999989</v>
      </c>
      <c r="EL22" s="1689">
        <f t="shared" si="52"/>
        <v>0.49999999999999989</v>
      </c>
      <c r="EM22" s="1694">
        <f t="shared" si="53"/>
        <v>0.37499999999999994</v>
      </c>
      <c r="EN22" s="1689">
        <f t="shared" si="54"/>
        <v>0.37499999999999994</v>
      </c>
      <c r="EO22" s="1689">
        <f t="shared" si="55"/>
        <v>0.6</v>
      </c>
      <c r="EP22" s="1689">
        <f t="shared" si="56"/>
        <v>0.37499999999999994</v>
      </c>
      <c r="EQ22" s="1689">
        <f t="shared" si="57"/>
        <v>0.37499999999999994</v>
      </c>
      <c r="ER22" s="1689">
        <f t="shared" si="47"/>
        <v>0.625</v>
      </c>
      <c r="ES22" s="1691">
        <f t="shared" si="58"/>
        <v>0.57142857142857151</v>
      </c>
      <c r="ET22" s="1689">
        <f t="shared" si="59"/>
        <v>0.57142857142857151</v>
      </c>
      <c r="EU22" s="1689">
        <f t="shared" si="48"/>
        <v>0.625</v>
      </c>
      <c r="EW22" s="1207" t="s">
        <v>3334</v>
      </c>
      <c r="EX22" s="1211" t="s">
        <v>413</v>
      </c>
      <c r="EY22" s="1208" t="s">
        <v>3333</v>
      </c>
      <c r="EZ22" s="1678">
        <f t="shared" si="60"/>
        <v>0.37499999999999994</v>
      </c>
      <c r="FA22" s="1678"/>
      <c r="FB22" s="1678"/>
      <c r="FC22" s="1678"/>
      <c r="FD22" s="1797"/>
      <c r="FE22" s="1678"/>
      <c r="FF22" s="1678"/>
      <c r="FG22" s="1678"/>
      <c r="FH22" s="1678"/>
      <c r="FI22" s="1678"/>
      <c r="FJ22" s="1795"/>
      <c r="FK22" s="1678"/>
      <c r="FL22" s="1678"/>
    </row>
    <row r="23" spans="2:168" hidden="1">
      <c r="B23" s="2023" t="str">
        <f t="shared" si="4"/>
        <v>2.1.2</v>
      </c>
      <c r="C23" s="829">
        <f t="shared" si="5"/>
        <v>0</v>
      </c>
      <c r="D23" s="2100" t="e">
        <f t="shared" si="61"/>
        <v>#REF!</v>
      </c>
      <c r="E23" s="2021" t="e">
        <f t="shared" si="61"/>
        <v>#REF!</v>
      </c>
      <c r="G23" s="2021" t="e">
        <f t="shared" si="6"/>
        <v>#REF!</v>
      </c>
      <c r="H23" s="2021" t="e">
        <f t="shared" si="7"/>
        <v>#REF!</v>
      </c>
      <c r="I23" s="2021"/>
      <c r="J23" s="2021"/>
      <c r="K23" s="2021" t="e">
        <f>IF(#REF!=0,0,1)</f>
        <v>#REF!</v>
      </c>
      <c r="L23" s="2021" t="e">
        <f>IF(#REF!=0,0,1)</f>
        <v>#REF!</v>
      </c>
      <c r="M23" s="2021">
        <f t="shared" si="8"/>
        <v>0</v>
      </c>
      <c r="N23" s="2021">
        <f t="shared" si="9"/>
        <v>0</v>
      </c>
      <c r="P23" s="2256"/>
      <c r="Q23" s="2257"/>
      <c r="R23" s="2245">
        <v>2</v>
      </c>
      <c r="S23" s="2244" t="s">
        <v>3332</v>
      </c>
      <c r="T23" s="2144"/>
      <c r="U23" s="2017"/>
      <c r="V23" s="2038">
        <f t="shared" si="43"/>
        <v>0</v>
      </c>
      <c r="W23" s="2037">
        <f t="shared" si="44"/>
        <v>0</v>
      </c>
      <c r="Y23" s="1">
        <f t="shared" si="29"/>
        <v>0</v>
      </c>
      <c r="Z23" s="1">
        <f t="shared" si="30"/>
        <v>0</v>
      </c>
      <c r="AA23" s="1">
        <f t="shared" si="31"/>
        <v>0</v>
      </c>
      <c r="AB23" s="1">
        <f t="shared" si="32"/>
        <v>0</v>
      </c>
      <c r="AC23" s="1">
        <f t="shared" si="33"/>
        <v>0</v>
      </c>
      <c r="AD23" s="1">
        <f t="shared" si="34"/>
        <v>0</v>
      </c>
      <c r="AE23" s="1">
        <f t="shared" si="35"/>
        <v>0</v>
      </c>
      <c r="AF23" s="1">
        <f t="shared" si="36"/>
        <v>0</v>
      </c>
      <c r="AG23" s="1">
        <f t="shared" si="37"/>
        <v>0</v>
      </c>
      <c r="AH23" s="1">
        <f t="shared" si="38"/>
        <v>0</v>
      </c>
      <c r="AI23" s="1">
        <f t="shared" si="39"/>
        <v>0</v>
      </c>
      <c r="AJ23" s="1">
        <f t="shared" si="40"/>
        <v>0</v>
      </c>
      <c r="AK23" s="1">
        <f t="shared" si="41"/>
        <v>0</v>
      </c>
      <c r="AM23" s="1828"/>
      <c r="AN23" s="1828"/>
      <c r="AO23" s="1828"/>
      <c r="AP23" s="1828"/>
      <c r="AQ23" s="1828"/>
      <c r="AR23" s="1828"/>
      <c r="AS23" s="1828"/>
      <c r="AT23" s="1828"/>
      <c r="AU23" s="1828"/>
      <c r="AV23" s="1828"/>
      <c r="AW23" s="1828"/>
      <c r="AX23" s="1828"/>
      <c r="AY23" s="1828"/>
      <c r="BA23" s="2279"/>
      <c r="BB23" s="2279" t="e">
        <f t="shared" si="11"/>
        <v>#REF!</v>
      </c>
      <c r="BC23" s="2279"/>
      <c r="BD23" s="2278" t="e">
        <f>BR23*#REF!</f>
        <v>#REF!</v>
      </c>
      <c r="BE23" s="2013" t="e">
        <f>BS23*#REF!</f>
        <v>#REF!</v>
      </c>
      <c r="BF23" s="2013" t="e">
        <f>BT23*#REF!</f>
        <v>#REF!</v>
      </c>
      <c r="BG23" s="2013" t="e">
        <f>BU23*#REF!</f>
        <v>#REF!</v>
      </c>
      <c r="BH23" s="2226" t="e">
        <f>BV23*#REF!</f>
        <v>#REF!</v>
      </c>
      <c r="BI23" s="2278" t="e">
        <f>BW23*#REF!</f>
        <v>#REF!</v>
      </c>
      <c r="BJ23" s="2013" t="e">
        <f>BX23*#REF!</f>
        <v>#REF!</v>
      </c>
      <c r="BK23" s="2013" t="e">
        <f>BY23*#REF!</f>
        <v>#REF!</v>
      </c>
      <c r="BL23" s="2013" t="e">
        <f>BZ23*#REF!</f>
        <v>#REF!</v>
      </c>
      <c r="BM23" s="2013" t="e">
        <f>CA23*#REF!</f>
        <v>#REF!</v>
      </c>
      <c r="BO23" s="2040" t="str">
        <f t="shared" si="12"/>
        <v>2.1.2</v>
      </c>
      <c r="BP23" s="2040" t="str">
        <f t="shared" si="13"/>
        <v xml:space="preserve"> Q1 2.1</v>
      </c>
      <c r="BQ23" s="829">
        <f t="shared" si="14"/>
        <v>0</v>
      </c>
      <c r="BR23" s="2091">
        <f t="shared" si="15"/>
        <v>0</v>
      </c>
      <c r="BS23" s="2010">
        <f t="shared" si="16"/>
        <v>0</v>
      </c>
      <c r="BT23" s="2010">
        <f t="shared" si="17"/>
        <v>0</v>
      </c>
      <c r="BU23" s="2010">
        <f t="shared" si="18"/>
        <v>0</v>
      </c>
      <c r="BV23" s="2225">
        <f t="shared" si="19"/>
        <v>0</v>
      </c>
      <c r="BW23" s="2091">
        <f t="shared" si="20"/>
        <v>0</v>
      </c>
      <c r="BX23" s="2010">
        <f t="shared" si="21"/>
        <v>0</v>
      </c>
      <c r="BY23" s="2010">
        <f t="shared" si="22"/>
        <v>0</v>
      </c>
      <c r="BZ23" s="2010">
        <f t="shared" si="23"/>
        <v>0</v>
      </c>
      <c r="CA23" s="2010">
        <f t="shared" si="24"/>
        <v>0</v>
      </c>
      <c r="CB23" s="2039">
        <f t="shared" si="25"/>
        <v>0</v>
      </c>
      <c r="CC23" s="2010">
        <f t="shared" si="26"/>
        <v>0</v>
      </c>
      <c r="CD23" s="2010">
        <f t="shared" si="27"/>
        <v>0</v>
      </c>
      <c r="CF23" s="1207" t="s">
        <v>415</v>
      </c>
      <c r="CG23" s="1211" t="s">
        <v>413</v>
      </c>
      <c r="CH23" s="1208" t="s">
        <v>416</v>
      </c>
      <c r="CI23" s="1218"/>
      <c r="CJ23" s="1218">
        <v>0.2</v>
      </c>
      <c r="CK23" s="1218">
        <v>0.2</v>
      </c>
      <c r="CL23" s="1218">
        <v>0.2</v>
      </c>
      <c r="CM23" s="1224">
        <v>0.3</v>
      </c>
      <c r="CN23" s="1218"/>
      <c r="CO23" s="1213">
        <v>0.2</v>
      </c>
      <c r="CP23" s="1218"/>
      <c r="CQ23" s="1218"/>
      <c r="CR23" s="1218"/>
      <c r="CS23" s="1214"/>
      <c r="CT23" s="1213"/>
      <c r="CU23" s="1213"/>
      <c r="CW23" s="1207" t="s">
        <v>415</v>
      </c>
      <c r="CX23" s="1211" t="s">
        <v>413</v>
      </c>
      <c r="CY23" s="1208" t="s">
        <v>416</v>
      </c>
      <c r="CZ23" s="1225"/>
      <c r="DA23" s="1213"/>
      <c r="DB23" s="1213"/>
      <c r="DC23" s="1213"/>
      <c r="DD23" s="1215"/>
      <c r="DE23" s="1225"/>
      <c r="DF23" s="1213"/>
      <c r="DG23" s="1213"/>
      <c r="DH23" s="1213"/>
      <c r="DI23" s="1213"/>
      <c r="DJ23" s="1214"/>
      <c r="DK23" s="1213"/>
      <c r="DL23" s="1213"/>
      <c r="DN23" s="1207" t="s">
        <v>415</v>
      </c>
      <c r="DO23" s="1211" t="s">
        <v>413</v>
      </c>
      <c r="DP23" s="1208"/>
      <c r="DQ23" s="1225"/>
      <c r="DR23" s="1213"/>
      <c r="DS23" s="1213"/>
      <c r="DT23" s="1213"/>
      <c r="DU23" s="1225"/>
      <c r="DV23" s="1225"/>
      <c r="DW23" s="1213"/>
      <c r="DX23" s="1225"/>
      <c r="DY23" s="1225"/>
      <c r="DZ23" s="1213"/>
      <c r="EA23" s="1214"/>
      <c r="EB23" s="1214"/>
      <c r="EC23" s="1213"/>
      <c r="ED23" s="1469"/>
      <c r="EF23" s="1207" t="s">
        <v>415</v>
      </c>
      <c r="EG23" s="1211" t="s">
        <v>413</v>
      </c>
      <c r="EH23" s="1208"/>
      <c r="EI23" s="1695">
        <f t="shared" si="49"/>
        <v>0</v>
      </c>
      <c r="EJ23" s="1689">
        <f t="shared" si="50"/>
        <v>0</v>
      </c>
      <c r="EK23" s="1689">
        <f t="shared" si="51"/>
        <v>0</v>
      </c>
      <c r="EL23" s="1689">
        <f t="shared" si="52"/>
        <v>0</v>
      </c>
      <c r="EM23" s="1694">
        <f t="shared" si="53"/>
        <v>0</v>
      </c>
      <c r="EN23" s="1695">
        <f t="shared" si="54"/>
        <v>0</v>
      </c>
      <c r="EO23" s="1689">
        <f t="shared" si="55"/>
        <v>0</v>
      </c>
      <c r="EP23" s="1689">
        <f t="shared" si="56"/>
        <v>0</v>
      </c>
      <c r="EQ23" s="1689">
        <f t="shared" si="57"/>
        <v>0</v>
      </c>
      <c r="ER23" s="1689">
        <f t="shared" si="47"/>
        <v>0</v>
      </c>
      <c r="ES23" s="1691">
        <f t="shared" si="58"/>
        <v>0</v>
      </c>
      <c r="ET23" s="1689">
        <f t="shared" si="59"/>
        <v>0</v>
      </c>
      <c r="EU23" s="1689">
        <f t="shared" si="48"/>
        <v>0</v>
      </c>
      <c r="EW23" s="1207" t="s">
        <v>415</v>
      </c>
      <c r="EX23" s="1211" t="s">
        <v>413</v>
      </c>
      <c r="EY23" s="1208"/>
      <c r="EZ23" s="1678">
        <f t="shared" si="60"/>
        <v>0</v>
      </c>
      <c r="FA23" s="1678"/>
      <c r="FB23" s="1678"/>
      <c r="FC23" s="1678"/>
      <c r="FD23" s="1797"/>
      <c r="FE23" s="1798"/>
      <c r="FF23" s="1678"/>
      <c r="FG23" s="1678"/>
      <c r="FH23" s="1678"/>
      <c r="FI23" s="1678"/>
      <c r="FJ23" s="1795"/>
      <c r="FK23" s="1678"/>
      <c r="FL23" s="1678"/>
    </row>
    <row r="24" spans="2:168">
      <c r="B24" s="2023" t="str">
        <f t="shared" si="4"/>
        <v>2.1.3</v>
      </c>
      <c r="C24" s="829" t="str">
        <f t="shared" si="5"/>
        <v>外皮性能</v>
      </c>
      <c r="D24" s="2100" t="e">
        <f t="shared" si="61"/>
        <v>#REF!</v>
      </c>
      <c r="E24" s="2021" t="e">
        <f t="shared" si="61"/>
        <v>#REF!</v>
      </c>
      <c r="G24" s="2021" t="e">
        <f t="shared" si="6"/>
        <v>#REF!</v>
      </c>
      <c r="H24" s="2021" t="e">
        <f t="shared" si="7"/>
        <v>#REF!</v>
      </c>
      <c r="I24" s="2021"/>
      <c r="J24" s="2021"/>
      <c r="K24" s="2021" t="e">
        <f>IF(#REF!=0,0,1)</f>
        <v>#REF!</v>
      </c>
      <c r="L24" s="2021" t="e">
        <f>IF(#REF!=0,0,1)</f>
        <v>#REF!</v>
      </c>
      <c r="M24" s="2021">
        <f t="shared" si="8"/>
        <v>0.25</v>
      </c>
      <c r="N24" s="2021">
        <f t="shared" si="9"/>
        <v>0</v>
      </c>
      <c r="P24" s="2214"/>
      <c r="Q24" s="2019"/>
      <c r="R24" s="993">
        <v>2</v>
      </c>
      <c r="S24" s="1655" t="s">
        <v>608</v>
      </c>
      <c r="T24" s="2036"/>
      <c r="U24" s="2017"/>
      <c r="V24" s="2038">
        <f t="shared" si="43"/>
        <v>0</v>
      </c>
      <c r="W24" s="2037">
        <f t="shared" si="44"/>
        <v>0</v>
      </c>
      <c r="Y24" s="1">
        <f t="shared" si="29"/>
        <v>0</v>
      </c>
      <c r="Z24" s="1">
        <f t="shared" si="30"/>
        <v>0</v>
      </c>
      <c r="AA24" s="1">
        <f t="shared" si="31"/>
        <v>0</v>
      </c>
      <c r="AB24" s="1">
        <f t="shared" si="32"/>
        <v>0</v>
      </c>
      <c r="AC24" s="1">
        <f t="shared" si="33"/>
        <v>0</v>
      </c>
      <c r="AD24" s="1">
        <f t="shared" si="34"/>
        <v>0</v>
      </c>
      <c r="AE24" s="1">
        <f t="shared" si="35"/>
        <v>0</v>
      </c>
      <c r="AF24" s="1">
        <f t="shared" si="36"/>
        <v>0</v>
      </c>
      <c r="AG24" s="1">
        <f t="shared" si="37"/>
        <v>0</v>
      </c>
      <c r="AH24" s="1">
        <f t="shared" si="38"/>
        <v>0</v>
      </c>
      <c r="AI24" s="1">
        <f t="shared" si="39"/>
        <v>0</v>
      </c>
      <c r="AJ24" s="1">
        <f t="shared" si="40"/>
        <v>0</v>
      </c>
      <c r="AK24" s="1">
        <f t="shared" si="41"/>
        <v>0</v>
      </c>
      <c r="AM24" s="1828"/>
      <c r="AN24" s="1828"/>
      <c r="AO24" s="1828"/>
      <c r="AP24" s="1828"/>
      <c r="AQ24" s="1828"/>
      <c r="AR24" s="1828"/>
      <c r="AS24" s="1828"/>
      <c r="AT24" s="1828"/>
      <c r="AU24" s="1828"/>
      <c r="AV24" s="1828"/>
      <c r="AW24" s="1828"/>
      <c r="AX24" s="1828"/>
      <c r="AY24" s="1828"/>
      <c r="BA24" s="2014"/>
      <c r="BB24" s="2014" t="e">
        <f t="shared" si="11"/>
        <v>#REF!</v>
      </c>
      <c r="BC24" s="2014"/>
      <c r="BD24" s="2013" t="e">
        <f>BR24*#REF!</f>
        <v>#REF!</v>
      </c>
      <c r="BE24" s="2013" t="e">
        <f>BS24*#REF!</f>
        <v>#REF!</v>
      </c>
      <c r="BF24" s="2013" t="e">
        <f>BT24*#REF!</f>
        <v>#REF!</v>
      </c>
      <c r="BG24" s="2013" t="e">
        <f>BU24*#REF!</f>
        <v>#REF!</v>
      </c>
      <c r="BH24" s="2226" t="e">
        <f>BV24*#REF!</f>
        <v>#REF!</v>
      </c>
      <c r="BI24" s="2013" t="e">
        <f>BW24*#REF!</f>
        <v>#REF!</v>
      </c>
      <c r="BJ24" s="2013" t="e">
        <f>BX24*#REF!</f>
        <v>#REF!</v>
      </c>
      <c r="BK24" s="2013" t="e">
        <f>BY24*#REF!</f>
        <v>#REF!</v>
      </c>
      <c r="BL24" s="2013" t="e">
        <f>BZ24*#REF!</f>
        <v>#REF!</v>
      </c>
      <c r="BM24" s="2013" t="e">
        <f>CA24*#REF!</f>
        <v>#REF!</v>
      </c>
      <c r="BO24" s="2040" t="str">
        <f t="shared" si="12"/>
        <v>2.1.3</v>
      </c>
      <c r="BP24" s="2040" t="str">
        <f t="shared" si="13"/>
        <v xml:space="preserve"> Q1 2.1</v>
      </c>
      <c r="BQ24" s="829" t="str">
        <f t="shared" si="14"/>
        <v>外皮性能</v>
      </c>
      <c r="BR24" s="2010">
        <f t="shared" si="15"/>
        <v>0.25</v>
      </c>
      <c r="BS24" s="2010">
        <f t="shared" si="16"/>
        <v>0.4</v>
      </c>
      <c r="BT24" s="2010">
        <f t="shared" si="17"/>
        <v>0.16666666666666666</v>
      </c>
      <c r="BU24" s="2010">
        <f t="shared" si="18"/>
        <v>0.16666666666666666</v>
      </c>
      <c r="BV24" s="2225">
        <f t="shared" si="19"/>
        <v>0.25</v>
      </c>
      <c r="BW24" s="2010">
        <f t="shared" si="20"/>
        <v>0.25</v>
      </c>
      <c r="BX24" s="2010">
        <f t="shared" si="21"/>
        <v>0.4</v>
      </c>
      <c r="BY24" s="2010">
        <f t="shared" si="22"/>
        <v>0.25</v>
      </c>
      <c r="BZ24" s="2010">
        <f t="shared" si="23"/>
        <v>0.25</v>
      </c>
      <c r="CA24" s="2010">
        <f t="shared" si="24"/>
        <v>0.37499999999999994</v>
      </c>
      <c r="CB24" s="2039">
        <f t="shared" si="25"/>
        <v>0.4285714285714286</v>
      </c>
      <c r="CC24" s="2010">
        <f t="shared" si="26"/>
        <v>0.4285714285714286</v>
      </c>
      <c r="CD24" s="2010">
        <f t="shared" si="27"/>
        <v>0.37499999999999994</v>
      </c>
      <c r="CF24" s="1207" t="s">
        <v>417</v>
      </c>
      <c r="CG24" s="1211" t="s">
        <v>413</v>
      </c>
      <c r="CH24" s="1208" t="s">
        <v>418</v>
      </c>
      <c r="CI24" s="1209">
        <v>0.2</v>
      </c>
      <c r="CJ24" s="1209">
        <v>0.2</v>
      </c>
      <c r="CK24" s="1209">
        <v>0.1</v>
      </c>
      <c r="CL24" s="1209">
        <v>0.1</v>
      </c>
      <c r="CM24" s="1223">
        <v>0.1</v>
      </c>
      <c r="CN24" s="1209">
        <v>0.2</v>
      </c>
      <c r="CO24" s="1213">
        <v>0.2</v>
      </c>
      <c r="CP24" s="1209">
        <v>0.2</v>
      </c>
      <c r="CQ24" s="1209">
        <v>0.2</v>
      </c>
      <c r="CR24" s="1209">
        <v>0.3</v>
      </c>
      <c r="CS24" s="1214">
        <v>0.5</v>
      </c>
      <c r="CT24" s="1213">
        <v>0.5</v>
      </c>
      <c r="CU24" s="1213">
        <v>0.6</v>
      </c>
      <c r="CW24" s="1207" t="s">
        <v>417</v>
      </c>
      <c r="CX24" s="1211" t="s">
        <v>413</v>
      </c>
      <c r="CY24" s="1208" t="s">
        <v>418</v>
      </c>
      <c r="CZ24" s="1213">
        <v>0.2</v>
      </c>
      <c r="DA24" s="1213">
        <v>0.4</v>
      </c>
      <c r="DB24" s="1213">
        <v>0.2</v>
      </c>
      <c r="DC24" s="1213">
        <v>0.2</v>
      </c>
      <c r="DD24" s="1215">
        <v>0.2</v>
      </c>
      <c r="DE24" s="1213">
        <v>0.2</v>
      </c>
      <c r="DF24" s="1213">
        <v>0.4</v>
      </c>
      <c r="DG24" s="1213">
        <v>0.2</v>
      </c>
      <c r="DH24" s="1213">
        <v>0.2</v>
      </c>
      <c r="DI24" s="1213">
        <v>0.4</v>
      </c>
      <c r="DJ24" s="1214">
        <v>0.4</v>
      </c>
      <c r="DK24" s="1213">
        <v>0.4</v>
      </c>
      <c r="DL24" s="1213">
        <v>0.4</v>
      </c>
      <c r="DN24" s="1207" t="s">
        <v>417</v>
      </c>
      <c r="DO24" s="1211" t="s">
        <v>413</v>
      </c>
      <c r="DP24" s="1208" t="s">
        <v>418</v>
      </c>
      <c r="DQ24" s="1815">
        <f>0.2/(0.3+0.2+0.3)</f>
        <v>0.25</v>
      </c>
      <c r="DR24" s="1815">
        <f>0.2/(0.3+0.2)</f>
        <v>0.4</v>
      </c>
      <c r="DS24" s="1815">
        <f>0.1/(0.3+0.1+0.2)</f>
        <v>0.16666666666666666</v>
      </c>
      <c r="DT24" s="1815">
        <f>0.1/(0.3+0.1+0.2)</f>
        <v>0.16666666666666666</v>
      </c>
      <c r="DU24" s="1815">
        <f>0.2/(0.3+0.2+0.3)</f>
        <v>0.25</v>
      </c>
      <c r="DV24" s="1815">
        <f>0.2/(0.3+0.2+0.3)</f>
        <v>0.25</v>
      </c>
      <c r="DW24" s="1815">
        <f>0.2/(0.3+0.2)</f>
        <v>0.4</v>
      </c>
      <c r="DX24" s="1815">
        <f>0.2/(0.3+0.2+0.3)</f>
        <v>0.25</v>
      </c>
      <c r="DY24" s="1815">
        <f>0.2/(0.3+0.2+0.3)</f>
        <v>0.25</v>
      </c>
      <c r="DZ24" s="1815">
        <f>0.3/(0.5+0.3)</f>
        <v>0.37499999999999994</v>
      </c>
      <c r="EA24" s="1815">
        <f>0.3/(0.4+0.3)</f>
        <v>0.4285714285714286</v>
      </c>
      <c r="EB24" s="1815">
        <f>0.3/(0.4+0.3)</f>
        <v>0.4285714285714286</v>
      </c>
      <c r="EC24" s="1815">
        <f>0.3/(0.5+0.3)</f>
        <v>0.37499999999999994</v>
      </c>
      <c r="ED24" s="1469"/>
      <c r="EF24" s="1207" t="s">
        <v>417</v>
      </c>
      <c r="EG24" s="1211" t="s">
        <v>413</v>
      </c>
      <c r="EH24" s="1208" t="s">
        <v>418</v>
      </c>
      <c r="EI24" s="1689">
        <f t="shared" si="49"/>
        <v>0.25</v>
      </c>
      <c r="EJ24" s="1689">
        <f t="shared" si="50"/>
        <v>0.4</v>
      </c>
      <c r="EK24" s="1689">
        <f t="shared" si="51"/>
        <v>0.16666666666666666</v>
      </c>
      <c r="EL24" s="1689">
        <f t="shared" si="52"/>
        <v>0.16666666666666666</v>
      </c>
      <c r="EM24" s="1694">
        <f t="shared" si="53"/>
        <v>0.25</v>
      </c>
      <c r="EN24" s="1689">
        <f t="shared" si="54"/>
        <v>0.25</v>
      </c>
      <c r="EO24" s="1689">
        <f t="shared" si="55"/>
        <v>0.4</v>
      </c>
      <c r="EP24" s="1689">
        <f t="shared" si="56"/>
        <v>0.25</v>
      </c>
      <c r="EQ24" s="1689">
        <f t="shared" si="57"/>
        <v>0.25</v>
      </c>
      <c r="ER24" s="1689">
        <f t="shared" si="47"/>
        <v>0.37499999999999994</v>
      </c>
      <c r="ES24" s="1691">
        <f t="shared" si="58"/>
        <v>0.4285714285714286</v>
      </c>
      <c r="ET24" s="1689">
        <f t="shared" si="59"/>
        <v>0.4285714285714286</v>
      </c>
      <c r="EU24" s="1689">
        <f t="shared" si="48"/>
        <v>0.37499999999999994</v>
      </c>
      <c r="EW24" s="1207" t="s">
        <v>417</v>
      </c>
      <c r="EX24" s="1211" t="s">
        <v>413</v>
      </c>
      <c r="EY24" s="1208" t="s">
        <v>418</v>
      </c>
      <c r="EZ24" s="1678">
        <f t="shared" si="60"/>
        <v>0.25</v>
      </c>
      <c r="FA24" s="1678"/>
      <c r="FB24" s="1678"/>
      <c r="FC24" s="1678"/>
      <c r="FD24" s="1797"/>
      <c r="FE24" s="1678"/>
      <c r="FF24" s="1678"/>
      <c r="FG24" s="1678"/>
      <c r="FH24" s="1678"/>
      <c r="FI24" s="1678"/>
      <c r="FJ24" s="1795"/>
      <c r="FK24" s="1678"/>
      <c r="FL24" s="1678"/>
    </row>
    <row r="25" spans="2:168">
      <c r="B25" s="2023" t="str">
        <f t="shared" si="4"/>
        <v>2.1.4</v>
      </c>
      <c r="C25" s="829" t="str">
        <f t="shared" si="5"/>
        <v>ゾーン別制御性</v>
      </c>
      <c r="D25" s="2100" t="e">
        <f t="shared" si="61"/>
        <v>#REF!</v>
      </c>
      <c r="E25" s="2021" t="e">
        <f t="shared" si="61"/>
        <v>#REF!</v>
      </c>
      <c r="G25" s="2021" t="e">
        <f t="shared" si="6"/>
        <v>#REF!</v>
      </c>
      <c r="H25" s="2021" t="e">
        <f t="shared" si="7"/>
        <v>#REF!</v>
      </c>
      <c r="I25" s="2021"/>
      <c r="J25" s="2021"/>
      <c r="K25" s="2021" t="e">
        <f>IF(#REF!=0,0,1)</f>
        <v>#REF!</v>
      </c>
      <c r="L25" s="2021" t="e">
        <f>IF(#REF!=0,0,1)</f>
        <v>#REF!</v>
      </c>
      <c r="M25" s="2021">
        <f t="shared" si="8"/>
        <v>0.37499999999999994</v>
      </c>
      <c r="N25" s="2021">
        <f t="shared" si="9"/>
        <v>0</v>
      </c>
      <c r="P25" s="2214"/>
      <c r="Q25" s="2019"/>
      <c r="R25" s="993">
        <v>3</v>
      </c>
      <c r="S25" s="1655" t="s">
        <v>609</v>
      </c>
      <c r="T25" s="2036"/>
      <c r="U25" s="2017"/>
      <c r="V25" s="2038">
        <f t="shared" si="43"/>
        <v>0</v>
      </c>
      <c r="W25" s="2037">
        <f t="shared" si="44"/>
        <v>0</v>
      </c>
      <c r="Y25" s="1">
        <f t="shared" si="29"/>
        <v>0</v>
      </c>
      <c r="Z25" s="1">
        <f t="shared" si="30"/>
        <v>0</v>
      </c>
      <c r="AA25" s="1">
        <f t="shared" si="31"/>
        <v>0</v>
      </c>
      <c r="AB25" s="1">
        <f t="shared" si="32"/>
        <v>0</v>
      </c>
      <c r="AC25" s="1">
        <f t="shared" si="33"/>
        <v>0</v>
      </c>
      <c r="AD25" s="1">
        <f t="shared" si="34"/>
        <v>0</v>
      </c>
      <c r="AE25" s="1">
        <f t="shared" si="35"/>
        <v>0</v>
      </c>
      <c r="AF25" s="1">
        <f t="shared" si="36"/>
        <v>0</v>
      </c>
      <c r="AG25" s="1">
        <f t="shared" si="37"/>
        <v>0</v>
      </c>
      <c r="AH25" s="1">
        <f t="shared" si="38"/>
        <v>0</v>
      </c>
      <c r="AI25" s="1">
        <f t="shared" si="39"/>
        <v>0</v>
      </c>
      <c r="AJ25" s="1">
        <f t="shared" si="40"/>
        <v>0</v>
      </c>
      <c r="AK25" s="1">
        <f t="shared" si="41"/>
        <v>0</v>
      </c>
      <c r="AM25" s="1828"/>
      <c r="AN25" s="1828"/>
      <c r="AO25" s="1828"/>
      <c r="AP25" s="1828"/>
      <c r="AQ25" s="1828"/>
      <c r="AR25" s="1828"/>
      <c r="AS25" s="1828"/>
      <c r="AT25" s="1828"/>
      <c r="AU25" s="1828"/>
      <c r="AV25" s="1828"/>
      <c r="AW25" s="1828"/>
      <c r="AX25" s="1828"/>
      <c r="AY25" s="1828"/>
      <c r="BA25" s="2014"/>
      <c r="BB25" s="2014" t="e">
        <f t="shared" si="11"/>
        <v>#REF!</v>
      </c>
      <c r="BC25" s="2014"/>
      <c r="BD25" s="2013" t="e">
        <f>BR25*#REF!</f>
        <v>#REF!</v>
      </c>
      <c r="BE25" s="2013" t="e">
        <f>BS25*#REF!</f>
        <v>#REF!</v>
      </c>
      <c r="BF25" s="2013" t="e">
        <f>BT25*#REF!</f>
        <v>#REF!</v>
      </c>
      <c r="BG25" s="2013" t="e">
        <f>BU25*#REF!</f>
        <v>#REF!</v>
      </c>
      <c r="BH25" s="2226" t="e">
        <f>BV25*#REF!</f>
        <v>#REF!</v>
      </c>
      <c r="BI25" s="2013" t="e">
        <f>BW25*#REF!</f>
        <v>#REF!</v>
      </c>
      <c r="BJ25" s="2013" t="e">
        <f>BX25*#REF!</f>
        <v>#REF!</v>
      </c>
      <c r="BK25" s="2013" t="e">
        <f>BY25*#REF!</f>
        <v>#REF!</v>
      </c>
      <c r="BL25" s="2013" t="e">
        <f>BZ25*#REF!</f>
        <v>#REF!</v>
      </c>
      <c r="BM25" s="2013" t="e">
        <f>CA25*#REF!</f>
        <v>#REF!</v>
      </c>
      <c r="BO25" s="2040" t="str">
        <f t="shared" si="12"/>
        <v>2.1.4</v>
      </c>
      <c r="BP25" s="2040" t="str">
        <f t="shared" si="13"/>
        <v xml:space="preserve"> Q1 2.1</v>
      </c>
      <c r="BQ25" s="829" t="str">
        <f t="shared" si="14"/>
        <v>ゾーン別制御性</v>
      </c>
      <c r="BR25" s="2010">
        <f t="shared" si="15"/>
        <v>0.37499999999999994</v>
      </c>
      <c r="BS25" s="2010">
        <f t="shared" si="16"/>
        <v>0</v>
      </c>
      <c r="BT25" s="2010">
        <f t="shared" si="17"/>
        <v>0.33333333333333331</v>
      </c>
      <c r="BU25" s="2010">
        <f t="shared" si="18"/>
        <v>0.33333333333333331</v>
      </c>
      <c r="BV25" s="2225">
        <f t="shared" si="19"/>
        <v>0.37499999999999994</v>
      </c>
      <c r="BW25" s="2010">
        <f t="shared" si="20"/>
        <v>0.37499999999999994</v>
      </c>
      <c r="BX25" s="2010">
        <f t="shared" si="21"/>
        <v>0</v>
      </c>
      <c r="BY25" s="2010">
        <f t="shared" si="22"/>
        <v>0.37499999999999994</v>
      </c>
      <c r="BZ25" s="2010">
        <f t="shared" si="23"/>
        <v>0.37499999999999994</v>
      </c>
      <c r="CA25" s="2010">
        <f t="shared" si="24"/>
        <v>0</v>
      </c>
      <c r="CB25" s="2039">
        <f t="shared" si="25"/>
        <v>0</v>
      </c>
      <c r="CC25" s="2010">
        <f t="shared" si="26"/>
        <v>0</v>
      </c>
      <c r="CD25" s="2010">
        <f t="shared" si="27"/>
        <v>0</v>
      </c>
      <c r="CF25" s="1207" t="s">
        <v>2119</v>
      </c>
      <c r="CG25" s="1211" t="s">
        <v>413</v>
      </c>
      <c r="CH25" s="1208" t="s">
        <v>2120</v>
      </c>
      <c r="CI25" s="1209">
        <v>0.3</v>
      </c>
      <c r="CJ25" s="1209"/>
      <c r="CK25" s="1209">
        <v>0.2</v>
      </c>
      <c r="CL25" s="1209">
        <v>0.2</v>
      </c>
      <c r="CM25" s="1223">
        <v>0.2</v>
      </c>
      <c r="CN25" s="1209">
        <v>0.3</v>
      </c>
      <c r="CO25" s="1213">
        <v>0</v>
      </c>
      <c r="CP25" s="1209">
        <v>0.3</v>
      </c>
      <c r="CQ25" s="1209">
        <v>0.3</v>
      </c>
      <c r="CR25" s="1209"/>
      <c r="CS25" s="1214"/>
      <c r="CT25" s="1213"/>
      <c r="CU25" s="1213"/>
      <c r="CW25" s="1207" t="s">
        <v>2119</v>
      </c>
      <c r="CX25" s="1211" t="s">
        <v>413</v>
      </c>
      <c r="CY25" s="1208" t="s">
        <v>2120</v>
      </c>
      <c r="CZ25" s="1213">
        <v>0.5</v>
      </c>
      <c r="DA25" s="1213"/>
      <c r="DB25" s="1213">
        <v>0.5</v>
      </c>
      <c r="DC25" s="1213">
        <v>0.5</v>
      </c>
      <c r="DD25" s="1215">
        <v>0.5</v>
      </c>
      <c r="DE25" s="1213">
        <v>0.5</v>
      </c>
      <c r="DF25" s="1213"/>
      <c r="DG25" s="1213">
        <v>0.5</v>
      </c>
      <c r="DH25" s="1213">
        <v>0.5</v>
      </c>
      <c r="DI25" s="1213"/>
      <c r="DJ25" s="1214"/>
      <c r="DK25" s="1213"/>
      <c r="DL25" s="1213"/>
      <c r="DN25" s="1207" t="s">
        <v>2119</v>
      </c>
      <c r="DO25" s="1211" t="s">
        <v>413</v>
      </c>
      <c r="DP25" s="1208" t="s">
        <v>2120</v>
      </c>
      <c r="DQ25" s="1815">
        <f>0.3/(0.3+0.2+0.3)</f>
        <v>0.37499999999999994</v>
      </c>
      <c r="DR25" s="1213"/>
      <c r="DS25" s="1815">
        <f>0.2/(0.3+0.1+0.2)</f>
        <v>0.33333333333333331</v>
      </c>
      <c r="DT25" s="1815">
        <f>0.2/(0.3+0.1+0.2)</f>
        <v>0.33333333333333331</v>
      </c>
      <c r="DU25" s="1815">
        <f>0.3/(0.3+0.2+0.3)</f>
        <v>0.37499999999999994</v>
      </c>
      <c r="DV25" s="1815">
        <f>0.3/(0.3+0.2+0.3)</f>
        <v>0.37499999999999994</v>
      </c>
      <c r="DW25" s="1213"/>
      <c r="DX25" s="1815">
        <f>0.3/(0.3+0.2+0.3)</f>
        <v>0.37499999999999994</v>
      </c>
      <c r="DY25" s="1815">
        <f>0.3/(0.3+0.2+0.3)</f>
        <v>0.37499999999999994</v>
      </c>
      <c r="DZ25" s="1213"/>
      <c r="EA25" s="1214"/>
      <c r="EB25" s="1213"/>
      <c r="EC25" s="1213"/>
      <c r="ED25" s="1469"/>
      <c r="EF25" s="1207" t="s">
        <v>2119</v>
      </c>
      <c r="EG25" s="1211" t="s">
        <v>413</v>
      </c>
      <c r="EH25" s="1208" t="s">
        <v>2120</v>
      </c>
      <c r="EI25" s="1689">
        <f t="shared" si="49"/>
        <v>0.37499999999999994</v>
      </c>
      <c r="EJ25" s="1689">
        <f t="shared" si="50"/>
        <v>0</v>
      </c>
      <c r="EK25" s="1689">
        <f t="shared" si="51"/>
        <v>0.33333333333333331</v>
      </c>
      <c r="EL25" s="1689">
        <f t="shared" si="52"/>
        <v>0.33333333333333331</v>
      </c>
      <c r="EM25" s="1694">
        <f t="shared" si="53"/>
        <v>0.37499999999999994</v>
      </c>
      <c r="EN25" s="1689">
        <f t="shared" si="54"/>
        <v>0.37499999999999994</v>
      </c>
      <c r="EO25" s="1689">
        <f t="shared" si="55"/>
        <v>0</v>
      </c>
      <c r="EP25" s="1689">
        <f t="shared" si="56"/>
        <v>0.37499999999999994</v>
      </c>
      <c r="EQ25" s="1689">
        <f t="shared" si="57"/>
        <v>0.37499999999999994</v>
      </c>
      <c r="ER25" s="1689">
        <f t="shared" si="47"/>
        <v>0</v>
      </c>
      <c r="ES25" s="1691">
        <f t="shared" si="58"/>
        <v>0</v>
      </c>
      <c r="ET25" s="1689">
        <f t="shared" si="59"/>
        <v>0</v>
      </c>
      <c r="EU25" s="1689">
        <f t="shared" si="48"/>
        <v>0</v>
      </c>
      <c r="EW25" s="1207" t="s">
        <v>2119</v>
      </c>
      <c r="EX25" s="1211" t="s">
        <v>413</v>
      </c>
      <c r="EY25" s="1208" t="s">
        <v>2120</v>
      </c>
      <c r="EZ25" s="1678">
        <f t="shared" si="60"/>
        <v>0.37499999999999994</v>
      </c>
      <c r="FA25" s="1678"/>
      <c r="FB25" s="1678"/>
      <c r="FC25" s="1678"/>
      <c r="FD25" s="1797"/>
      <c r="FE25" s="1678"/>
      <c r="FF25" s="1678"/>
      <c r="FG25" s="1678"/>
      <c r="FH25" s="1678"/>
      <c r="FI25" s="1678"/>
      <c r="FJ25" s="1795"/>
      <c r="FK25" s="1678"/>
      <c r="FL25" s="1678"/>
    </row>
    <row r="26" spans="2:168" hidden="1">
      <c r="B26" s="2023" t="str">
        <f t="shared" si="4"/>
        <v>2.1.5</v>
      </c>
      <c r="C26" s="829">
        <f t="shared" si="5"/>
        <v>0</v>
      </c>
      <c r="D26" s="2100" t="e">
        <f t="shared" si="61"/>
        <v>#REF!</v>
      </c>
      <c r="E26" s="2021" t="e">
        <f t="shared" si="61"/>
        <v>#REF!</v>
      </c>
      <c r="G26" s="2021" t="e">
        <f t="shared" si="6"/>
        <v>#REF!</v>
      </c>
      <c r="H26" s="2021" t="e">
        <f t="shared" si="7"/>
        <v>#REF!</v>
      </c>
      <c r="I26" s="2021"/>
      <c r="J26" s="2021"/>
      <c r="K26" s="2021" t="e">
        <f>IF(#REF!=0,0,1)</f>
        <v>#REF!</v>
      </c>
      <c r="L26" s="2021" t="e">
        <f>IF(#REF!=0,0,1)</f>
        <v>#REF!</v>
      </c>
      <c r="M26" s="2021">
        <f t="shared" si="8"/>
        <v>0</v>
      </c>
      <c r="N26" s="2021">
        <f t="shared" si="9"/>
        <v>0</v>
      </c>
      <c r="P26" s="2256"/>
      <c r="Q26" s="2257"/>
      <c r="R26" s="2245">
        <v>5</v>
      </c>
      <c r="S26" s="2244" t="s">
        <v>3331</v>
      </c>
      <c r="T26" s="2144"/>
      <c r="U26" s="2017"/>
      <c r="V26" s="2038">
        <f t="shared" si="43"/>
        <v>0</v>
      </c>
      <c r="W26" s="2037">
        <f t="shared" si="44"/>
        <v>0</v>
      </c>
      <c r="Y26" s="1">
        <f t="shared" si="29"/>
        <v>0</v>
      </c>
      <c r="Z26" s="1">
        <f t="shared" si="30"/>
        <v>0</v>
      </c>
      <c r="AA26" s="1">
        <f t="shared" si="31"/>
        <v>0</v>
      </c>
      <c r="AB26" s="1">
        <f t="shared" si="32"/>
        <v>0</v>
      </c>
      <c r="AC26" s="1">
        <f t="shared" si="33"/>
        <v>0</v>
      </c>
      <c r="AD26" s="1">
        <f t="shared" si="34"/>
        <v>0</v>
      </c>
      <c r="AE26" s="1">
        <f t="shared" si="35"/>
        <v>0</v>
      </c>
      <c r="AF26" s="1">
        <f t="shared" si="36"/>
        <v>0</v>
      </c>
      <c r="AG26" s="1">
        <f t="shared" si="37"/>
        <v>0</v>
      </c>
      <c r="AH26" s="1">
        <f t="shared" si="38"/>
        <v>0</v>
      </c>
      <c r="AI26" s="1">
        <f t="shared" si="39"/>
        <v>0</v>
      </c>
      <c r="AJ26" s="1">
        <f t="shared" si="40"/>
        <v>0</v>
      </c>
      <c r="AK26" s="1">
        <f t="shared" si="41"/>
        <v>0</v>
      </c>
      <c r="AM26" s="1828"/>
      <c r="AN26" s="1828"/>
      <c r="AO26" s="1828"/>
      <c r="AP26" s="1828"/>
      <c r="AQ26" s="1828"/>
      <c r="AR26" s="1828"/>
      <c r="AS26" s="1828"/>
      <c r="AT26" s="1828"/>
      <c r="AU26" s="1828"/>
      <c r="AV26" s="1828"/>
      <c r="AW26" s="1828"/>
      <c r="AX26" s="1828"/>
      <c r="AY26" s="1828"/>
      <c r="BA26" s="2014"/>
      <c r="BB26" s="2014" t="e">
        <f t="shared" si="11"/>
        <v>#REF!</v>
      </c>
      <c r="BC26" s="2014"/>
      <c r="BD26" s="2013" t="e">
        <f>BR26*#REF!</f>
        <v>#REF!</v>
      </c>
      <c r="BE26" s="2013" t="e">
        <f>BS26*#REF!</f>
        <v>#REF!</v>
      </c>
      <c r="BF26" s="2013" t="e">
        <f>BT26*#REF!</f>
        <v>#REF!</v>
      </c>
      <c r="BG26" s="2013" t="e">
        <f>BU26*#REF!</f>
        <v>#REF!</v>
      </c>
      <c r="BH26" s="2226" t="e">
        <f>BV26*#REF!</f>
        <v>#REF!</v>
      </c>
      <c r="BI26" s="2013" t="e">
        <f>BW26*#REF!</f>
        <v>#REF!</v>
      </c>
      <c r="BJ26" s="2013" t="e">
        <f>BX26*#REF!</f>
        <v>#REF!</v>
      </c>
      <c r="BK26" s="2013" t="e">
        <f>BY26*#REF!</f>
        <v>#REF!</v>
      </c>
      <c r="BL26" s="2013" t="e">
        <f>BZ26*#REF!</f>
        <v>#REF!</v>
      </c>
      <c r="BM26" s="2013" t="e">
        <f>CA26*#REF!</f>
        <v>#REF!</v>
      </c>
      <c r="BO26" s="2040" t="str">
        <f t="shared" si="12"/>
        <v>2.1.5</v>
      </c>
      <c r="BP26" s="2040" t="str">
        <f t="shared" si="13"/>
        <v xml:space="preserve"> Q1 2.1</v>
      </c>
      <c r="BQ26" s="829">
        <f t="shared" si="14"/>
        <v>0</v>
      </c>
      <c r="BR26" s="2010">
        <f t="shared" si="15"/>
        <v>0</v>
      </c>
      <c r="BS26" s="2010">
        <f t="shared" si="16"/>
        <v>0</v>
      </c>
      <c r="BT26" s="2010">
        <f t="shared" si="17"/>
        <v>0</v>
      </c>
      <c r="BU26" s="2010">
        <f t="shared" si="18"/>
        <v>0</v>
      </c>
      <c r="BV26" s="2225">
        <f t="shared" si="19"/>
        <v>0</v>
      </c>
      <c r="BW26" s="2010">
        <f t="shared" si="20"/>
        <v>0</v>
      </c>
      <c r="BX26" s="2010">
        <f t="shared" si="21"/>
        <v>0</v>
      </c>
      <c r="BY26" s="2010">
        <f t="shared" si="22"/>
        <v>0</v>
      </c>
      <c r="BZ26" s="2010">
        <f t="shared" si="23"/>
        <v>0</v>
      </c>
      <c r="CA26" s="2010">
        <f t="shared" si="24"/>
        <v>0</v>
      </c>
      <c r="CB26" s="2039">
        <f t="shared" si="25"/>
        <v>0</v>
      </c>
      <c r="CC26" s="2010">
        <f t="shared" si="26"/>
        <v>0</v>
      </c>
      <c r="CD26" s="2010">
        <f t="shared" si="27"/>
        <v>0</v>
      </c>
      <c r="CF26" s="1207" t="s">
        <v>2121</v>
      </c>
      <c r="CG26" s="1211" t="s">
        <v>413</v>
      </c>
      <c r="CH26" s="1208" t="s">
        <v>2122</v>
      </c>
      <c r="CI26" s="1218">
        <v>0.1</v>
      </c>
      <c r="CJ26" s="1218">
        <v>0.1</v>
      </c>
      <c r="CK26" s="1218">
        <v>0.1</v>
      </c>
      <c r="CL26" s="1218">
        <v>0.1</v>
      </c>
      <c r="CM26" s="1224">
        <v>0.1</v>
      </c>
      <c r="CN26" s="1218">
        <v>0.1</v>
      </c>
      <c r="CO26" s="1213">
        <v>0.1</v>
      </c>
      <c r="CP26" s="1218">
        <v>0.1</v>
      </c>
      <c r="CQ26" s="1218">
        <v>0.1</v>
      </c>
      <c r="CR26" s="1218">
        <v>0.2</v>
      </c>
      <c r="CS26" s="1214">
        <v>0.3</v>
      </c>
      <c r="CT26" s="1213">
        <v>0.3</v>
      </c>
      <c r="CU26" s="1213"/>
      <c r="CW26" s="1207" t="s">
        <v>2121</v>
      </c>
      <c r="CX26" s="1211" t="s">
        <v>413</v>
      </c>
      <c r="CY26" s="1208" t="s">
        <v>2122</v>
      </c>
      <c r="CZ26" s="1213"/>
      <c r="DA26" s="1213"/>
      <c r="DB26" s="1213"/>
      <c r="DC26" s="1213"/>
      <c r="DD26" s="1215"/>
      <c r="DE26" s="1213"/>
      <c r="DF26" s="1213"/>
      <c r="DG26" s="1213"/>
      <c r="DH26" s="1213"/>
      <c r="DI26" s="1213"/>
      <c r="DJ26" s="1214"/>
      <c r="DK26" s="1213"/>
      <c r="DL26" s="1213"/>
      <c r="DN26" s="1207" t="s">
        <v>2121</v>
      </c>
      <c r="DO26" s="1211" t="s">
        <v>413</v>
      </c>
      <c r="DP26" s="1208"/>
      <c r="DQ26" s="1213"/>
      <c r="DR26" s="1213"/>
      <c r="DS26" s="1213"/>
      <c r="DT26" s="1213"/>
      <c r="DU26" s="1571"/>
      <c r="DV26" s="1213"/>
      <c r="DW26" s="1213"/>
      <c r="DX26" s="1213"/>
      <c r="DY26" s="1213"/>
      <c r="DZ26" s="1213"/>
      <c r="EA26" s="1214"/>
      <c r="EB26" s="1213"/>
      <c r="EC26" s="1213"/>
      <c r="ED26" s="1469"/>
      <c r="EF26" s="1207" t="s">
        <v>2121</v>
      </c>
      <c r="EG26" s="1211" t="s">
        <v>413</v>
      </c>
      <c r="EH26" s="1208"/>
      <c r="EI26" s="1689">
        <f t="shared" si="49"/>
        <v>0</v>
      </c>
      <c r="EJ26" s="1689">
        <f t="shared" si="50"/>
        <v>0</v>
      </c>
      <c r="EK26" s="1689">
        <f t="shared" si="51"/>
        <v>0</v>
      </c>
      <c r="EL26" s="1689">
        <f t="shared" si="52"/>
        <v>0</v>
      </c>
      <c r="EM26" s="1694">
        <f t="shared" si="53"/>
        <v>0</v>
      </c>
      <c r="EN26" s="1689">
        <f t="shared" si="54"/>
        <v>0</v>
      </c>
      <c r="EO26" s="1689">
        <f t="shared" si="55"/>
        <v>0</v>
      </c>
      <c r="EP26" s="1689">
        <f t="shared" si="56"/>
        <v>0</v>
      </c>
      <c r="EQ26" s="1689">
        <f t="shared" si="57"/>
        <v>0</v>
      </c>
      <c r="ER26" s="1689">
        <f t="shared" si="47"/>
        <v>0</v>
      </c>
      <c r="ES26" s="1691">
        <f t="shared" si="58"/>
        <v>0</v>
      </c>
      <c r="ET26" s="1689">
        <f t="shared" si="59"/>
        <v>0</v>
      </c>
      <c r="EU26" s="1689">
        <f t="shared" si="48"/>
        <v>0</v>
      </c>
      <c r="EW26" s="1207" t="s">
        <v>2121</v>
      </c>
      <c r="EX26" s="1211" t="s">
        <v>413</v>
      </c>
      <c r="EY26" s="1208"/>
      <c r="EZ26" s="1678">
        <f t="shared" si="60"/>
        <v>0</v>
      </c>
      <c r="FA26" s="1678"/>
      <c r="FB26" s="1678"/>
      <c r="FC26" s="1678"/>
      <c r="FD26" s="1797"/>
      <c r="FE26" s="1678"/>
      <c r="FF26" s="1678"/>
      <c r="FG26" s="1678"/>
      <c r="FH26" s="1678"/>
      <c r="FI26" s="1678"/>
      <c r="FJ26" s="1795"/>
      <c r="FK26" s="1678"/>
      <c r="FL26" s="1678"/>
    </row>
    <row r="27" spans="2:168" hidden="1">
      <c r="B27" s="2023" t="str">
        <f t="shared" si="4"/>
        <v>2.1.6</v>
      </c>
      <c r="C27" s="829">
        <f t="shared" si="5"/>
        <v>0</v>
      </c>
      <c r="D27" s="2100" t="e">
        <f t="shared" si="61"/>
        <v>#REF!</v>
      </c>
      <c r="E27" s="2021" t="e">
        <f t="shared" si="61"/>
        <v>#REF!</v>
      </c>
      <c r="G27" s="2021" t="e">
        <f t="shared" si="6"/>
        <v>#REF!</v>
      </c>
      <c r="H27" s="2021" t="e">
        <f t="shared" si="7"/>
        <v>#REF!</v>
      </c>
      <c r="I27" s="2021"/>
      <c r="J27" s="2021"/>
      <c r="K27" s="2021" t="e">
        <f>IF(#REF!=0,0,1)</f>
        <v>#REF!</v>
      </c>
      <c r="L27" s="2021" t="e">
        <f>IF(#REF!=0,0,1)</f>
        <v>#REF!</v>
      </c>
      <c r="M27" s="2021">
        <f t="shared" si="8"/>
        <v>0</v>
      </c>
      <c r="N27" s="2021">
        <f t="shared" si="9"/>
        <v>0</v>
      </c>
      <c r="P27" s="2256"/>
      <c r="Q27" s="2257"/>
      <c r="R27" s="2245">
        <v>6</v>
      </c>
      <c r="S27" s="2244" t="s">
        <v>610</v>
      </c>
      <c r="T27" s="2144"/>
      <c r="U27" s="2017"/>
      <c r="V27" s="2038">
        <f t="shared" si="43"/>
        <v>0</v>
      </c>
      <c r="W27" s="2037">
        <f t="shared" si="44"/>
        <v>0</v>
      </c>
      <c r="Y27" s="1">
        <f t="shared" si="29"/>
        <v>0</v>
      </c>
      <c r="Z27" s="1">
        <f t="shared" si="30"/>
        <v>0</v>
      </c>
      <c r="AA27" s="1">
        <f t="shared" si="31"/>
        <v>0</v>
      </c>
      <c r="AB27" s="1">
        <f t="shared" si="32"/>
        <v>0</v>
      </c>
      <c r="AC27" s="1">
        <f t="shared" si="33"/>
        <v>0</v>
      </c>
      <c r="AD27" s="1">
        <f t="shared" si="34"/>
        <v>0</v>
      </c>
      <c r="AE27" s="1">
        <f t="shared" si="35"/>
        <v>0</v>
      </c>
      <c r="AF27" s="1">
        <f t="shared" si="36"/>
        <v>0</v>
      </c>
      <c r="AG27" s="1">
        <f t="shared" si="37"/>
        <v>0</v>
      </c>
      <c r="AH27" s="1">
        <f t="shared" si="38"/>
        <v>0</v>
      </c>
      <c r="AI27" s="1">
        <f t="shared" si="39"/>
        <v>0</v>
      </c>
      <c r="AJ27" s="1">
        <f t="shared" si="40"/>
        <v>0</v>
      </c>
      <c r="AK27" s="1">
        <f t="shared" si="41"/>
        <v>0</v>
      </c>
      <c r="AM27" s="1828"/>
      <c r="AN27" s="1828"/>
      <c r="AO27" s="1828"/>
      <c r="AP27" s="1828"/>
      <c r="AQ27" s="1828"/>
      <c r="AR27" s="1828"/>
      <c r="AS27" s="1828"/>
      <c r="AT27" s="1828"/>
      <c r="AU27" s="1828"/>
      <c r="AV27" s="1828"/>
      <c r="AW27" s="1828"/>
      <c r="AX27" s="1828"/>
      <c r="AY27" s="1828"/>
      <c r="BA27" s="2014"/>
      <c r="BB27" s="2014" t="e">
        <f t="shared" si="11"/>
        <v>#REF!</v>
      </c>
      <c r="BC27" s="2014"/>
      <c r="BD27" s="2013" t="e">
        <f>BR27*#REF!</f>
        <v>#REF!</v>
      </c>
      <c r="BE27" s="2013" t="e">
        <f>BS27*#REF!</f>
        <v>#REF!</v>
      </c>
      <c r="BF27" s="2013" t="e">
        <f>BT27*#REF!</f>
        <v>#REF!</v>
      </c>
      <c r="BG27" s="2013" t="e">
        <f>BU27*#REF!</f>
        <v>#REF!</v>
      </c>
      <c r="BH27" s="2226" t="e">
        <f>BV27*#REF!</f>
        <v>#REF!</v>
      </c>
      <c r="BI27" s="2013" t="e">
        <f>BW27*#REF!</f>
        <v>#REF!</v>
      </c>
      <c r="BJ27" s="2013" t="e">
        <f>BX27*#REF!</f>
        <v>#REF!</v>
      </c>
      <c r="BK27" s="2013" t="e">
        <f>BY27*#REF!</f>
        <v>#REF!</v>
      </c>
      <c r="BL27" s="2013" t="e">
        <f>BZ27*#REF!</f>
        <v>#REF!</v>
      </c>
      <c r="BM27" s="2013" t="e">
        <f>CA27*#REF!</f>
        <v>#REF!</v>
      </c>
      <c r="BO27" s="2040" t="str">
        <f t="shared" si="12"/>
        <v>2.1.6</v>
      </c>
      <c r="BP27" s="2040" t="str">
        <f t="shared" si="13"/>
        <v xml:space="preserve"> Q1 2.1</v>
      </c>
      <c r="BQ27" s="829">
        <f t="shared" si="14"/>
        <v>0</v>
      </c>
      <c r="BR27" s="2010">
        <f t="shared" si="15"/>
        <v>0</v>
      </c>
      <c r="BS27" s="2010">
        <f t="shared" si="16"/>
        <v>0</v>
      </c>
      <c r="BT27" s="2010">
        <f t="shared" si="17"/>
        <v>0</v>
      </c>
      <c r="BU27" s="2010">
        <f t="shared" si="18"/>
        <v>0</v>
      </c>
      <c r="BV27" s="2225">
        <f t="shared" si="19"/>
        <v>0</v>
      </c>
      <c r="BW27" s="2010">
        <f t="shared" si="20"/>
        <v>0</v>
      </c>
      <c r="BX27" s="2010">
        <f t="shared" si="21"/>
        <v>0</v>
      </c>
      <c r="BY27" s="2010">
        <f t="shared" si="22"/>
        <v>0</v>
      </c>
      <c r="BZ27" s="2010">
        <f t="shared" si="23"/>
        <v>0</v>
      </c>
      <c r="CA27" s="2010">
        <f t="shared" si="24"/>
        <v>0</v>
      </c>
      <c r="CB27" s="2039">
        <f t="shared" si="25"/>
        <v>0</v>
      </c>
      <c r="CC27" s="2010">
        <f t="shared" si="26"/>
        <v>0</v>
      </c>
      <c r="CD27" s="2010">
        <f t="shared" si="27"/>
        <v>0</v>
      </c>
      <c r="CF27" s="1207" t="s">
        <v>2123</v>
      </c>
      <c r="CG27" s="1211" t="s">
        <v>413</v>
      </c>
      <c r="CH27" s="1208" t="s">
        <v>2124</v>
      </c>
      <c r="CI27" s="1218"/>
      <c r="CJ27" s="1218"/>
      <c r="CK27" s="1218"/>
      <c r="CL27" s="1218"/>
      <c r="CM27" s="1224"/>
      <c r="CN27" s="1218"/>
      <c r="CO27" s="1213">
        <v>0</v>
      </c>
      <c r="CP27" s="1218"/>
      <c r="CQ27" s="1218"/>
      <c r="CR27" s="1218"/>
      <c r="CS27" s="1214">
        <v>0.2</v>
      </c>
      <c r="CT27" s="1213">
        <v>0.2</v>
      </c>
      <c r="CU27" s="1213">
        <v>0.4</v>
      </c>
      <c r="CW27" s="1207" t="s">
        <v>2123</v>
      </c>
      <c r="CX27" s="1211" t="s">
        <v>413</v>
      </c>
      <c r="CY27" s="1208" t="s">
        <v>2124</v>
      </c>
      <c r="CZ27" s="1213"/>
      <c r="DA27" s="1213"/>
      <c r="DB27" s="1213"/>
      <c r="DC27" s="1213"/>
      <c r="DD27" s="1215"/>
      <c r="DE27" s="1213"/>
      <c r="DF27" s="1213"/>
      <c r="DG27" s="1213"/>
      <c r="DH27" s="1213"/>
      <c r="DI27" s="1213"/>
      <c r="DJ27" s="1214"/>
      <c r="DK27" s="1213"/>
      <c r="DL27" s="1213"/>
      <c r="DN27" s="1207" t="s">
        <v>2123</v>
      </c>
      <c r="DO27" s="1211" t="s">
        <v>413</v>
      </c>
      <c r="DP27" s="1208"/>
      <c r="DQ27" s="1213"/>
      <c r="DR27" s="1213"/>
      <c r="DS27" s="1213"/>
      <c r="DT27" s="1213"/>
      <c r="DU27" s="1571"/>
      <c r="DV27" s="1213"/>
      <c r="DW27" s="1213"/>
      <c r="DX27" s="1213"/>
      <c r="DY27" s="1213"/>
      <c r="DZ27" s="1213"/>
      <c r="EA27" s="1214"/>
      <c r="EB27" s="1213"/>
      <c r="EC27" s="1213"/>
      <c r="ED27" s="1469"/>
      <c r="EF27" s="1207" t="s">
        <v>2123</v>
      </c>
      <c r="EG27" s="1211" t="s">
        <v>413</v>
      </c>
      <c r="EH27" s="1208"/>
      <c r="EI27" s="1689">
        <f t="shared" si="49"/>
        <v>0</v>
      </c>
      <c r="EJ27" s="1689">
        <f t="shared" si="50"/>
        <v>0</v>
      </c>
      <c r="EK27" s="1689">
        <f t="shared" si="51"/>
        <v>0</v>
      </c>
      <c r="EL27" s="1689">
        <f t="shared" si="52"/>
        <v>0</v>
      </c>
      <c r="EM27" s="1694">
        <f t="shared" si="53"/>
        <v>0</v>
      </c>
      <c r="EN27" s="1689">
        <f t="shared" si="54"/>
        <v>0</v>
      </c>
      <c r="EO27" s="1689">
        <f t="shared" si="55"/>
        <v>0</v>
      </c>
      <c r="EP27" s="1689">
        <f t="shared" si="56"/>
        <v>0</v>
      </c>
      <c r="EQ27" s="1689">
        <f t="shared" si="57"/>
        <v>0</v>
      </c>
      <c r="ER27" s="1689">
        <f t="shared" si="47"/>
        <v>0</v>
      </c>
      <c r="ES27" s="1691">
        <f t="shared" si="58"/>
        <v>0</v>
      </c>
      <c r="ET27" s="1689">
        <f t="shared" si="59"/>
        <v>0</v>
      </c>
      <c r="EU27" s="1689">
        <f t="shared" si="48"/>
        <v>0</v>
      </c>
      <c r="EW27" s="1207" t="s">
        <v>2123</v>
      </c>
      <c r="EX27" s="1211" t="s">
        <v>413</v>
      </c>
      <c r="EY27" s="1208"/>
      <c r="EZ27" s="1678">
        <f t="shared" si="60"/>
        <v>0</v>
      </c>
      <c r="FA27" s="1678"/>
      <c r="FB27" s="1678"/>
      <c r="FC27" s="1678"/>
      <c r="FD27" s="1797"/>
      <c r="FE27" s="1678"/>
      <c r="FF27" s="1678"/>
      <c r="FG27" s="1678"/>
      <c r="FH27" s="1678"/>
      <c r="FI27" s="1678"/>
      <c r="FJ27" s="1795"/>
      <c r="FK27" s="1678"/>
      <c r="FL27" s="1678"/>
    </row>
    <row r="28" spans="2:168" hidden="1">
      <c r="B28" s="2023" t="str">
        <f t="shared" si="4"/>
        <v>2.1.7</v>
      </c>
      <c r="C28" s="829">
        <f t="shared" si="5"/>
        <v>0</v>
      </c>
      <c r="D28" s="2100" t="e">
        <f t="shared" si="61"/>
        <v>#REF!</v>
      </c>
      <c r="E28" s="2021" t="e">
        <f t="shared" si="61"/>
        <v>#REF!</v>
      </c>
      <c r="G28" s="2021" t="e">
        <f t="shared" si="6"/>
        <v>#REF!</v>
      </c>
      <c r="H28" s="2021" t="e">
        <f t="shared" si="7"/>
        <v>#REF!</v>
      </c>
      <c r="I28" s="2021"/>
      <c r="J28" s="2021"/>
      <c r="K28" s="2021" t="e">
        <f>IF(#REF!=0,0,1)</f>
        <v>#REF!</v>
      </c>
      <c r="L28" s="2021" t="e">
        <f>IF(#REF!=0,0,1)</f>
        <v>#REF!</v>
      </c>
      <c r="M28" s="2021">
        <f t="shared" si="8"/>
        <v>0</v>
      </c>
      <c r="N28" s="2021">
        <f t="shared" si="9"/>
        <v>0</v>
      </c>
      <c r="P28" s="2256"/>
      <c r="Q28" s="2257"/>
      <c r="R28" s="2245">
        <v>7</v>
      </c>
      <c r="S28" s="2244" t="s">
        <v>217</v>
      </c>
      <c r="T28" s="2144"/>
      <c r="U28" s="2017"/>
      <c r="V28" s="2038">
        <f t="shared" si="43"/>
        <v>0</v>
      </c>
      <c r="W28" s="2037">
        <f t="shared" si="44"/>
        <v>0</v>
      </c>
      <c r="Y28" s="1">
        <f t="shared" si="29"/>
        <v>0</v>
      </c>
      <c r="Z28" s="1">
        <f t="shared" si="30"/>
        <v>0</v>
      </c>
      <c r="AA28" s="1">
        <f t="shared" si="31"/>
        <v>0</v>
      </c>
      <c r="AB28" s="1">
        <f t="shared" si="32"/>
        <v>0</v>
      </c>
      <c r="AC28" s="1">
        <f t="shared" si="33"/>
        <v>0</v>
      </c>
      <c r="AD28" s="1">
        <f t="shared" si="34"/>
        <v>0</v>
      </c>
      <c r="AE28" s="1">
        <f t="shared" si="35"/>
        <v>0</v>
      </c>
      <c r="AF28" s="1">
        <f t="shared" si="36"/>
        <v>0</v>
      </c>
      <c r="AG28" s="1">
        <f t="shared" si="37"/>
        <v>0</v>
      </c>
      <c r="AH28" s="1">
        <f t="shared" si="38"/>
        <v>0</v>
      </c>
      <c r="AI28" s="1">
        <f t="shared" si="39"/>
        <v>0</v>
      </c>
      <c r="AJ28" s="1">
        <f t="shared" si="40"/>
        <v>0</v>
      </c>
      <c r="AK28" s="1">
        <f t="shared" si="41"/>
        <v>0</v>
      </c>
      <c r="AM28" s="1828"/>
      <c r="AN28" s="1828"/>
      <c r="AO28" s="1828"/>
      <c r="AP28" s="1828"/>
      <c r="AQ28" s="1828"/>
      <c r="AR28" s="1828"/>
      <c r="AS28" s="1828"/>
      <c r="AT28" s="1828"/>
      <c r="AU28" s="1828"/>
      <c r="AV28" s="1828"/>
      <c r="AW28" s="1828"/>
      <c r="AX28" s="1828"/>
      <c r="AY28" s="1828"/>
      <c r="BA28" s="2014"/>
      <c r="BB28" s="2014" t="e">
        <f t="shared" si="11"/>
        <v>#REF!</v>
      </c>
      <c r="BC28" s="2014"/>
      <c r="BD28" s="2013" t="e">
        <f>BR28*#REF!</f>
        <v>#REF!</v>
      </c>
      <c r="BE28" s="2013" t="e">
        <f>BS28*#REF!</f>
        <v>#REF!</v>
      </c>
      <c r="BF28" s="2013" t="e">
        <f>BT28*#REF!</f>
        <v>#REF!</v>
      </c>
      <c r="BG28" s="2013" t="e">
        <f>BU28*#REF!</f>
        <v>#REF!</v>
      </c>
      <c r="BH28" s="2226" t="e">
        <f>BV28*#REF!</f>
        <v>#REF!</v>
      </c>
      <c r="BI28" s="2013" t="e">
        <f>BW28*#REF!</f>
        <v>#REF!</v>
      </c>
      <c r="BJ28" s="2013" t="e">
        <f>BX28*#REF!</f>
        <v>#REF!</v>
      </c>
      <c r="BK28" s="2013" t="e">
        <f>BY28*#REF!</f>
        <v>#REF!</v>
      </c>
      <c r="BL28" s="2013" t="e">
        <f>BZ28*#REF!</f>
        <v>#REF!</v>
      </c>
      <c r="BM28" s="2013" t="e">
        <f>CA28*#REF!</f>
        <v>#REF!</v>
      </c>
      <c r="BO28" s="2040" t="str">
        <f t="shared" si="12"/>
        <v>2.1.7</v>
      </c>
      <c r="BP28" s="2040" t="str">
        <f t="shared" si="13"/>
        <v xml:space="preserve"> Q1 2.1</v>
      </c>
      <c r="BQ28" s="829">
        <f t="shared" si="14"/>
        <v>0</v>
      </c>
      <c r="BR28" s="2010">
        <f t="shared" si="15"/>
        <v>0</v>
      </c>
      <c r="BS28" s="2010">
        <f t="shared" si="16"/>
        <v>0</v>
      </c>
      <c r="BT28" s="2010">
        <f t="shared" si="17"/>
        <v>0</v>
      </c>
      <c r="BU28" s="2010">
        <f t="shared" si="18"/>
        <v>0</v>
      </c>
      <c r="BV28" s="2225">
        <f t="shared" si="19"/>
        <v>0</v>
      </c>
      <c r="BW28" s="2010">
        <f t="shared" si="20"/>
        <v>0</v>
      </c>
      <c r="BX28" s="2010">
        <f t="shared" si="21"/>
        <v>0</v>
      </c>
      <c r="BY28" s="2010">
        <f t="shared" si="22"/>
        <v>0</v>
      </c>
      <c r="BZ28" s="2010">
        <f t="shared" si="23"/>
        <v>0</v>
      </c>
      <c r="CA28" s="2010">
        <f t="shared" si="24"/>
        <v>0</v>
      </c>
      <c r="CB28" s="2039">
        <f t="shared" si="25"/>
        <v>0</v>
      </c>
      <c r="CC28" s="2010">
        <f t="shared" si="26"/>
        <v>0</v>
      </c>
      <c r="CD28" s="2010">
        <f t="shared" si="27"/>
        <v>0</v>
      </c>
      <c r="CF28" s="1207" t="s">
        <v>2125</v>
      </c>
      <c r="CG28" s="1211" t="s">
        <v>413</v>
      </c>
      <c r="CH28" s="1208" t="s">
        <v>2126</v>
      </c>
      <c r="CI28" s="1218">
        <v>0.1</v>
      </c>
      <c r="CJ28" s="1218">
        <v>0.2</v>
      </c>
      <c r="CK28" s="1218"/>
      <c r="CL28" s="1218"/>
      <c r="CM28" s="1224"/>
      <c r="CN28" s="1218">
        <v>0.1</v>
      </c>
      <c r="CO28" s="1213">
        <v>0.2</v>
      </c>
      <c r="CP28" s="1218">
        <v>0.1</v>
      </c>
      <c r="CQ28" s="1218">
        <v>0.1</v>
      </c>
      <c r="CR28" s="1218"/>
      <c r="CS28" s="1214"/>
      <c r="CT28" s="1213"/>
      <c r="CU28" s="1213"/>
      <c r="CW28" s="1207" t="s">
        <v>2125</v>
      </c>
      <c r="CX28" s="1211" t="s">
        <v>413</v>
      </c>
      <c r="CY28" s="1208" t="s">
        <v>2126</v>
      </c>
      <c r="CZ28" s="1213"/>
      <c r="DA28" s="1213"/>
      <c r="DB28" s="1213"/>
      <c r="DC28" s="1213"/>
      <c r="DD28" s="1215"/>
      <c r="DE28" s="1213"/>
      <c r="DF28" s="1213"/>
      <c r="DG28" s="1213"/>
      <c r="DH28" s="1213"/>
      <c r="DI28" s="1213"/>
      <c r="DJ28" s="1214"/>
      <c r="DK28" s="1213"/>
      <c r="DL28" s="1213"/>
      <c r="DN28" s="1207" t="s">
        <v>2125</v>
      </c>
      <c r="DO28" s="1211" t="s">
        <v>413</v>
      </c>
      <c r="DP28" s="1208"/>
      <c r="DQ28" s="1213"/>
      <c r="DR28" s="1213"/>
      <c r="DS28" s="1213"/>
      <c r="DT28" s="1213"/>
      <c r="DU28" s="1571"/>
      <c r="DV28" s="1213"/>
      <c r="DW28" s="1213"/>
      <c r="DX28" s="1213"/>
      <c r="DY28" s="1213"/>
      <c r="DZ28" s="1213"/>
      <c r="EA28" s="1214"/>
      <c r="EB28" s="1213"/>
      <c r="EC28" s="1213"/>
      <c r="ED28" s="1469"/>
      <c r="EF28" s="1207" t="s">
        <v>2125</v>
      </c>
      <c r="EG28" s="1211" t="s">
        <v>413</v>
      </c>
      <c r="EH28" s="1208"/>
      <c r="EI28" s="1689">
        <f t="shared" si="49"/>
        <v>0</v>
      </c>
      <c r="EJ28" s="1689">
        <f t="shared" si="50"/>
        <v>0</v>
      </c>
      <c r="EK28" s="1689">
        <f t="shared" si="51"/>
        <v>0</v>
      </c>
      <c r="EL28" s="1689">
        <f t="shared" si="52"/>
        <v>0</v>
      </c>
      <c r="EM28" s="1694">
        <f t="shared" si="53"/>
        <v>0</v>
      </c>
      <c r="EN28" s="1689">
        <f t="shared" si="54"/>
        <v>0</v>
      </c>
      <c r="EO28" s="1689">
        <f t="shared" si="55"/>
        <v>0</v>
      </c>
      <c r="EP28" s="1689">
        <f t="shared" si="56"/>
        <v>0</v>
      </c>
      <c r="EQ28" s="1689">
        <f t="shared" si="57"/>
        <v>0</v>
      </c>
      <c r="ER28" s="1689">
        <f t="shared" si="47"/>
        <v>0</v>
      </c>
      <c r="ES28" s="1691">
        <f t="shared" si="58"/>
        <v>0</v>
      </c>
      <c r="ET28" s="1689">
        <f t="shared" si="59"/>
        <v>0</v>
      </c>
      <c r="EU28" s="1689">
        <f t="shared" si="48"/>
        <v>0</v>
      </c>
      <c r="EW28" s="1207" t="s">
        <v>2125</v>
      </c>
      <c r="EX28" s="1211" t="s">
        <v>413</v>
      </c>
      <c r="EY28" s="1208"/>
      <c r="EZ28" s="1678">
        <f t="shared" si="60"/>
        <v>0</v>
      </c>
      <c r="FA28" s="1678"/>
      <c r="FB28" s="1678"/>
      <c r="FC28" s="1678"/>
      <c r="FD28" s="1797"/>
      <c r="FE28" s="1678"/>
      <c r="FF28" s="1678"/>
      <c r="FG28" s="1678"/>
      <c r="FH28" s="1678"/>
      <c r="FI28" s="1678"/>
      <c r="FJ28" s="1795"/>
      <c r="FK28" s="1678"/>
      <c r="FL28" s="1678"/>
    </row>
    <row r="29" spans="2:168" hidden="1">
      <c r="B29" s="2023" t="str">
        <f t="shared" si="4"/>
        <v>2.1.8</v>
      </c>
      <c r="C29" s="829">
        <f t="shared" si="5"/>
        <v>0</v>
      </c>
      <c r="D29" s="2100" t="e">
        <f t="shared" si="61"/>
        <v>#REF!</v>
      </c>
      <c r="E29" s="2021" t="e">
        <f t="shared" si="61"/>
        <v>#REF!</v>
      </c>
      <c r="G29" s="2021" t="e">
        <f t="shared" si="6"/>
        <v>#REF!</v>
      </c>
      <c r="H29" s="2021" t="e">
        <f t="shared" si="7"/>
        <v>#REF!</v>
      </c>
      <c r="I29" s="2021"/>
      <c r="J29" s="2021"/>
      <c r="K29" s="2021" t="e">
        <f>IF(#REF!=0,0,1)</f>
        <v>#REF!</v>
      </c>
      <c r="L29" s="2021" t="e">
        <f>IF(#REF!=0,0,1)</f>
        <v>#REF!</v>
      </c>
      <c r="M29" s="2021">
        <f t="shared" si="8"/>
        <v>0</v>
      </c>
      <c r="N29" s="2021">
        <f t="shared" si="9"/>
        <v>0</v>
      </c>
      <c r="P29" s="2256"/>
      <c r="Q29" s="2257"/>
      <c r="R29" s="2245">
        <v>8</v>
      </c>
      <c r="S29" s="2244" t="s">
        <v>218</v>
      </c>
      <c r="T29" s="2144"/>
      <c r="U29" s="2017"/>
      <c r="V29" s="2038">
        <f t="shared" si="43"/>
        <v>0</v>
      </c>
      <c r="W29" s="2037">
        <f t="shared" si="44"/>
        <v>0</v>
      </c>
      <c r="Y29" s="1">
        <f t="shared" si="29"/>
        <v>0</v>
      </c>
      <c r="Z29" s="1">
        <f t="shared" si="30"/>
        <v>0</v>
      </c>
      <c r="AA29" s="1">
        <f t="shared" si="31"/>
        <v>0</v>
      </c>
      <c r="AB29" s="1">
        <f t="shared" si="32"/>
        <v>0</v>
      </c>
      <c r="AC29" s="1">
        <f t="shared" si="33"/>
        <v>0</v>
      </c>
      <c r="AD29" s="1">
        <f t="shared" si="34"/>
        <v>0</v>
      </c>
      <c r="AE29" s="1">
        <f t="shared" si="35"/>
        <v>0</v>
      </c>
      <c r="AF29" s="1">
        <f t="shared" si="36"/>
        <v>0</v>
      </c>
      <c r="AG29" s="1">
        <f t="shared" si="37"/>
        <v>0</v>
      </c>
      <c r="AH29" s="1">
        <f t="shared" si="38"/>
        <v>0</v>
      </c>
      <c r="AI29" s="1">
        <f t="shared" si="39"/>
        <v>0</v>
      </c>
      <c r="AJ29" s="1">
        <f t="shared" si="40"/>
        <v>0</v>
      </c>
      <c r="AK29" s="1">
        <f t="shared" si="41"/>
        <v>0</v>
      </c>
      <c r="AM29" s="1828"/>
      <c r="AN29" s="1828"/>
      <c r="AO29" s="1828"/>
      <c r="AP29" s="1828"/>
      <c r="AQ29" s="1828"/>
      <c r="AR29" s="1828"/>
      <c r="AS29" s="1828"/>
      <c r="AT29" s="1828"/>
      <c r="AU29" s="1828"/>
      <c r="AV29" s="1828"/>
      <c r="AW29" s="1828"/>
      <c r="AX29" s="1828"/>
      <c r="AY29" s="1828"/>
      <c r="BA29" s="2014"/>
      <c r="BB29" s="2014" t="e">
        <f t="shared" si="11"/>
        <v>#REF!</v>
      </c>
      <c r="BC29" s="2014"/>
      <c r="BD29" s="2013" t="e">
        <f>BR29*#REF!</f>
        <v>#REF!</v>
      </c>
      <c r="BE29" s="2013" t="e">
        <f>BS29*#REF!</f>
        <v>#REF!</v>
      </c>
      <c r="BF29" s="2013" t="e">
        <f>BT29*#REF!</f>
        <v>#REF!</v>
      </c>
      <c r="BG29" s="2013" t="e">
        <f>BU29*#REF!</f>
        <v>#REF!</v>
      </c>
      <c r="BH29" s="2226" t="e">
        <f>BV29*#REF!</f>
        <v>#REF!</v>
      </c>
      <c r="BI29" s="2013" t="e">
        <f>BW29*#REF!</f>
        <v>#REF!</v>
      </c>
      <c r="BJ29" s="2013" t="e">
        <f>BX29*#REF!</f>
        <v>#REF!</v>
      </c>
      <c r="BK29" s="2013" t="e">
        <f>BY29*#REF!</f>
        <v>#REF!</v>
      </c>
      <c r="BL29" s="2013" t="e">
        <f>BZ29*#REF!</f>
        <v>#REF!</v>
      </c>
      <c r="BM29" s="2013" t="e">
        <f>CA29*#REF!</f>
        <v>#REF!</v>
      </c>
      <c r="BO29" s="2040" t="str">
        <f t="shared" si="12"/>
        <v>2.1.8</v>
      </c>
      <c r="BP29" s="2040" t="str">
        <f t="shared" si="13"/>
        <v xml:space="preserve"> Q1 2.1</v>
      </c>
      <c r="BQ29" s="829">
        <f t="shared" si="14"/>
        <v>0</v>
      </c>
      <c r="BR29" s="2010">
        <f t="shared" si="15"/>
        <v>0</v>
      </c>
      <c r="BS29" s="2010">
        <f t="shared" si="16"/>
        <v>0</v>
      </c>
      <c r="BT29" s="2010">
        <f t="shared" si="17"/>
        <v>0</v>
      </c>
      <c r="BU29" s="2010">
        <f t="shared" si="18"/>
        <v>0</v>
      </c>
      <c r="BV29" s="2225">
        <f t="shared" si="19"/>
        <v>0</v>
      </c>
      <c r="BW29" s="2010">
        <f t="shared" si="20"/>
        <v>0</v>
      </c>
      <c r="BX29" s="2010">
        <f t="shared" si="21"/>
        <v>0</v>
      </c>
      <c r="BY29" s="2010">
        <f t="shared" si="22"/>
        <v>0</v>
      </c>
      <c r="BZ29" s="2010">
        <f t="shared" si="23"/>
        <v>0</v>
      </c>
      <c r="CA29" s="2010">
        <f t="shared" si="24"/>
        <v>0</v>
      </c>
      <c r="CB29" s="2039">
        <f t="shared" si="25"/>
        <v>0</v>
      </c>
      <c r="CC29" s="2010">
        <f t="shared" si="26"/>
        <v>0</v>
      </c>
      <c r="CD29" s="2010">
        <f t="shared" si="27"/>
        <v>0</v>
      </c>
      <c r="CF29" s="1207" t="s">
        <v>2127</v>
      </c>
      <c r="CG29" s="1211" t="s">
        <v>413</v>
      </c>
      <c r="CH29" s="1208" t="s">
        <v>2128</v>
      </c>
      <c r="CI29" s="1218"/>
      <c r="CJ29" s="1218"/>
      <c r="CK29" s="1218">
        <v>0.1</v>
      </c>
      <c r="CL29" s="1218">
        <v>0.1</v>
      </c>
      <c r="CM29" s="1224"/>
      <c r="CN29" s="1218"/>
      <c r="CO29" s="1213">
        <v>0</v>
      </c>
      <c r="CP29" s="1218"/>
      <c r="CQ29" s="1218"/>
      <c r="CR29" s="1218"/>
      <c r="CS29" s="1214"/>
      <c r="CT29" s="1213"/>
      <c r="CU29" s="1213"/>
      <c r="CW29" s="1207" t="s">
        <v>2127</v>
      </c>
      <c r="CX29" s="1211" t="s">
        <v>413</v>
      </c>
      <c r="CY29" s="1208" t="s">
        <v>2128</v>
      </c>
      <c r="CZ29" s="1213"/>
      <c r="DA29" s="1213"/>
      <c r="DB29" s="1213"/>
      <c r="DC29" s="1213"/>
      <c r="DD29" s="1215"/>
      <c r="DE29" s="1213"/>
      <c r="DF29" s="1213"/>
      <c r="DG29" s="1213"/>
      <c r="DH29" s="1213"/>
      <c r="DI29" s="1213"/>
      <c r="DJ29" s="1214"/>
      <c r="DK29" s="1213"/>
      <c r="DL29" s="1213"/>
      <c r="DN29" s="1207" t="s">
        <v>2127</v>
      </c>
      <c r="DO29" s="1211" t="s">
        <v>413</v>
      </c>
      <c r="DP29" s="1208"/>
      <c r="DQ29" s="1213"/>
      <c r="DR29" s="1213"/>
      <c r="DS29" s="1213"/>
      <c r="DT29" s="1213"/>
      <c r="DU29" s="1571"/>
      <c r="DV29" s="1213"/>
      <c r="DW29" s="1213"/>
      <c r="DX29" s="1213"/>
      <c r="DY29" s="1213"/>
      <c r="DZ29" s="1213"/>
      <c r="EA29" s="1214"/>
      <c r="EB29" s="1213"/>
      <c r="EC29" s="1213"/>
      <c r="ED29" s="1469"/>
      <c r="EF29" s="1207" t="s">
        <v>2127</v>
      </c>
      <c r="EG29" s="1211" t="s">
        <v>413</v>
      </c>
      <c r="EH29" s="1208"/>
      <c r="EI29" s="1689">
        <f t="shared" si="49"/>
        <v>0</v>
      </c>
      <c r="EJ29" s="1689">
        <f t="shared" si="50"/>
        <v>0</v>
      </c>
      <c r="EK29" s="1689">
        <f t="shared" si="51"/>
        <v>0</v>
      </c>
      <c r="EL29" s="1689">
        <f t="shared" si="52"/>
        <v>0</v>
      </c>
      <c r="EM29" s="1694">
        <f t="shared" si="53"/>
        <v>0</v>
      </c>
      <c r="EN29" s="1689">
        <f t="shared" si="54"/>
        <v>0</v>
      </c>
      <c r="EO29" s="1689">
        <f t="shared" si="55"/>
        <v>0</v>
      </c>
      <c r="EP29" s="1689">
        <f t="shared" si="56"/>
        <v>0</v>
      </c>
      <c r="EQ29" s="1689">
        <f t="shared" si="57"/>
        <v>0</v>
      </c>
      <c r="ER29" s="1689">
        <f t="shared" si="47"/>
        <v>0</v>
      </c>
      <c r="ES29" s="1691">
        <f t="shared" si="58"/>
        <v>0</v>
      </c>
      <c r="ET29" s="1689">
        <f t="shared" si="59"/>
        <v>0</v>
      </c>
      <c r="EU29" s="1689">
        <f t="shared" si="48"/>
        <v>0</v>
      </c>
      <c r="EW29" s="1207" t="s">
        <v>2127</v>
      </c>
      <c r="EX29" s="1211" t="s">
        <v>413</v>
      </c>
      <c r="EY29" s="1208"/>
      <c r="EZ29" s="1678">
        <f t="shared" si="60"/>
        <v>0</v>
      </c>
      <c r="FA29" s="1678"/>
      <c r="FB29" s="1678"/>
      <c r="FC29" s="1678"/>
      <c r="FD29" s="1797"/>
      <c r="FE29" s="1678"/>
      <c r="FF29" s="1678"/>
      <c r="FG29" s="1678"/>
      <c r="FH29" s="1678"/>
      <c r="FI29" s="1678"/>
      <c r="FJ29" s="1795"/>
      <c r="FK29" s="1678"/>
      <c r="FL29" s="1678"/>
    </row>
    <row r="30" spans="2:168">
      <c r="B30" s="2023">
        <f t="shared" si="4"/>
        <v>2.2000000000000002</v>
      </c>
      <c r="C30" s="829" t="str">
        <f t="shared" si="5"/>
        <v>湿度制御</v>
      </c>
      <c r="D30" s="2022" t="e">
        <f t="shared" ref="D30:E32" si="62">IF(I$20=0,0,G30/I$20)</f>
        <v>#REF!</v>
      </c>
      <c r="E30" s="2021" t="e">
        <f t="shared" si="62"/>
        <v>#REF!</v>
      </c>
      <c r="G30" s="2021" t="e">
        <f t="shared" si="6"/>
        <v>#REF!</v>
      </c>
      <c r="H30" s="2021" t="e">
        <f t="shared" si="7"/>
        <v>#REF!</v>
      </c>
      <c r="I30" s="2021"/>
      <c r="J30" s="2021"/>
      <c r="K30" s="2021" t="e">
        <f>IF(#REF!=0,0,1)</f>
        <v>#REF!</v>
      </c>
      <c r="L30" s="2021" t="e">
        <f>IF(#REF!=0,0,1)</f>
        <v>#REF!</v>
      </c>
      <c r="M30" s="2021">
        <f t="shared" si="8"/>
        <v>0.2</v>
      </c>
      <c r="N30" s="2021">
        <f t="shared" si="9"/>
        <v>0</v>
      </c>
      <c r="P30" s="2214"/>
      <c r="Q30" s="2069">
        <v>2.2000000000000002</v>
      </c>
      <c r="R30" s="1655" t="s">
        <v>219</v>
      </c>
      <c r="S30" s="2036"/>
      <c r="T30" s="2036"/>
      <c r="U30" s="2017"/>
      <c r="V30" s="2038">
        <f t="shared" si="43"/>
        <v>0</v>
      </c>
      <c r="W30" s="2037">
        <f t="shared" si="44"/>
        <v>0</v>
      </c>
      <c r="Y30" s="1">
        <f t="shared" si="29"/>
        <v>0</v>
      </c>
      <c r="Z30" s="1">
        <f t="shared" si="30"/>
        <v>0</v>
      </c>
      <c r="AA30" s="1">
        <f t="shared" si="31"/>
        <v>0</v>
      </c>
      <c r="AB30" s="1">
        <f t="shared" si="32"/>
        <v>0</v>
      </c>
      <c r="AC30" s="1">
        <f t="shared" si="33"/>
        <v>0</v>
      </c>
      <c r="AD30" s="1">
        <f t="shared" si="34"/>
        <v>0</v>
      </c>
      <c r="AE30" s="1">
        <f t="shared" si="35"/>
        <v>0</v>
      </c>
      <c r="AF30" s="1">
        <f t="shared" si="36"/>
        <v>0</v>
      </c>
      <c r="AG30" s="1">
        <f t="shared" si="37"/>
        <v>0</v>
      </c>
      <c r="AH30" s="1">
        <f t="shared" si="38"/>
        <v>0</v>
      </c>
      <c r="AI30" s="1">
        <f t="shared" si="39"/>
        <v>0</v>
      </c>
      <c r="AJ30" s="1">
        <f t="shared" si="40"/>
        <v>0</v>
      </c>
      <c r="AK30" s="1">
        <f t="shared" si="41"/>
        <v>0</v>
      </c>
      <c r="AM30" s="1830"/>
      <c r="AN30" s="1830"/>
      <c r="AO30" s="1830"/>
      <c r="AP30" s="1830"/>
      <c r="AQ30" s="1830"/>
      <c r="AR30" s="1830"/>
      <c r="AS30" s="1830"/>
      <c r="AT30" s="1830"/>
      <c r="AU30" s="1830"/>
      <c r="AV30" s="1830"/>
      <c r="AW30" s="1830"/>
      <c r="AX30" s="1830"/>
      <c r="AY30" s="1830"/>
      <c r="BA30" s="2014"/>
      <c r="BB30" s="2014" t="e">
        <f t="shared" si="11"/>
        <v>#REF!</v>
      </c>
      <c r="BC30" s="2014"/>
      <c r="BD30" s="2013" t="e">
        <f>BR30*#REF!</f>
        <v>#REF!</v>
      </c>
      <c r="BE30" s="2013" t="e">
        <f>BS30*#REF!</f>
        <v>#REF!</v>
      </c>
      <c r="BF30" s="2013" t="e">
        <f>BT30*#REF!</f>
        <v>#REF!</v>
      </c>
      <c r="BG30" s="2013" t="e">
        <f>BU30*#REF!</f>
        <v>#REF!</v>
      </c>
      <c r="BH30" s="2226" t="e">
        <f>BV30*#REF!</f>
        <v>#REF!</v>
      </c>
      <c r="BI30" s="2013" t="e">
        <f>BW30*#REF!</f>
        <v>#REF!</v>
      </c>
      <c r="BJ30" s="2013" t="e">
        <f>BX30*#REF!</f>
        <v>#REF!</v>
      </c>
      <c r="BK30" s="2013" t="e">
        <f>BY30*#REF!</f>
        <v>#REF!</v>
      </c>
      <c r="BL30" s="2013" t="e">
        <f>BZ30*#REF!</f>
        <v>#REF!</v>
      </c>
      <c r="BM30" s="2013" t="e">
        <f>CA30*#REF!</f>
        <v>#REF!</v>
      </c>
      <c r="BO30" s="2040">
        <f t="shared" si="12"/>
        <v>2.2000000000000002</v>
      </c>
      <c r="BP30" s="2040" t="str">
        <f t="shared" si="13"/>
        <v xml:space="preserve"> Q1 2</v>
      </c>
      <c r="BQ30" s="829" t="str">
        <f t="shared" si="14"/>
        <v>湿度制御</v>
      </c>
      <c r="BR30" s="2010">
        <f t="shared" si="15"/>
        <v>0.2</v>
      </c>
      <c r="BS30" s="2010">
        <f t="shared" si="16"/>
        <v>0.2</v>
      </c>
      <c r="BT30" s="2010">
        <f t="shared" si="17"/>
        <v>0.2</v>
      </c>
      <c r="BU30" s="2010">
        <f t="shared" si="18"/>
        <v>0.2</v>
      </c>
      <c r="BV30" s="2225">
        <f t="shared" si="19"/>
        <v>0.2</v>
      </c>
      <c r="BW30" s="2010">
        <f t="shared" si="20"/>
        <v>0.2</v>
      </c>
      <c r="BX30" s="2010">
        <f t="shared" si="21"/>
        <v>0.2</v>
      </c>
      <c r="BY30" s="2010">
        <f t="shared" si="22"/>
        <v>0.2</v>
      </c>
      <c r="BZ30" s="2010">
        <f t="shared" si="23"/>
        <v>0.2</v>
      </c>
      <c r="CA30" s="2010">
        <f t="shared" si="24"/>
        <v>0.2</v>
      </c>
      <c r="CB30" s="2039">
        <f t="shared" si="25"/>
        <v>0.2</v>
      </c>
      <c r="CC30" s="2010">
        <f t="shared" si="26"/>
        <v>0.2</v>
      </c>
      <c r="CD30" s="2010">
        <f t="shared" si="27"/>
        <v>0.2</v>
      </c>
      <c r="CF30" s="1207">
        <v>2.2000000000000002</v>
      </c>
      <c r="CG30" s="1211" t="s">
        <v>801</v>
      </c>
      <c r="CH30" s="1208" t="s">
        <v>219</v>
      </c>
      <c r="CI30" s="1209">
        <v>0.2</v>
      </c>
      <c r="CJ30" s="1209">
        <v>0.2</v>
      </c>
      <c r="CK30" s="1209">
        <v>0.2</v>
      </c>
      <c r="CL30" s="1209">
        <v>0.2</v>
      </c>
      <c r="CM30" s="1223">
        <v>0.2</v>
      </c>
      <c r="CN30" s="1209">
        <v>0.2</v>
      </c>
      <c r="CO30" s="1213">
        <v>0.2</v>
      </c>
      <c r="CP30" s="1209">
        <v>0.2</v>
      </c>
      <c r="CQ30" s="1209">
        <v>0.2</v>
      </c>
      <c r="CR30" s="1209">
        <v>0.2</v>
      </c>
      <c r="CS30" s="1214"/>
      <c r="CT30" s="1213"/>
      <c r="CU30" s="1213"/>
      <c r="CW30" s="1207">
        <v>2.2000000000000002</v>
      </c>
      <c r="CX30" s="1211" t="s">
        <v>801</v>
      </c>
      <c r="CY30" s="1208" t="s">
        <v>219</v>
      </c>
      <c r="CZ30" s="1213">
        <v>0.2</v>
      </c>
      <c r="DA30" s="1213">
        <v>0.2</v>
      </c>
      <c r="DB30" s="1213">
        <v>0.2</v>
      </c>
      <c r="DC30" s="1213">
        <v>0.2</v>
      </c>
      <c r="DD30" s="1215">
        <v>0.2</v>
      </c>
      <c r="DE30" s="1213">
        <v>0.2</v>
      </c>
      <c r="DF30" s="1213">
        <v>0.2</v>
      </c>
      <c r="DG30" s="1213">
        <v>0.2</v>
      </c>
      <c r="DH30" s="1213">
        <v>0.2</v>
      </c>
      <c r="DI30" s="1213">
        <v>0.2</v>
      </c>
      <c r="DJ30" s="1214">
        <v>0.2</v>
      </c>
      <c r="DK30" s="1213">
        <v>0.2</v>
      </c>
      <c r="DL30" s="1213">
        <v>0.2</v>
      </c>
      <c r="DN30" s="1207">
        <v>2.2000000000000002</v>
      </c>
      <c r="DO30" s="1211" t="s">
        <v>801</v>
      </c>
      <c r="DP30" s="1208" t="s">
        <v>219</v>
      </c>
      <c r="DQ30" s="1213">
        <v>0.2</v>
      </c>
      <c r="DR30" s="1213">
        <v>0.2</v>
      </c>
      <c r="DS30" s="1213">
        <v>0.2</v>
      </c>
      <c r="DT30" s="1213">
        <v>0.2</v>
      </c>
      <c r="DU30" s="1571">
        <v>0.2</v>
      </c>
      <c r="DV30" s="1213">
        <v>0.2</v>
      </c>
      <c r="DW30" s="1213">
        <v>0.2</v>
      </c>
      <c r="DX30" s="1213">
        <v>0.2</v>
      </c>
      <c r="DY30" s="1213">
        <v>0.2</v>
      </c>
      <c r="DZ30" s="1213">
        <v>0.2</v>
      </c>
      <c r="EA30" s="1214">
        <v>0.2</v>
      </c>
      <c r="EB30" s="1213">
        <v>0.2</v>
      </c>
      <c r="EC30" s="1213">
        <v>0.2</v>
      </c>
      <c r="ED30" s="1469"/>
      <c r="EF30" s="1207">
        <v>2.2000000000000002</v>
      </c>
      <c r="EG30" s="1211" t="s">
        <v>801</v>
      </c>
      <c r="EH30" s="1208" t="s">
        <v>219</v>
      </c>
      <c r="EI30" s="1689">
        <f t="shared" si="49"/>
        <v>0.2</v>
      </c>
      <c r="EJ30" s="1689">
        <f t="shared" si="50"/>
        <v>0.2</v>
      </c>
      <c r="EK30" s="1689">
        <f t="shared" si="51"/>
        <v>0.2</v>
      </c>
      <c r="EL30" s="1689">
        <f t="shared" si="52"/>
        <v>0.2</v>
      </c>
      <c r="EM30" s="1694">
        <f t="shared" si="53"/>
        <v>0.2</v>
      </c>
      <c r="EN30" s="1689">
        <f t="shared" si="54"/>
        <v>0.2</v>
      </c>
      <c r="EO30" s="1689">
        <f t="shared" si="55"/>
        <v>0.2</v>
      </c>
      <c r="EP30" s="1689">
        <f t="shared" si="56"/>
        <v>0.2</v>
      </c>
      <c r="EQ30" s="1689">
        <f t="shared" si="57"/>
        <v>0.2</v>
      </c>
      <c r="ER30" s="1689">
        <f t="shared" si="47"/>
        <v>0.2</v>
      </c>
      <c r="ES30" s="1691">
        <f t="shared" si="58"/>
        <v>0.2</v>
      </c>
      <c r="ET30" s="1689">
        <f t="shared" si="59"/>
        <v>0.2</v>
      </c>
      <c r="EU30" s="1689">
        <f t="shared" si="48"/>
        <v>0.2</v>
      </c>
      <c r="EW30" s="1207">
        <v>2.2000000000000002</v>
      </c>
      <c r="EX30" s="1211" t="s">
        <v>801</v>
      </c>
      <c r="EY30" s="1208" t="s">
        <v>219</v>
      </c>
      <c r="EZ30" s="1678">
        <f t="shared" si="60"/>
        <v>0.2</v>
      </c>
      <c r="FA30" s="1678"/>
      <c r="FB30" s="1678"/>
      <c r="FC30" s="1678"/>
      <c r="FD30" s="1797"/>
      <c r="FE30" s="1678"/>
      <c r="FF30" s="1678"/>
      <c r="FG30" s="1678"/>
      <c r="FH30" s="1678"/>
      <c r="FI30" s="1678"/>
      <c r="FJ30" s="1795"/>
      <c r="FK30" s="1678"/>
      <c r="FL30" s="1678"/>
    </row>
    <row r="31" spans="2:168" ht="14.25" thickBot="1">
      <c r="B31" s="2023">
        <f t="shared" si="4"/>
        <v>2.2999999999999998</v>
      </c>
      <c r="C31" s="829" t="str">
        <f t="shared" si="5"/>
        <v>空調方式（新築）</v>
      </c>
      <c r="D31" s="2022" t="e">
        <f t="shared" si="62"/>
        <v>#REF!</v>
      </c>
      <c r="E31" s="2021" t="e">
        <f t="shared" si="62"/>
        <v>#REF!</v>
      </c>
      <c r="G31" s="2021" t="e">
        <f t="shared" si="6"/>
        <v>#REF!</v>
      </c>
      <c r="H31" s="2021" t="e">
        <f t="shared" si="7"/>
        <v>#REF!</v>
      </c>
      <c r="I31" s="2021"/>
      <c r="J31" s="2021"/>
      <c r="K31" s="2021" t="e">
        <f>IF(#REF!=0,0,1)</f>
        <v>#REF!</v>
      </c>
      <c r="L31" s="2021" t="e">
        <f>IF(#REF!=0,0,1)</f>
        <v>#REF!</v>
      </c>
      <c r="M31" s="2021">
        <f t="shared" si="8"/>
        <v>0.3</v>
      </c>
      <c r="N31" s="2021">
        <f t="shared" si="9"/>
        <v>0</v>
      </c>
      <c r="P31" s="2214"/>
      <c r="Q31" s="2068">
        <v>2.2999999999999998</v>
      </c>
      <c r="R31" s="2107" t="s">
        <v>220</v>
      </c>
      <c r="S31" s="2106"/>
      <c r="T31" s="2106"/>
      <c r="U31" s="2017"/>
      <c r="V31" s="2016">
        <f t="shared" si="43"/>
        <v>0</v>
      </c>
      <c r="W31" s="2015">
        <f t="shared" si="44"/>
        <v>0</v>
      </c>
      <c r="Y31" s="1">
        <f t="shared" si="29"/>
        <v>0</v>
      </c>
      <c r="Z31" s="1">
        <f t="shared" si="30"/>
        <v>0</v>
      </c>
      <c r="AA31" s="1">
        <f t="shared" si="31"/>
        <v>0</v>
      </c>
      <c r="AB31" s="1">
        <f t="shared" si="32"/>
        <v>0</v>
      </c>
      <c r="AC31" s="1">
        <f t="shared" si="33"/>
        <v>0</v>
      </c>
      <c r="AD31" s="1">
        <f t="shared" si="34"/>
        <v>0</v>
      </c>
      <c r="AE31" s="1">
        <f t="shared" si="35"/>
        <v>0</v>
      </c>
      <c r="AF31" s="1">
        <f t="shared" si="36"/>
        <v>0</v>
      </c>
      <c r="AG31" s="1">
        <f t="shared" si="37"/>
        <v>0</v>
      </c>
      <c r="AH31" s="1">
        <f t="shared" si="38"/>
        <v>0</v>
      </c>
      <c r="AI31" s="1">
        <f t="shared" si="39"/>
        <v>0</v>
      </c>
      <c r="AJ31" s="1">
        <f t="shared" si="40"/>
        <v>0</v>
      </c>
      <c r="AK31" s="1">
        <f t="shared" si="41"/>
        <v>0</v>
      </c>
      <c r="AM31" s="1829"/>
      <c r="AN31" s="1829"/>
      <c r="AO31" s="1829"/>
      <c r="AP31" s="1829"/>
      <c r="AQ31" s="1829"/>
      <c r="AR31" s="1829"/>
      <c r="AS31" s="1829"/>
      <c r="AT31" s="1829"/>
      <c r="AU31" s="1829"/>
      <c r="AV31" s="1829"/>
      <c r="AW31" s="1829"/>
      <c r="AX31" s="1829"/>
      <c r="AY31" s="1829"/>
      <c r="BA31" s="2014"/>
      <c r="BB31" s="2014" t="e">
        <f t="shared" si="11"/>
        <v>#REF!</v>
      </c>
      <c r="BC31" s="2014"/>
      <c r="BD31" s="2013" t="e">
        <f>BR31*#REF!</f>
        <v>#REF!</v>
      </c>
      <c r="BE31" s="2013" t="e">
        <f>BS31*#REF!</f>
        <v>#REF!</v>
      </c>
      <c r="BF31" s="2013" t="e">
        <f>BT31*#REF!</f>
        <v>#REF!</v>
      </c>
      <c r="BG31" s="2013" t="e">
        <f>BU31*#REF!</f>
        <v>#REF!</v>
      </c>
      <c r="BH31" s="2226" t="e">
        <f>BV31*#REF!</f>
        <v>#REF!</v>
      </c>
      <c r="BI31" s="2013" t="e">
        <f>BW31*#REF!</f>
        <v>#REF!</v>
      </c>
      <c r="BJ31" s="2013" t="e">
        <f>BX31*#REF!</f>
        <v>#REF!</v>
      </c>
      <c r="BK31" s="2013" t="e">
        <f>BY31*#REF!</f>
        <v>#REF!</v>
      </c>
      <c r="BL31" s="2013" t="e">
        <f>BZ31*#REF!</f>
        <v>#REF!</v>
      </c>
      <c r="BM31" s="2013" t="e">
        <f>CA31*#REF!</f>
        <v>#REF!</v>
      </c>
      <c r="BO31" s="2040">
        <f t="shared" si="12"/>
        <v>2.2999999999999998</v>
      </c>
      <c r="BP31" s="2040" t="str">
        <f t="shared" si="13"/>
        <v xml:space="preserve"> Q1 2</v>
      </c>
      <c r="BQ31" s="829" t="str">
        <f t="shared" si="14"/>
        <v>空調方式（新築）</v>
      </c>
      <c r="BR31" s="2010">
        <f t="shared" si="15"/>
        <v>0.3</v>
      </c>
      <c r="BS31" s="2010">
        <f t="shared" si="16"/>
        <v>0.3</v>
      </c>
      <c r="BT31" s="2010">
        <f t="shared" si="17"/>
        <v>0.3</v>
      </c>
      <c r="BU31" s="2010">
        <f t="shared" si="18"/>
        <v>0.3</v>
      </c>
      <c r="BV31" s="2225">
        <f t="shared" si="19"/>
        <v>0.3</v>
      </c>
      <c r="BW31" s="2010">
        <f t="shared" si="20"/>
        <v>0.3</v>
      </c>
      <c r="BX31" s="2010">
        <f t="shared" si="21"/>
        <v>0.3</v>
      </c>
      <c r="BY31" s="2010">
        <f t="shared" si="22"/>
        <v>0.3</v>
      </c>
      <c r="BZ31" s="2010">
        <f t="shared" si="23"/>
        <v>0.3</v>
      </c>
      <c r="CA31" s="2010">
        <f t="shared" si="24"/>
        <v>0.3</v>
      </c>
      <c r="CB31" s="2039">
        <f t="shared" si="25"/>
        <v>0.3</v>
      </c>
      <c r="CC31" s="2010">
        <f t="shared" si="26"/>
        <v>0.3</v>
      </c>
      <c r="CD31" s="2010">
        <f t="shared" si="27"/>
        <v>0.3</v>
      </c>
      <c r="CF31" s="1207">
        <v>2.2999999999999998</v>
      </c>
      <c r="CG31" s="1211" t="s">
        <v>801</v>
      </c>
      <c r="CH31" s="1208"/>
      <c r="CI31" s="1209"/>
      <c r="CJ31" s="1209"/>
      <c r="CK31" s="1209"/>
      <c r="CL31" s="1209"/>
      <c r="CM31" s="1223"/>
      <c r="CN31" s="1209"/>
      <c r="CO31" s="1226"/>
      <c r="CP31" s="1209"/>
      <c r="CQ31" s="1209"/>
      <c r="CR31" s="1209"/>
      <c r="CS31" s="1214"/>
      <c r="CT31" s="1213"/>
      <c r="CU31" s="1213"/>
      <c r="CW31" s="1207">
        <v>2.2999999999999998</v>
      </c>
      <c r="CX31" s="1211" t="s">
        <v>801</v>
      </c>
      <c r="CY31" s="1208" t="s">
        <v>220</v>
      </c>
      <c r="CZ31" s="1213">
        <v>0.3</v>
      </c>
      <c r="DA31" s="1213">
        <v>0.3</v>
      </c>
      <c r="DB31" s="1213">
        <v>0.3</v>
      </c>
      <c r="DC31" s="1213">
        <v>0.3</v>
      </c>
      <c r="DD31" s="1215">
        <v>0.3</v>
      </c>
      <c r="DE31" s="1213">
        <v>0.3</v>
      </c>
      <c r="DF31" s="1213">
        <v>0.3</v>
      </c>
      <c r="DG31" s="1213">
        <v>0.3</v>
      </c>
      <c r="DH31" s="1213">
        <v>0.3</v>
      </c>
      <c r="DI31" s="1213">
        <v>0.3</v>
      </c>
      <c r="DJ31" s="1214">
        <v>0.3</v>
      </c>
      <c r="DK31" s="1213">
        <v>0.3</v>
      </c>
      <c r="DL31" s="1213">
        <v>0.3</v>
      </c>
      <c r="DN31" s="1207">
        <v>2.2999999999999998</v>
      </c>
      <c r="DO31" s="1211" t="s">
        <v>801</v>
      </c>
      <c r="DP31" s="1208" t="s">
        <v>2947</v>
      </c>
      <c r="DQ31" s="1213">
        <v>0.3</v>
      </c>
      <c r="DR31" s="1213">
        <v>0.3</v>
      </c>
      <c r="DS31" s="1213">
        <v>0.3</v>
      </c>
      <c r="DT31" s="1213">
        <v>0.3</v>
      </c>
      <c r="DU31" s="1571">
        <v>0.3</v>
      </c>
      <c r="DV31" s="1213">
        <v>0.3</v>
      </c>
      <c r="DW31" s="1213">
        <v>0.3</v>
      </c>
      <c r="DX31" s="1213">
        <v>0.3</v>
      </c>
      <c r="DY31" s="1213">
        <v>0.3</v>
      </c>
      <c r="DZ31" s="1213">
        <v>0.3</v>
      </c>
      <c r="EA31" s="1214">
        <v>0.3</v>
      </c>
      <c r="EB31" s="1213">
        <v>0.3</v>
      </c>
      <c r="EC31" s="1213">
        <v>0.3</v>
      </c>
      <c r="ED31" s="1469"/>
      <c r="EF31" s="1207">
        <v>2.2999999999999998</v>
      </c>
      <c r="EG31" s="1211" t="s">
        <v>801</v>
      </c>
      <c r="EH31" s="1208" t="s">
        <v>220</v>
      </c>
      <c r="EI31" s="1689">
        <f t="shared" si="49"/>
        <v>0.3</v>
      </c>
      <c r="EJ31" s="1689">
        <f t="shared" si="50"/>
        <v>0.3</v>
      </c>
      <c r="EK31" s="1689">
        <f t="shared" si="51"/>
        <v>0.3</v>
      </c>
      <c r="EL31" s="1689">
        <f t="shared" si="52"/>
        <v>0.3</v>
      </c>
      <c r="EM31" s="1694">
        <f t="shared" si="53"/>
        <v>0.3</v>
      </c>
      <c r="EN31" s="1689">
        <f t="shared" si="54"/>
        <v>0.3</v>
      </c>
      <c r="EO31" s="1689">
        <f t="shared" si="55"/>
        <v>0.3</v>
      </c>
      <c r="EP31" s="1689">
        <f t="shared" si="56"/>
        <v>0.3</v>
      </c>
      <c r="EQ31" s="1689">
        <f t="shared" si="57"/>
        <v>0.3</v>
      </c>
      <c r="ER31" s="1689">
        <f t="shared" si="47"/>
        <v>0.3</v>
      </c>
      <c r="ES31" s="1691">
        <f t="shared" si="58"/>
        <v>0.3</v>
      </c>
      <c r="ET31" s="1689">
        <f t="shared" si="59"/>
        <v>0.3</v>
      </c>
      <c r="EU31" s="1689">
        <f t="shared" si="48"/>
        <v>0.3</v>
      </c>
      <c r="EW31" s="1207">
        <v>2.2999999999999998</v>
      </c>
      <c r="EX31" s="1211" t="s">
        <v>801</v>
      </c>
      <c r="EY31" s="1208" t="s">
        <v>220</v>
      </c>
      <c r="EZ31" s="1678">
        <f t="shared" si="60"/>
        <v>0.3</v>
      </c>
      <c r="FA31" s="1678"/>
      <c r="FB31" s="1678"/>
      <c r="FC31" s="1678"/>
      <c r="FD31" s="1797"/>
      <c r="FE31" s="1678"/>
      <c r="FF31" s="1678"/>
      <c r="FG31" s="1678"/>
      <c r="FH31" s="1678"/>
      <c r="FI31" s="1678"/>
      <c r="FJ31" s="1795"/>
      <c r="FK31" s="1678"/>
      <c r="FL31" s="1678"/>
    </row>
    <row r="32" spans="2:168" hidden="1">
      <c r="B32" s="2023">
        <f t="shared" si="4"/>
        <v>2.2999999999999998</v>
      </c>
      <c r="C32" s="829">
        <f t="shared" si="5"/>
        <v>0</v>
      </c>
      <c r="D32" s="2022" t="e">
        <f t="shared" si="62"/>
        <v>#REF!</v>
      </c>
      <c r="E32" s="2021" t="e">
        <f t="shared" si="62"/>
        <v>#REF!</v>
      </c>
      <c r="G32" s="2021" t="e">
        <f t="shared" si="6"/>
        <v>#REF!</v>
      </c>
      <c r="H32" s="2021" t="e">
        <f t="shared" si="7"/>
        <v>#REF!</v>
      </c>
      <c r="I32" s="2021" t="e">
        <f>SUM(G33:G34)</f>
        <v>#REF!</v>
      </c>
      <c r="J32" s="2021" t="e">
        <f>SUM(H33:H34)</f>
        <v>#REF!</v>
      </c>
      <c r="K32" s="2021" t="e">
        <f>IF(#REF!=0,0,1)</f>
        <v>#REF!</v>
      </c>
      <c r="L32" s="2021" t="e">
        <f>IF(#REF!=0,0,1)</f>
        <v>#REF!</v>
      </c>
      <c r="M32" s="2021">
        <f t="shared" si="8"/>
        <v>0</v>
      </c>
      <c r="N32" s="2021">
        <f t="shared" si="9"/>
        <v>0</v>
      </c>
      <c r="P32" s="2214"/>
      <c r="Q32" s="2277">
        <v>2.2999999999999998</v>
      </c>
      <c r="R32" s="2217" t="s">
        <v>220</v>
      </c>
      <c r="S32" s="2036"/>
      <c r="T32" s="2036"/>
      <c r="U32" s="2017"/>
      <c r="V32" s="2276">
        <f t="shared" si="43"/>
        <v>0</v>
      </c>
      <c r="W32" s="2275">
        <f t="shared" si="44"/>
        <v>0</v>
      </c>
      <c r="Y32" s="1">
        <f t="shared" si="29"/>
        <v>0</v>
      </c>
      <c r="Z32" s="1">
        <f t="shared" si="30"/>
        <v>0</v>
      </c>
      <c r="AA32" s="1">
        <f t="shared" si="31"/>
        <v>0</v>
      </c>
      <c r="AB32" s="1">
        <f t="shared" si="32"/>
        <v>0</v>
      </c>
      <c r="AC32" s="1">
        <f t="shared" si="33"/>
        <v>0</v>
      </c>
      <c r="AD32" s="1">
        <f t="shared" si="34"/>
        <v>0</v>
      </c>
      <c r="AE32" s="1">
        <f t="shared" si="35"/>
        <v>0</v>
      </c>
      <c r="AF32" s="1">
        <f t="shared" si="36"/>
        <v>0</v>
      </c>
      <c r="AG32" s="1">
        <f t="shared" si="37"/>
        <v>0</v>
      </c>
      <c r="AH32" s="1">
        <f t="shared" si="38"/>
        <v>0</v>
      </c>
      <c r="AI32" s="1">
        <f t="shared" si="39"/>
        <v>0</v>
      </c>
      <c r="AJ32" s="1">
        <f t="shared" si="40"/>
        <v>0</v>
      </c>
      <c r="AK32" s="1">
        <f t="shared" si="41"/>
        <v>0</v>
      </c>
      <c r="AM32" s="2274"/>
      <c r="AN32" s="2274"/>
      <c r="AO32" s="2274"/>
      <c r="AP32" s="2274"/>
      <c r="AQ32" s="2274"/>
      <c r="AR32" s="2274"/>
      <c r="AS32" s="2274"/>
      <c r="AT32" s="2274"/>
      <c r="AU32" s="2274"/>
      <c r="AV32" s="2274"/>
      <c r="AW32" s="2274"/>
      <c r="AX32" s="2274"/>
      <c r="AY32" s="2274"/>
      <c r="BA32" s="2014"/>
      <c r="BB32" s="2014" t="e">
        <f t="shared" si="11"/>
        <v>#REF!</v>
      </c>
      <c r="BC32" s="2014"/>
      <c r="BD32" s="2013" t="e">
        <f>BR32*#REF!</f>
        <v>#REF!</v>
      </c>
      <c r="BE32" s="2013" t="e">
        <f>BS32*#REF!</f>
        <v>#REF!</v>
      </c>
      <c r="BF32" s="2013" t="e">
        <f>BT32*#REF!</f>
        <v>#REF!</v>
      </c>
      <c r="BG32" s="2013" t="e">
        <f>BU32*#REF!</f>
        <v>#REF!</v>
      </c>
      <c r="BH32" s="2226" t="e">
        <f>BV32*#REF!</f>
        <v>#REF!</v>
      </c>
      <c r="BI32" s="2013" t="e">
        <f>BW32*#REF!</f>
        <v>#REF!</v>
      </c>
      <c r="BJ32" s="2013" t="e">
        <f>BX32*#REF!</f>
        <v>#REF!</v>
      </c>
      <c r="BK32" s="2013" t="e">
        <f>BY32*#REF!</f>
        <v>#REF!</v>
      </c>
      <c r="BL32" s="2013" t="e">
        <f>BZ32*#REF!</f>
        <v>#REF!</v>
      </c>
      <c r="BM32" s="2013" t="e">
        <f>CA32*#REF!</f>
        <v>#REF!</v>
      </c>
      <c r="BO32" s="2040">
        <f t="shared" si="12"/>
        <v>2.2999999999999998</v>
      </c>
      <c r="BP32" s="2040" t="str">
        <f t="shared" si="13"/>
        <v xml:space="preserve"> Q1 2</v>
      </c>
      <c r="BQ32" s="829">
        <f t="shared" si="14"/>
        <v>0</v>
      </c>
      <c r="BR32" s="2010">
        <f t="shared" si="15"/>
        <v>0</v>
      </c>
      <c r="BS32" s="2010">
        <f t="shared" si="16"/>
        <v>0</v>
      </c>
      <c r="BT32" s="2010">
        <f t="shared" si="17"/>
        <v>0</v>
      </c>
      <c r="BU32" s="2010">
        <f t="shared" si="18"/>
        <v>0</v>
      </c>
      <c r="BV32" s="2225">
        <f t="shared" si="19"/>
        <v>0</v>
      </c>
      <c r="BW32" s="2010">
        <f t="shared" si="20"/>
        <v>0</v>
      </c>
      <c r="BX32" s="2010">
        <f t="shared" si="21"/>
        <v>0</v>
      </c>
      <c r="BY32" s="2010">
        <f t="shared" si="22"/>
        <v>0</v>
      </c>
      <c r="BZ32" s="2010">
        <f t="shared" si="23"/>
        <v>0</v>
      </c>
      <c r="CA32" s="2010">
        <f t="shared" si="24"/>
        <v>0</v>
      </c>
      <c r="CB32" s="2039">
        <f t="shared" si="25"/>
        <v>0</v>
      </c>
      <c r="CC32" s="2010">
        <f t="shared" si="26"/>
        <v>0</v>
      </c>
      <c r="CD32" s="2010">
        <f t="shared" si="27"/>
        <v>0</v>
      </c>
      <c r="CF32" s="1207">
        <v>2.2999999999999998</v>
      </c>
      <c r="CG32" s="1211" t="s">
        <v>801</v>
      </c>
      <c r="CH32" s="1208" t="s">
        <v>2948</v>
      </c>
      <c r="CI32" s="1209">
        <v>0.3</v>
      </c>
      <c r="CJ32" s="1209">
        <v>0.3</v>
      </c>
      <c r="CK32" s="1209">
        <v>0.3</v>
      </c>
      <c r="CL32" s="1209">
        <v>0.3</v>
      </c>
      <c r="CM32" s="1223">
        <v>0.3</v>
      </c>
      <c r="CN32" s="1209">
        <v>0.3</v>
      </c>
      <c r="CO32" s="1226">
        <v>0.3</v>
      </c>
      <c r="CP32" s="1209">
        <v>0.3</v>
      </c>
      <c r="CQ32" s="1209">
        <v>0.3</v>
      </c>
      <c r="CR32" s="1209">
        <v>0.3</v>
      </c>
      <c r="CS32" s="1214"/>
      <c r="CT32" s="1213"/>
      <c r="CU32" s="1213"/>
      <c r="CW32" s="1207">
        <v>2.2999999999999998</v>
      </c>
      <c r="CX32" s="1211" t="s">
        <v>801</v>
      </c>
      <c r="CY32" s="1208" t="s">
        <v>220</v>
      </c>
      <c r="CZ32" s="1213">
        <v>0.3</v>
      </c>
      <c r="DA32" s="1213">
        <v>0.3</v>
      </c>
      <c r="DB32" s="1213">
        <v>0.3</v>
      </c>
      <c r="DC32" s="1213">
        <v>0.3</v>
      </c>
      <c r="DD32" s="1215">
        <v>0.3</v>
      </c>
      <c r="DE32" s="1213">
        <v>0.3</v>
      </c>
      <c r="DF32" s="1213">
        <v>0.3</v>
      </c>
      <c r="DG32" s="1213">
        <v>0.3</v>
      </c>
      <c r="DH32" s="1213">
        <v>0.3</v>
      </c>
      <c r="DI32" s="1213">
        <v>0.3</v>
      </c>
      <c r="DJ32" s="1214">
        <v>0.3</v>
      </c>
      <c r="DK32" s="1213">
        <v>0.3</v>
      </c>
      <c r="DL32" s="1213">
        <v>0.3</v>
      </c>
      <c r="DN32" s="1207">
        <v>2.2999999999999998</v>
      </c>
      <c r="DO32" s="1211" t="s">
        <v>801</v>
      </c>
      <c r="DP32" s="1208"/>
      <c r="DQ32" s="1213"/>
      <c r="DR32" s="1213"/>
      <c r="DS32" s="1213"/>
      <c r="DT32" s="1213"/>
      <c r="DU32" s="1571"/>
      <c r="DV32" s="1213"/>
      <c r="DW32" s="1213"/>
      <c r="DX32" s="1213"/>
      <c r="DY32" s="1213"/>
      <c r="DZ32" s="1213"/>
      <c r="EA32" s="1214"/>
      <c r="EB32" s="1213"/>
      <c r="EC32" s="1213"/>
      <c r="ED32" s="1469"/>
      <c r="EF32" s="1207">
        <v>2.2999999999999998</v>
      </c>
      <c r="EG32" s="1211" t="s">
        <v>801</v>
      </c>
      <c r="EH32" s="1208"/>
      <c r="EI32" s="1689"/>
      <c r="EJ32" s="1689"/>
      <c r="EK32" s="1689"/>
      <c r="EL32" s="1689"/>
      <c r="EM32" s="1694"/>
      <c r="EN32" s="1689"/>
      <c r="EO32" s="1689"/>
      <c r="EP32" s="1689"/>
      <c r="EQ32" s="1689"/>
      <c r="ER32" s="1689"/>
      <c r="ES32" s="1691"/>
      <c r="ET32" s="1689"/>
      <c r="EU32" s="1689"/>
      <c r="EW32" s="1207">
        <v>2.2999999999999998</v>
      </c>
      <c r="EX32" s="1211" t="s">
        <v>801</v>
      </c>
      <c r="EY32" s="1208"/>
      <c r="EZ32" s="1678">
        <f t="shared" si="60"/>
        <v>0</v>
      </c>
      <c r="FA32" s="1678"/>
      <c r="FB32" s="1678"/>
      <c r="FC32" s="1678"/>
      <c r="FD32" s="1797"/>
      <c r="FE32" s="1678"/>
      <c r="FF32" s="1678"/>
      <c r="FG32" s="1678"/>
      <c r="FH32" s="1678"/>
      <c r="FI32" s="1678"/>
      <c r="FJ32" s="1795"/>
      <c r="FK32" s="1678"/>
      <c r="FL32" s="1678"/>
    </row>
    <row r="33" spans="2:168" s="1523" customFormat="1" ht="14.25" hidden="1" thickBot="1">
      <c r="B33" s="2023" t="str">
        <f t="shared" si="4"/>
        <v>2.3.1</v>
      </c>
      <c r="C33" s="829">
        <f t="shared" si="5"/>
        <v>0</v>
      </c>
      <c r="D33" s="2100" t="e">
        <f>IF(I$32&gt;0,G33/I$32,0)</f>
        <v>#REF!</v>
      </c>
      <c r="E33" s="2100" t="e">
        <f>IF(J$32&gt;0,H33/J$32,0)</f>
        <v>#REF!</v>
      </c>
      <c r="G33" s="2021" t="e">
        <f t="shared" si="6"/>
        <v>#REF!</v>
      </c>
      <c r="H33" s="2021" t="e">
        <f t="shared" si="7"/>
        <v>#REF!</v>
      </c>
      <c r="I33" s="2021"/>
      <c r="J33" s="2021"/>
      <c r="K33" s="2021" t="e">
        <f>IF(#REF!=0,0,1)</f>
        <v>#REF!</v>
      </c>
      <c r="L33" s="2021" t="e">
        <f>IF(#REF!=0,0,1)</f>
        <v>#REF!</v>
      </c>
      <c r="M33" s="2021">
        <f t="shared" si="8"/>
        <v>0</v>
      </c>
      <c r="N33" s="2021">
        <f t="shared" si="9"/>
        <v>0</v>
      </c>
      <c r="P33" s="2214"/>
      <c r="Q33" s="2273"/>
      <c r="R33" s="2218">
        <v>1</v>
      </c>
      <c r="S33" s="2217" t="s">
        <v>221</v>
      </c>
      <c r="T33" s="2216"/>
      <c r="U33" s="2267"/>
      <c r="V33" s="2272">
        <f t="shared" si="43"/>
        <v>0</v>
      </c>
      <c r="W33" s="2271">
        <f t="shared" si="44"/>
        <v>0</v>
      </c>
      <c r="X33"/>
      <c r="Y33" s="1">
        <f t="shared" si="29"/>
        <v>0</v>
      </c>
      <c r="Z33" s="1">
        <f t="shared" si="30"/>
        <v>0</v>
      </c>
      <c r="AA33" s="1">
        <f t="shared" si="31"/>
        <v>0</v>
      </c>
      <c r="AB33" s="1">
        <f t="shared" si="32"/>
        <v>0</v>
      </c>
      <c r="AC33" s="1">
        <f t="shared" si="33"/>
        <v>0</v>
      </c>
      <c r="AD33" s="1">
        <f t="shared" si="34"/>
        <v>0</v>
      </c>
      <c r="AE33" s="1">
        <f t="shared" si="35"/>
        <v>0</v>
      </c>
      <c r="AF33" s="1">
        <f t="shared" si="36"/>
        <v>0</v>
      </c>
      <c r="AG33" s="1">
        <f t="shared" si="37"/>
        <v>0</v>
      </c>
      <c r="AH33" s="1">
        <f t="shared" si="38"/>
        <v>0</v>
      </c>
      <c r="AI33" s="1">
        <f t="shared" si="39"/>
        <v>0</v>
      </c>
      <c r="AJ33" s="1">
        <f t="shared" si="40"/>
        <v>0</v>
      </c>
      <c r="AK33" s="1">
        <f t="shared" si="41"/>
        <v>0</v>
      </c>
      <c r="AL33"/>
      <c r="AM33" s="2270"/>
      <c r="AN33" s="2270"/>
      <c r="AO33" s="2270"/>
      <c r="AP33" s="2270"/>
      <c r="AQ33" s="2270"/>
      <c r="AR33" s="2270"/>
      <c r="AS33" s="2270"/>
      <c r="AT33" s="2270"/>
      <c r="AU33" s="2270"/>
      <c r="AV33" s="2270"/>
      <c r="AW33" s="2270"/>
      <c r="AX33" s="2270"/>
      <c r="AY33" s="2270"/>
      <c r="BA33" s="2014"/>
      <c r="BB33" s="2014" t="e">
        <f t="shared" si="11"/>
        <v>#REF!</v>
      </c>
      <c r="BC33" s="2014"/>
      <c r="BD33" s="2013" t="e">
        <f>BR33*#REF!</f>
        <v>#REF!</v>
      </c>
      <c r="BE33" s="2013" t="e">
        <f>BS33*#REF!</f>
        <v>#REF!</v>
      </c>
      <c r="BF33" s="2013" t="e">
        <f>BT33*#REF!</f>
        <v>#REF!</v>
      </c>
      <c r="BG33" s="2013" t="e">
        <f>BU33*#REF!</f>
        <v>#REF!</v>
      </c>
      <c r="BH33" s="2094" t="e">
        <f>BV33*#REF!</f>
        <v>#REF!</v>
      </c>
      <c r="BI33" s="2013" t="e">
        <f>BW33*#REF!</f>
        <v>#REF!</v>
      </c>
      <c r="BJ33" s="2013" t="e">
        <f>BX33*#REF!</f>
        <v>#REF!</v>
      </c>
      <c r="BK33" s="2013" t="e">
        <f>BY33*#REF!</f>
        <v>#REF!</v>
      </c>
      <c r="BL33" s="2013" t="e">
        <f>BZ33*#REF!</f>
        <v>#REF!</v>
      </c>
      <c r="BM33" s="2013" t="e">
        <f>CA33*#REF!</f>
        <v>#REF!</v>
      </c>
      <c r="BO33" s="2040" t="str">
        <f t="shared" si="12"/>
        <v>2.3.1</v>
      </c>
      <c r="BP33" s="2040" t="str">
        <f t="shared" si="13"/>
        <v xml:space="preserve"> Q1 2.3</v>
      </c>
      <c r="BQ33" s="829">
        <f t="shared" si="14"/>
        <v>0</v>
      </c>
      <c r="BR33" s="2010">
        <f t="shared" si="15"/>
        <v>0</v>
      </c>
      <c r="BS33" s="2010">
        <f t="shared" si="16"/>
        <v>0</v>
      </c>
      <c r="BT33" s="2010">
        <f t="shared" si="17"/>
        <v>0</v>
      </c>
      <c r="BU33" s="2010">
        <f t="shared" si="18"/>
        <v>0</v>
      </c>
      <c r="BV33" s="2093">
        <f t="shared" si="19"/>
        <v>0</v>
      </c>
      <c r="BW33" s="2010">
        <f t="shared" si="20"/>
        <v>0</v>
      </c>
      <c r="BX33" s="2010">
        <f t="shared" si="21"/>
        <v>0</v>
      </c>
      <c r="BY33" s="2010">
        <f t="shared" si="22"/>
        <v>0</v>
      </c>
      <c r="BZ33" s="2010">
        <f t="shared" si="23"/>
        <v>0</v>
      </c>
      <c r="CA33" s="2010">
        <f t="shared" si="24"/>
        <v>0</v>
      </c>
      <c r="CB33" s="2039">
        <f t="shared" si="25"/>
        <v>0</v>
      </c>
      <c r="CC33" s="2010">
        <f t="shared" si="26"/>
        <v>0</v>
      </c>
      <c r="CD33" s="2010">
        <f t="shared" si="27"/>
        <v>0</v>
      </c>
      <c r="CF33" s="1207" t="s">
        <v>3330</v>
      </c>
      <c r="CG33" s="1211" t="s">
        <v>2129</v>
      </c>
      <c r="CH33" s="1208" t="s">
        <v>221</v>
      </c>
      <c r="CI33" s="1209">
        <v>0.5</v>
      </c>
      <c r="CJ33" s="1209">
        <v>0.5</v>
      </c>
      <c r="CK33" s="1209">
        <v>0.5</v>
      </c>
      <c r="CL33" s="1209">
        <v>0.5</v>
      </c>
      <c r="CM33" s="1223">
        <v>0.5</v>
      </c>
      <c r="CN33" s="1209">
        <v>0.5</v>
      </c>
      <c r="CO33" s="1226">
        <v>0.5</v>
      </c>
      <c r="CP33" s="1209">
        <v>0.5</v>
      </c>
      <c r="CQ33" s="1209">
        <v>0.5</v>
      </c>
      <c r="CR33" s="1209">
        <v>0.5</v>
      </c>
      <c r="CS33" s="1214"/>
      <c r="CT33" s="1214"/>
      <c r="CU33" s="1214"/>
      <c r="CW33" s="1207" t="s">
        <v>3330</v>
      </c>
      <c r="CX33" s="1211" t="s">
        <v>2129</v>
      </c>
      <c r="CY33" s="1208" t="s">
        <v>221</v>
      </c>
      <c r="CZ33" s="1213"/>
      <c r="DA33" s="1213"/>
      <c r="DB33" s="1213"/>
      <c r="DC33" s="1213"/>
      <c r="DD33" s="1220"/>
      <c r="DE33" s="1213"/>
      <c r="DF33" s="1213"/>
      <c r="DG33" s="1213"/>
      <c r="DH33" s="1213"/>
      <c r="DI33" s="1213"/>
      <c r="DJ33" s="1214"/>
      <c r="DK33" s="1213"/>
      <c r="DL33" s="1213"/>
      <c r="DN33" s="1207" t="s">
        <v>3330</v>
      </c>
      <c r="DO33" s="1211" t="s">
        <v>2129</v>
      </c>
      <c r="DP33" s="1208"/>
      <c r="DQ33" s="1241"/>
      <c r="DR33" s="1241"/>
      <c r="DS33" s="1241"/>
      <c r="DT33" s="1241"/>
      <c r="DU33" s="1576">
        <v>0</v>
      </c>
      <c r="DV33" s="1241"/>
      <c r="DW33" s="1241"/>
      <c r="DX33" s="1241"/>
      <c r="DY33" s="1241"/>
      <c r="DZ33" s="1241"/>
      <c r="EA33" s="1243"/>
      <c r="EB33" s="1241"/>
      <c r="EC33" s="1241"/>
      <c r="ED33" s="1836"/>
      <c r="EF33" s="1207" t="s">
        <v>3330</v>
      </c>
      <c r="EG33" s="1211" t="s">
        <v>2129</v>
      </c>
      <c r="EH33" s="1208"/>
      <c r="EI33" s="1689"/>
      <c r="EJ33" s="1689"/>
      <c r="EK33" s="1689"/>
      <c r="EL33" s="1689"/>
      <c r="EM33" s="1692"/>
      <c r="EN33" s="1689"/>
      <c r="EO33" s="1689"/>
      <c r="EP33" s="1689"/>
      <c r="EQ33" s="1689"/>
      <c r="ER33" s="1689"/>
      <c r="ES33" s="1691"/>
      <c r="ET33" s="1689"/>
      <c r="EU33" s="1689"/>
      <c r="EW33" s="1207" t="s">
        <v>3330</v>
      </c>
      <c r="EX33" s="1211" t="s">
        <v>2129</v>
      </c>
      <c r="EY33" s="1208"/>
      <c r="EZ33" s="1678">
        <f t="shared" si="60"/>
        <v>0</v>
      </c>
      <c r="FA33" s="1678"/>
      <c r="FB33" s="1678"/>
      <c r="FC33" s="1678"/>
      <c r="FD33" s="1802"/>
      <c r="FE33" s="1678"/>
      <c r="FF33" s="1678"/>
      <c r="FG33" s="1678"/>
      <c r="FH33" s="1678"/>
      <c r="FI33" s="1678"/>
      <c r="FJ33" s="1795"/>
      <c r="FK33" s="1678"/>
      <c r="FL33" s="1678"/>
    </row>
    <row r="34" spans="2:168" s="1523" customFormat="1" hidden="1">
      <c r="B34" s="2023" t="str">
        <f t="shared" si="4"/>
        <v>2.3.2</v>
      </c>
      <c r="C34" s="829">
        <f t="shared" si="5"/>
        <v>0</v>
      </c>
      <c r="D34" s="2100" t="e">
        <f>IF(I$32&gt;0,G34/I$32,0)</f>
        <v>#REF!</v>
      </c>
      <c r="E34" s="2100" t="e">
        <f>IF(J$32&gt;0,H34/J$32,0)</f>
        <v>#REF!</v>
      </c>
      <c r="G34" s="2021" t="e">
        <f t="shared" si="6"/>
        <v>#REF!</v>
      </c>
      <c r="H34" s="2021" t="e">
        <f t="shared" si="7"/>
        <v>#REF!</v>
      </c>
      <c r="I34" s="2021"/>
      <c r="J34" s="2021"/>
      <c r="K34" s="2021" t="e">
        <f>IF(#REF!=0,0,1)</f>
        <v>#REF!</v>
      </c>
      <c r="L34" s="2021" t="e">
        <f>IF(#REF!=0,0,1)</f>
        <v>#REF!</v>
      </c>
      <c r="M34" s="2021">
        <f t="shared" si="8"/>
        <v>0</v>
      </c>
      <c r="N34" s="2021">
        <f t="shared" si="9"/>
        <v>0</v>
      </c>
      <c r="P34" s="2269"/>
      <c r="Q34" s="2268"/>
      <c r="R34" s="2218">
        <v>2</v>
      </c>
      <c r="S34" s="2217" t="s">
        <v>1532</v>
      </c>
      <c r="T34" s="2216"/>
      <c r="U34" s="2267"/>
      <c r="V34" s="2266">
        <f t="shared" si="43"/>
        <v>0</v>
      </c>
      <c r="W34" s="2265">
        <f t="shared" si="44"/>
        <v>0</v>
      </c>
      <c r="X34"/>
      <c r="Y34" s="1">
        <f t="shared" si="29"/>
        <v>0</v>
      </c>
      <c r="Z34" s="1">
        <f t="shared" si="30"/>
        <v>0</v>
      </c>
      <c r="AA34" s="1">
        <f t="shared" si="31"/>
        <v>0</v>
      </c>
      <c r="AB34" s="1">
        <f t="shared" si="32"/>
        <v>0</v>
      </c>
      <c r="AC34" s="1">
        <f t="shared" si="33"/>
        <v>0</v>
      </c>
      <c r="AD34" s="1">
        <f t="shared" si="34"/>
        <v>0</v>
      </c>
      <c r="AE34" s="1">
        <f t="shared" si="35"/>
        <v>0</v>
      </c>
      <c r="AF34" s="1">
        <f t="shared" si="36"/>
        <v>0</v>
      </c>
      <c r="AG34" s="1">
        <f t="shared" si="37"/>
        <v>0</v>
      </c>
      <c r="AH34" s="1">
        <f t="shared" si="38"/>
        <v>0</v>
      </c>
      <c r="AI34" s="1">
        <f t="shared" si="39"/>
        <v>0</v>
      </c>
      <c r="AJ34" s="1">
        <f t="shared" si="40"/>
        <v>0</v>
      </c>
      <c r="AK34" s="1">
        <f t="shared" si="41"/>
        <v>0</v>
      </c>
      <c r="AL34"/>
      <c r="AM34" s="2264"/>
      <c r="AN34" s="2264"/>
      <c r="AO34" s="2264"/>
      <c r="AP34" s="2264"/>
      <c r="AQ34" s="2264"/>
      <c r="AR34" s="2264"/>
      <c r="AS34" s="2264"/>
      <c r="AT34" s="2264"/>
      <c r="AU34" s="2264"/>
      <c r="AV34" s="2264"/>
      <c r="AW34" s="2264"/>
      <c r="AX34" s="2264"/>
      <c r="AY34" s="2264"/>
      <c r="BA34" s="2014"/>
      <c r="BB34" s="2014" t="e">
        <f t="shared" si="11"/>
        <v>#REF!</v>
      </c>
      <c r="BC34" s="2014"/>
      <c r="BD34" s="2013" t="e">
        <f>BR34*#REF!</f>
        <v>#REF!</v>
      </c>
      <c r="BE34" s="2013" t="e">
        <f>BS34*#REF!</f>
        <v>#REF!</v>
      </c>
      <c r="BF34" s="2013" t="e">
        <f>BT34*#REF!</f>
        <v>#REF!</v>
      </c>
      <c r="BG34" s="2013" t="e">
        <f>BU34*#REF!</f>
        <v>#REF!</v>
      </c>
      <c r="BH34" s="2094" t="e">
        <f>BV34*#REF!</f>
        <v>#REF!</v>
      </c>
      <c r="BI34" s="2013" t="e">
        <f>BW34*#REF!</f>
        <v>#REF!</v>
      </c>
      <c r="BJ34" s="2013" t="e">
        <f>BX34*#REF!</f>
        <v>#REF!</v>
      </c>
      <c r="BK34" s="2013" t="e">
        <f>BY34*#REF!</f>
        <v>#REF!</v>
      </c>
      <c r="BL34" s="2013" t="e">
        <f>BZ34*#REF!</f>
        <v>#REF!</v>
      </c>
      <c r="BM34" s="2013" t="e">
        <f>CA34*#REF!</f>
        <v>#REF!</v>
      </c>
      <c r="BO34" s="2040" t="str">
        <f t="shared" si="12"/>
        <v>2.3.2</v>
      </c>
      <c r="BP34" s="2040" t="str">
        <f t="shared" si="13"/>
        <v xml:space="preserve"> Q1 2.3</v>
      </c>
      <c r="BQ34" s="829">
        <f t="shared" si="14"/>
        <v>0</v>
      </c>
      <c r="BR34" s="2010">
        <f t="shared" si="15"/>
        <v>0</v>
      </c>
      <c r="BS34" s="2010">
        <f t="shared" si="16"/>
        <v>0</v>
      </c>
      <c r="BT34" s="2010">
        <f t="shared" si="17"/>
        <v>0</v>
      </c>
      <c r="BU34" s="2010">
        <f t="shared" si="18"/>
        <v>0</v>
      </c>
      <c r="BV34" s="2093">
        <f t="shared" si="19"/>
        <v>0</v>
      </c>
      <c r="BW34" s="2010">
        <f t="shared" si="20"/>
        <v>0</v>
      </c>
      <c r="BX34" s="2010">
        <f t="shared" si="21"/>
        <v>0</v>
      </c>
      <c r="BY34" s="2010">
        <f t="shared" si="22"/>
        <v>0</v>
      </c>
      <c r="BZ34" s="2010">
        <f t="shared" si="23"/>
        <v>0</v>
      </c>
      <c r="CA34" s="2010">
        <f t="shared" si="24"/>
        <v>0</v>
      </c>
      <c r="CB34" s="2039">
        <f t="shared" si="25"/>
        <v>0</v>
      </c>
      <c r="CC34" s="2010">
        <f t="shared" si="26"/>
        <v>0</v>
      </c>
      <c r="CD34" s="2010">
        <f t="shared" si="27"/>
        <v>0</v>
      </c>
      <c r="CF34" s="1207" t="s">
        <v>3329</v>
      </c>
      <c r="CG34" s="1211" t="s">
        <v>2129</v>
      </c>
      <c r="CH34" s="1208" t="s">
        <v>1532</v>
      </c>
      <c r="CI34" s="1209">
        <v>0.5</v>
      </c>
      <c r="CJ34" s="1209">
        <v>0.5</v>
      </c>
      <c r="CK34" s="1209">
        <v>0.5</v>
      </c>
      <c r="CL34" s="1209">
        <v>0.5</v>
      </c>
      <c r="CM34" s="1209">
        <v>0.5</v>
      </c>
      <c r="CN34" s="1209">
        <v>0.5</v>
      </c>
      <c r="CO34" s="1226">
        <v>0.5</v>
      </c>
      <c r="CP34" s="1209">
        <v>0.5</v>
      </c>
      <c r="CQ34" s="1209">
        <v>0.5</v>
      </c>
      <c r="CR34" s="1209">
        <v>0.5</v>
      </c>
      <c r="CS34" s="1214"/>
      <c r="CT34" s="1214"/>
      <c r="CU34" s="1214"/>
      <c r="CW34" s="1207" t="s">
        <v>3329</v>
      </c>
      <c r="CX34" s="1211" t="s">
        <v>2129</v>
      </c>
      <c r="CY34" s="1208" t="s">
        <v>1532</v>
      </c>
      <c r="CZ34" s="1213"/>
      <c r="DA34" s="1213"/>
      <c r="DB34" s="1213"/>
      <c r="DC34" s="1213"/>
      <c r="DD34" s="1220"/>
      <c r="DE34" s="1213"/>
      <c r="DF34" s="1213"/>
      <c r="DG34" s="1213"/>
      <c r="DH34" s="1213"/>
      <c r="DI34" s="1213"/>
      <c r="DJ34" s="1214"/>
      <c r="DK34" s="1213"/>
      <c r="DL34" s="1213"/>
      <c r="DN34" s="1207" t="s">
        <v>3329</v>
      </c>
      <c r="DO34" s="1211" t="s">
        <v>2129</v>
      </c>
      <c r="DP34" s="1208"/>
      <c r="DQ34" s="1241"/>
      <c r="DR34" s="1241"/>
      <c r="DS34" s="1241"/>
      <c r="DT34" s="1241"/>
      <c r="DU34" s="1576">
        <v>0</v>
      </c>
      <c r="DV34" s="1241"/>
      <c r="DW34" s="1241"/>
      <c r="DX34" s="1241"/>
      <c r="DY34" s="1241"/>
      <c r="DZ34" s="1241"/>
      <c r="EA34" s="1243"/>
      <c r="EB34" s="1241"/>
      <c r="EC34" s="1241"/>
      <c r="ED34" s="1836"/>
      <c r="EF34" s="1207" t="s">
        <v>3329</v>
      </c>
      <c r="EG34" s="1211" t="s">
        <v>2129</v>
      </c>
      <c r="EH34" s="1208"/>
      <c r="EI34" s="1689"/>
      <c r="EJ34" s="1689"/>
      <c r="EK34" s="1689"/>
      <c r="EL34" s="1689"/>
      <c r="EM34" s="1692"/>
      <c r="EN34" s="1689"/>
      <c r="EO34" s="1689"/>
      <c r="EP34" s="1689"/>
      <c r="EQ34" s="1689"/>
      <c r="ER34" s="1689"/>
      <c r="ES34" s="1691"/>
      <c r="ET34" s="1689"/>
      <c r="EU34" s="1689"/>
      <c r="EW34" s="1207" t="s">
        <v>3329</v>
      </c>
      <c r="EX34" s="1211" t="s">
        <v>2129</v>
      </c>
      <c r="EY34" s="1208"/>
      <c r="EZ34" s="1678">
        <f t="shared" si="60"/>
        <v>0</v>
      </c>
      <c r="FA34" s="1678"/>
      <c r="FB34" s="1678"/>
      <c r="FC34" s="1678"/>
      <c r="FD34" s="1802"/>
      <c r="FE34" s="1678"/>
      <c r="FF34" s="1678"/>
      <c r="FG34" s="1678"/>
      <c r="FH34" s="1678"/>
      <c r="FI34" s="1678"/>
      <c r="FJ34" s="1795"/>
      <c r="FK34" s="1678"/>
      <c r="FL34" s="1678"/>
    </row>
    <row r="35" spans="2:168">
      <c r="B35" s="2023">
        <f t="shared" si="4"/>
        <v>3</v>
      </c>
      <c r="C35" s="2050" t="str">
        <f t="shared" si="5"/>
        <v>光・視環境</v>
      </c>
      <c r="D35" s="2061" t="e">
        <f>IF(I$9=0,0,G35/I$9)</f>
        <v>#REF!</v>
      </c>
      <c r="E35" s="2060" t="e">
        <f>IF(J$9=0,0,H35/J$9)</f>
        <v>#REF!</v>
      </c>
      <c r="G35" s="2060" t="e">
        <f t="shared" si="6"/>
        <v>#REF!</v>
      </c>
      <c r="H35" s="2060" t="e">
        <f t="shared" si="7"/>
        <v>#REF!</v>
      </c>
      <c r="I35" s="2060" t="e">
        <f>G36+G40+G44+G47</f>
        <v>#REF!</v>
      </c>
      <c r="J35" s="2060" t="e">
        <f>H36+H40+H44+H47</f>
        <v>#REF!</v>
      </c>
      <c r="K35" s="2060" t="e">
        <f>IF(L35&gt;0,1,IF(#REF!=0,0,1))</f>
        <v>#REF!</v>
      </c>
      <c r="L35" s="2060" t="e">
        <f>IF(#REF!=0,0,1)</f>
        <v>#REF!</v>
      </c>
      <c r="M35" s="2060">
        <f t="shared" si="8"/>
        <v>0.25</v>
      </c>
      <c r="N35" s="2060">
        <f t="shared" si="9"/>
        <v>0</v>
      </c>
      <c r="P35" s="2070">
        <v>3</v>
      </c>
      <c r="Q35" s="2058" t="s">
        <v>1533</v>
      </c>
      <c r="R35" s="2116"/>
      <c r="S35" s="2106"/>
      <c r="T35" s="2106"/>
      <c r="U35" s="2017"/>
      <c r="V35" s="2057">
        <f t="shared" si="43"/>
        <v>0</v>
      </c>
      <c r="W35" s="2056">
        <f t="shared" si="44"/>
        <v>0</v>
      </c>
      <c r="Y35" s="1">
        <f t="shared" si="29"/>
        <v>0</v>
      </c>
      <c r="Z35" s="1">
        <f t="shared" si="30"/>
        <v>0</v>
      </c>
      <c r="AA35" s="1">
        <f t="shared" si="31"/>
        <v>0</v>
      </c>
      <c r="AB35" s="1">
        <f t="shared" si="32"/>
        <v>0</v>
      </c>
      <c r="AC35" s="1">
        <f t="shared" si="33"/>
        <v>0</v>
      </c>
      <c r="AD35" s="1">
        <f t="shared" si="34"/>
        <v>0</v>
      </c>
      <c r="AE35" s="1">
        <f t="shared" si="35"/>
        <v>0</v>
      </c>
      <c r="AF35" s="1">
        <f t="shared" si="36"/>
        <v>0</v>
      </c>
      <c r="AG35" s="1">
        <f t="shared" si="37"/>
        <v>0</v>
      </c>
      <c r="AH35" s="1">
        <f t="shared" si="38"/>
        <v>0</v>
      </c>
      <c r="AI35" s="1">
        <f t="shared" si="39"/>
        <v>0</v>
      </c>
      <c r="AJ35" s="1">
        <f t="shared" si="40"/>
        <v>0</v>
      </c>
      <c r="AK35" s="1">
        <f t="shared" si="41"/>
        <v>0</v>
      </c>
      <c r="AM35" s="2055" t="s">
        <v>3316</v>
      </c>
      <c r="AN35" s="2055" t="s">
        <v>3316</v>
      </c>
      <c r="AO35" s="2055" t="s">
        <v>3316</v>
      </c>
      <c r="AP35" s="2055" t="s">
        <v>3316</v>
      </c>
      <c r="AQ35" s="2055" t="s">
        <v>3316</v>
      </c>
      <c r="AR35" s="2055" t="s">
        <v>3316</v>
      </c>
      <c r="AS35" s="2055" t="s">
        <v>3316</v>
      </c>
      <c r="AT35" s="2055" t="s">
        <v>3316</v>
      </c>
      <c r="AU35" s="2055" t="s">
        <v>3316</v>
      </c>
      <c r="AV35" s="2055" t="s">
        <v>3316</v>
      </c>
      <c r="AW35" s="2055" t="s">
        <v>3316</v>
      </c>
      <c r="AX35" s="2055" t="s">
        <v>3316</v>
      </c>
      <c r="AY35" s="2055" t="s">
        <v>3316</v>
      </c>
      <c r="BA35" s="2054" t="e">
        <f>BB35/$BC$9</f>
        <v>#REF!</v>
      </c>
      <c r="BB35" s="2054" t="e">
        <f t="shared" si="11"/>
        <v>#REF!</v>
      </c>
      <c r="BC35" s="2054"/>
      <c r="BD35" s="2053" t="e">
        <f>BR35*#REF!</f>
        <v>#REF!</v>
      </c>
      <c r="BE35" s="2053" t="e">
        <f>BS35*#REF!</f>
        <v>#REF!</v>
      </c>
      <c r="BF35" s="2053" t="e">
        <f>BT35*#REF!</f>
        <v>#REF!</v>
      </c>
      <c r="BG35" s="2053" t="e">
        <f>BU35*#REF!</f>
        <v>#REF!</v>
      </c>
      <c r="BH35" s="2232" t="e">
        <f>BV35*#REF!</f>
        <v>#REF!</v>
      </c>
      <c r="BI35" s="2053" t="e">
        <f>BW35*#REF!</f>
        <v>#REF!</v>
      </c>
      <c r="BJ35" s="2053" t="e">
        <f>BX35*#REF!</f>
        <v>#REF!</v>
      </c>
      <c r="BK35" s="2053" t="e">
        <f>BY35*#REF!</f>
        <v>#REF!</v>
      </c>
      <c r="BL35" s="2053" t="e">
        <f>BZ35*#REF!</f>
        <v>#REF!</v>
      </c>
      <c r="BM35" s="2053" t="e">
        <f>CA35*#REF!</f>
        <v>#REF!</v>
      </c>
      <c r="BO35" s="2114">
        <f t="shared" si="12"/>
        <v>3</v>
      </c>
      <c r="BP35" s="2114" t="str">
        <f t="shared" si="13"/>
        <v xml:space="preserve"> Q1</v>
      </c>
      <c r="BQ35" s="2050" t="str">
        <f t="shared" si="14"/>
        <v>光・視環境</v>
      </c>
      <c r="BR35" s="2048">
        <f t="shared" si="15"/>
        <v>0.25</v>
      </c>
      <c r="BS35" s="2048">
        <f t="shared" si="16"/>
        <v>0.25</v>
      </c>
      <c r="BT35" s="2048">
        <f t="shared" si="17"/>
        <v>0.25</v>
      </c>
      <c r="BU35" s="2048">
        <f t="shared" si="18"/>
        <v>0.25</v>
      </c>
      <c r="BV35" s="2231">
        <f t="shared" si="19"/>
        <v>0.25</v>
      </c>
      <c r="BW35" s="2048">
        <f t="shared" si="20"/>
        <v>0.25</v>
      </c>
      <c r="BX35" s="2048">
        <f t="shared" si="21"/>
        <v>0.25</v>
      </c>
      <c r="BY35" s="2048">
        <f t="shared" si="22"/>
        <v>0.25</v>
      </c>
      <c r="BZ35" s="2048">
        <f t="shared" si="23"/>
        <v>0.25</v>
      </c>
      <c r="CA35" s="2048">
        <f t="shared" si="24"/>
        <v>0.25</v>
      </c>
      <c r="CB35" s="2049">
        <f t="shared" si="25"/>
        <v>0</v>
      </c>
      <c r="CC35" s="2048">
        <f t="shared" si="26"/>
        <v>0</v>
      </c>
      <c r="CD35" s="2048">
        <f t="shared" si="27"/>
        <v>0</v>
      </c>
      <c r="CF35" s="1197">
        <v>3</v>
      </c>
      <c r="CG35" s="1201" t="s">
        <v>793</v>
      </c>
      <c r="CH35" s="1198" t="s">
        <v>788</v>
      </c>
      <c r="CI35" s="1199">
        <v>0.25</v>
      </c>
      <c r="CJ35" s="1199">
        <v>0.25</v>
      </c>
      <c r="CK35" s="1199">
        <v>0.25</v>
      </c>
      <c r="CL35" s="1199">
        <v>0.25</v>
      </c>
      <c r="CM35" s="1221">
        <v>0</v>
      </c>
      <c r="CN35" s="1199">
        <v>0.25</v>
      </c>
      <c r="CO35" s="1202">
        <v>0.25</v>
      </c>
      <c r="CP35" s="1199">
        <v>0.25</v>
      </c>
      <c r="CQ35" s="1199">
        <v>0.25</v>
      </c>
      <c r="CR35" s="1199">
        <v>0.25</v>
      </c>
      <c r="CS35" s="1203"/>
      <c r="CT35" s="1202"/>
      <c r="CU35" s="1202"/>
      <c r="CW35" s="1197">
        <v>3</v>
      </c>
      <c r="CX35" s="1201" t="s">
        <v>793</v>
      </c>
      <c r="CY35" s="1198" t="s">
        <v>788</v>
      </c>
      <c r="CZ35" s="1202">
        <v>0.25</v>
      </c>
      <c r="DA35" s="1202">
        <v>0.25</v>
      </c>
      <c r="DB35" s="1202">
        <v>0.25</v>
      </c>
      <c r="DC35" s="1202">
        <v>0.25</v>
      </c>
      <c r="DD35" s="1222"/>
      <c r="DE35" s="1202">
        <v>0.25</v>
      </c>
      <c r="DF35" s="1202">
        <v>0.25</v>
      </c>
      <c r="DG35" s="1202">
        <v>0.25</v>
      </c>
      <c r="DH35" s="1202">
        <v>0.25</v>
      </c>
      <c r="DI35" s="1202">
        <v>0.25</v>
      </c>
      <c r="DJ35" s="1203"/>
      <c r="DK35" s="1202"/>
      <c r="DL35" s="1202"/>
      <c r="DN35" s="1197">
        <v>3</v>
      </c>
      <c r="DO35" s="1201" t="s">
        <v>793</v>
      </c>
      <c r="DP35" s="1198" t="s">
        <v>788</v>
      </c>
      <c r="DQ35" s="1202">
        <v>0.25</v>
      </c>
      <c r="DR35" s="1202">
        <v>0.25</v>
      </c>
      <c r="DS35" s="1202">
        <v>0.25</v>
      </c>
      <c r="DT35" s="1202">
        <v>0.25</v>
      </c>
      <c r="DU35" s="1570">
        <v>0.25</v>
      </c>
      <c r="DV35" s="1202">
        <v>0.25</v>
      </c>
      <c r="DW35" s="1202">
        <v>0.25</v>
      </c>
      <c r="DX35" s="1202">
        <v>0.25</v>
      </c>
      <c r="DY35" s="1202">
        <v>0.25</v>
      </c>
      <c r="DZ35" s="1202">
        <v>0.25</v>
      </c>
      <c r="EA35" s="1203"/>
      <c r="EB35" s="1202"/>
      <c r="EC35" s="1202"/>
      <c r="ED35" s="1468"/>
      <c r="EF35" s="1197">
        <v>3</v>
      </c>
      <c r="EG35" s="1201" t="s">
        <v>793</v>
      </c>
      <c r="EH35" s="1198" t="s">
        <v>788</v>
      </c>
      <c r="EI35" s="1686">
        <f t="shared" ref="EI35:EU42" si="63">DQ35</f>
        <v>0.25</v>
      </c>
      <c r="EJ35" s="1686">
        <f t="shared" si="63"/>
        <v>0.25</v>
      </c>
      <c r="EK35" s="1686">
        <f t="shared" si="63"/>
        <v>0.25</v>
      </c>
      <c r="EL35" s="1686">
        <f t="shared" si="63"/>
        <v>0.25</v>
      </c>
      <c r="EM35" s="1693">
        <f t="shared" si="63"/>
        <v>0.25</v>
      </c>
      <c r="EN35" s="1686">
        <f t="shared" si="63"/>
        <v>0.25</v>
      </c>
      <c r="EO35" s="1686">
        <f t="shared" si="63"/>
        <v>0.25</v>
      </c>
      <c r="EP35" s="1686">
        <f t="shared" si="63"/>
        <v>0.25</v>
      </c>
      <c r="EQ35" s="1686">
        <f t="shared" si="63"/>
        <v>0.25</v>
      </c>
      <c r="ER35" s="1686">
        <f t="shared" si="63"/>
        <v>0.25</v>
      </c>
      <c r="ES35" s="1688">
        <f t="shared" si="63"/>
        <v>0</v>
      </c>
      <c r="ET35" s="1686">
        <f t="shared" si="63"/>
        <v>0</v>
      </c>
      <c r="EU35" s="1686">
        <f t="shared" si="63"/>
        <v>0</v>
      </c>
      <c r="EW35" s="1197">
        <v>3</v>
      </c>
      <c r="EX35" s="1201" t="s">
        <v>793</v>
      </c>
      <c r="EY35" s="1198" t="s">
        <v>788</v>
      </c>
      <c r="EZ35" s="1676">
        <f t="shared" si="60"/>
        <v>0.25</v>
      </c>
      <c r="FA35" s="1676"/>
      <c r="FB35" s="1676"/>
      <c r="FC35" s="1676"/>
      <c r="FD35" s="1796"/>
      <c r="FE35" s="1676"/>
      <c r="FF35" s="1676"/>
      <c r="FG35" s="1676"/>
      <c r="FH35" s="1676"/>
      <c r="FI35" s="1676"/>
      <c r="FJ35" s="1677"/>
      <c r="FK35" s="1676"/>
      <c r="FL35" s="1676"/>
    </row>
    <row r="36" spans="2:168" ht="14.25" thickBot="1">
      <c r="B36" s="2023">
        <f t="shared" si="4"/>
        <v>3.1</v>
      </c>
      <c r="C36" s="829" t="str">
        <f t="shared" si="5"/>
        <v>昼光利用</v>
      </c>
      <c r="D36" s="2022" t="e">
        <f>IF(I$35=0,0,G36/I$35)</f>
        <v>#REF!</v>
      </c>
      <c r="E36" s="2021" t="e">
        <f>IF(J$35=0,0,H36/J$35)</f>
        <v>#REF!</v>
      </c>
      <c r="G36" s="2021" t="e">
        <f t="shared" si="6"/>
        <v>#REF!</v>
      </c>
      <c r="H36" s="2021" t="e">
        <f t="shared" si="7"/>
        <v>#REF!</v>
      </c>
      <c r="I36" s="2021" t="e">
        <f>SUM(G37:G39)</f>
        <v>#REF!</v>
      </c>
      <c r="J36" s="2021" t="e">
        <f>SUM(H37:H39)</f>
        <v>#REF!</v>
      </c>
      <c r="K36" s="2021" t="e">
        <f>IF(#REF!=0,0,1)</f>
        <v>#REF!</v>
      </c>
      <c r="L36" s="2021" t="e">
        <f>IF(#REF!=0,0,1)</f>
        <v>#REF!</v>
      </c>
      <c r="M36" s="2021">
        <f t="shared" si="8"/>
        <v>0.3</v>
      </c>
      <c r="N36" s="2021">
        <f t="shared" si="9"/>
        <v>0</v>
      </c>
      <c r="P36" s="2214"/>
      <c r="Q36" s="2035">
        <v>3.1</v>
      </c>
      <c r="R36" s="2129" t="s">
        <v>1534</v>
      </c>
      <c r="S36" s="2106"/>
      <c r="T36" s="2106"/>
      <c r="U36" s="2017"/>
      <c r="V36" s="2263">
        <f t="shared" si="43"/>
        <v>0</v>
      </c>
      <c r="W36" s="2262">
        <f t="shared" si="44"/>
        <v>0</v>
      </c>
      <c r="Y36" s="1">
        <f t="shared" si="29"/>
        <v>0</v>
      </c>
      <c r="Z36" s="1">
        <f t="shared" si="30"/>
        <v>0</v>
      </c>
      <c r="AA36" s="1">
        <f t="shared" si="31"/>
        <v>0</v>
      </c>
      <c r="AB36" s="1">
        <f t="shared" si="32"/>
        <v>0</v>
      </c>
      <c r="AC36" s="1">
        <f t="shared" si="33"/>
        <v>0</v>
      </c>
      <c r="AD36" s="1">
        <f t="shared" si="34"/>
        <v>0</v>
      </c>
      <c r="AE36" s="1">
        <f t="shared" si="35"/>
        <v>0</v>
      </c>
      <c r="AF36" s="1">
        <f t="shared" si="36"/>
        <v>0</v>
      </c>
      <c r="AG36" s="1">
        <f t="shared" si="37"/>
        <v>0</v>
      </c>
      <c r="AH36" s="1">
        <f t="shared" si="38"/>
        <v>0</v>
      </c>
      <c r="AI36" s="1">
        <f t="shared" si="39"/>
        <v>0</v>
      </c>
      <c r="AJ36" s="1">
        <f t="shared" si="40"/>
        <v>0</v>
      </c>
      <c r="AK36" s="1">
        <f t="shared" si="41"/>
        <v>0</v>
      </c>
      <c r="AM36" s="2261" t="s">
        <v>3316</v>
      </c>
      <c r="AN36" s="2261" t="s">
        <v>3316</v>
      </c>
      <c r="AO36" s="2261" t="s">
        <v>3316</v>
      </c>
      <c r="AP36" s="2261" t="s">
        <v>3316</v>
      </c>
      <c r="AQ36" s="2261" t="s">
        <v>3316</v>
      </c>
      <c r="AR36" s="2261" t="s">
        <v>3316</v>
      </c>
      <c r="AS36" s="2261" t="s">
        <v>3316</v>
      </c>
      <c r="AT36" s="2261" t="s">
        <v>3316</v>
      </c>
      <c r="AU36" s="2261" t="s">
        <v>3316</v>
      </c>
      <c r="AV36" s="2261" t="s">
        <v>3316</v>
      </c>
      <c r="AW36" s="2261" t="s">
        <v>3316</v>
      </c>
      <c r="AX36" s="2261" t="s">
        <v>3316</v>
      </c>
      <c r="AY36" s="2261" t="s">
        <v>3316</v>
      </c>
      <c r="BA36" s="2014"/>
      <c r="BB36" s="2014" t="e">
        <f t="shared" si="11"/>
        <v>#REF!</v>
      </c>
      <c r="BC36" s="2014"/>
      <c r="BD36" s="2013" t="e">
        <f>BR36*#REF!</f>
        <v>#REF!</v>
      </c>
      <c r="BE36" s="2013" t="e">
        <f>BS36*#REF!</f>
        <v>#REF!</v>
      </c>
      <c r="BF36" s="2013" t="e">
        <f>BT36*#REF!</f>
        <v>#REF!</v>
      </c>
      <c r="BG36" s="2013" t="e">
        <f>BU36*#REF!</f>
        <v>#REF!</v>
      </c>
      <c r="BH36" s="2226" t="e">
        <f>BV36*#REF!</f>
        <v>#REF!</v>
      </c>
      <c r="BI36" s="2013" t="e">
        <f>BW36*#REF!</f>
        <v>#REF!</v>
      </c>
      <c r="BJ36" s="2013" t="e">
        <f>BX36*#REF!</f>
        <v>#REF!</v>
      </c>
      <c r="BK36" s="2013" t="e">
        <f>BY36*#REF!</f>
        <v>#REF!</v>
      </c>
      <c r="BL36" s="2013" t="e">
        <f>BZ36*#REF!</f>
        <v>#REF!</v>
      </c>
      <c r="BM36" s="2013" t="e">
        <f>CA36*#REF!</f>
        <v>#REF!</v>
      </c>
      <c r="BO36" s="2040">
        <f t="shared" si="12"/>
        <v>3.1</v>
      </c>
      <c r="BP36" s="2040" t="str">
        <f t="shared" si="13"/>
        <v xml:space="preserve"> Q1 3</v>
      </c>
      <c r="BQ36" s="829" t="str">
        <f t="shared" si="14"/>
        <v>昼光利用</v>
      </c>
      <c r="BR36" s="2010">
        <f t="shared" si="15"/>
        <v>0.3</v>
      </c>
      <c r="BS36" s="2010">
        <f t="shared" si="16"/>
        <v>0.3</v>
      </c>
      <c r="BT36" s="2010">
        <f t="shared" si="17"/>
        <v>0.5</v>
      </c>
      <c r="BU36" s="2010">
        <f t="shared" si="18"/>
        <v>1</v>
      </c>
      <c r="BV36" s="2225">
        <f t="shared" si="19"/>
        <v>0.3</v>
      </c>
      <c r="BW36" s="2010">
        <f t="shared" si="20"/>
        <v>0.3</v>
      </c>
      <c r="BX36" s="2010">
        <f t="shared" si="21"/>
        <v>0.3</v>
      </c>
      <c r="BY36" s="2010">
        <f t="shared" si="22"/>
        <v>0.3</v>
      </c>
      <c r="BZ36" s="2010">
        <f t="shared" si="23"/>
        <v>0.3</v>
      </c>
      <c r="CA36" s="2010">
        <f t="shared" si="24"/>
        <v>0.3</v>
      </c>
      <c r="CB36" s="2039">
        <f t="shared" si="25"/>
        <v>0.3</v>
      </c>
      <c r="CC36" s="2010">
        <f t="shared" si="26"/>
        <v>0.3</v>
      </c>
      <c r="CD36" s="2010">
        <f t="shared" si="27"/>
        <v>0.3</v>
      </c>
      <c r="CF36" s="1207">
        <v>3.1</v>
      </c>
      <c r="CG36" s="1211" t="s">
        <v>2130</v>
      </c>
      <c r="CH36" s="1208" t="s">
        <v>1534</v>
      </c>
      <c r="CI36" s="1209">
        <v>0.3</v>
      </c>
      <c r="CJ36" s="1209">
        <v>0.3</v>
      </c>
      <c r="CK36" s="1209">
        <v>0.5</v>
      </c>
      <c r="CL36" s="1209">
        <v>1</v>
      </c>
      <c r="CM36" s="1223"/>
      <c r="CN36" s="1209">
        <v>0.3</v>
      </c>
      <c r="CO36" s="1213">
        <v>0.3</v>
      </c>
      <c r="CP36" s="1209">
        <v>0.3</v>
      </c>
      <c r="CQ36" s="1209">
        <v>0.3</v>
      </c>
      <c r="CR36" s="1209">
        <v>0.3</v>
      </c>
      <c r="CS36" s="1214">
        <v>0.3</v>
      </c>
      <c r="CT36" s="1213">
        <v>0.3</v>
      </c>
      <c r="CU36" s="1213">
        <v>0.3</v>
      </c>
      <c r="CW36" s="1207">
        <v>3.1</v>
      </c>
      <c r="CX36" s="1211" t="s">
        <v>2130</v>
      </c>
      <c r="CY36" s="1208" t="s">
        <v>1534</v>
      </c>
      <c r="CZ36" s="1213">
        <v>0.3</v>
      </c>
      <c r="DA36" s="1213">
        <v>0.3</v>
      </c>
      <c r="DB36" s="1213">
        <v>0.5</v>
      </c>
      <c r="DC36" s="1213">
        <v>1</v>
      </c>
      <c r="DD36" s="1215"/>
      <c r="DE36" s="1213">
        <v>0.3</v>
      </c>
      <c r="DF36" s="1213">
        <v>0.3</v>
      </c>
      <c r="DG36" s="1213">
        <v>0.3</v>
      </c>
      <c r="DH36" s="1213">
        <v>0.3</v>
      </c>
      <c r="DI36" s="1213">
        <v>0.3</v>
      </c>
      <c r="DJ36" s="1214">
        <v>0.3</v>
      </c>
      <c r="DK36" s="1213">
        <v>0.3</v>
      </c>
      <c r="DL36" s="1213">
        <v>0.3</v>
      </c>
      <c r="DN36" s="1207">
        <v>3.1</v>
      </c>
      <c r="DO36" s="1211" t="s">
        <v>2130</v>
      </c>
      <c r="DP36" s="1208" t="s">
        <v>1534</v>
      </c>
      <c r="DQ36" s="1213">
        <v>0.3</v>
      </c>
      <c r="DR36" s="1213">
        <v>0.3</v>
      </c>
      <c r="DS36" s="1213">
        <v>0.5</v>
      </c>
      <c r="DT36" s="1213">
        <v>1</v>
      </c>
      <c r="DU36" s="1573">
        <v>0.3</v>
      </c>
      <c r="DV36" s="1213">
        <v>0.3</v>
      </c>
      <c r="DW36" s="1213">
        <v>0.3</v>
      </c>
      <c r="DX36" s="1213">
        <v>0.3</v>
      </c>
      <c r="DY36" s="1213">
        <v>0.3</v>
      </c>
      <c r="DZ36" s="1213">
        <v>0.3</v>
      </c>
      <c r="EA36" s="1214">
        <v>0.3</v>
      </c>
      <c r="EB36" s="1213">
        <v>0.3</v>
      </c>
      <c r="EC36" s="1213">
        <v>0.3</v>
      </c>
      <c r="ED36" s="1469"/>
      <c r="EF36" s="1207">
        <v>3.1</v>
      </c>
      <c r="EG36" s="1211" t="s">
        <v>2130</v>
      </c>
      <c r="EH36" s="1208" t="s">
        <v>1534</v>
      </c>
      <c r="EI36" s="1689">
        <f t="shared" si="63"/>
        <v>0.3</v>
      </c>
      <c r="EJ36" s="1689">
        <f t="shared" si="63"/>
        <v>0.3</v>
      </c>
      <c r="EK36" s="1689">
        <f t="shared" si="63"/>
        <v>0.5</v>
      </c>
      <c r="EL36" s="1689">
        <f t="shared" si="63"/>
        <v>1</v>
      </c>
      <c r="EM36" s="1689">
        <f t="shared" si="63"/>
        <v>0.3</v>
      </c>
      <c r="EN36" s="1689">
        <f t="shared" si="63"/>
        <v>0.3</v>
      </c>
      <c r="EO36" s="1689">
        <f t="shared" si="63"/>
        <v>0.3</v>
      </c>
      <c r="EP36" s="1689">
        <f t="shared" si="63"/>
        <v>0.3</v>
      </c>
      <c r="EQ36" s="1689">
        <f t="shared" si="63"/>
        <v>0.3</v>
      </c>
      <c r="ER36" s="1689">
        <f t="shared" si="63"/>
        <v>0.3</v>
      </c>
      <c r="ES36" s="1691">
        <f t="shared" si="63"/>
        <v>0.3</v>
      </c>
      <c r="ET36" s="1689">
        <f t="shared" si="63"/>
        <v>0.3</v>
      </c>
      <c r="EU36" s="1689">
        <f t="shared" si="63"/>
        <v>0.3</v>
      </c>
      <c r="EW36" s="1207">
        <v>3.1</v>
      </c>
      <c r="EX36" s="1211" t="s">
        <v>2130</v>
      </c>
      <c r="EY36" s="1208" t="s">
        <v>1534</v>
      </c>
      <c r="EZ36" s="1678">
        <f t="shared" si="60"/>
        <v>0.3</v>
      </c>
      <c r="FA36" s="1678"/>
      <c r="FB36" s="1678"/>
      <c r="FC36" s="1678"/>
      <c r="FD36" s="1678"/>
      <c r="FE36" s="1678"/>
      <c r="FF36" s="1678"/>
      <c r="FG36" s="1678"/>
      <c r="FH36" s="1678"/>
      <c r="FI36" s="1678"/>
      <c r="FJ36" s="1795"/>
      <c r="FK36" s="1678"/>
      <c r="FL36" s="1678"/>
    </row>
    <row r="37" spans="2:168">
      <c r="B37" s="2023" t="str">
        <f t="shared" si="4"/>
        <v>3.1.1</v>
      </c>
      <c r="C37" s="829" t="str">
        <f t="shared" si="5"/>
        <v>昼光率</v>
      </c>
      <c r="D37" s="2100" t="e">
        <f t="shared" ref="D37:E39" si="64">IF(I$36&gt;0,G37/I$36,0)</f>
        <v>#REF!</v>
      </c>
      <c r="E37" s="2021" t="e">
        <f t="shared" si="64"/>
        <v>#REF!</v>
      </c>
      <c r="G37" s="2021" t="e">
        <f t="shared" si="6"/>
        <v>#REF!</v>
      </c>
      <c r="H37" s="2021" t="e">
        <f t="shared" si="7"/>
        <v>#REF!</v>
      </c>
      <c r="I37" s="2021"/>
      <c r="J37" s="2021"/>
      <c r="K37" s="2021" t="e">
        <f>IF(#REF!=0,0,1)</f>
        <v>#REF!</v>
      </c>
      <c r="L37" s="2021" t="e">
        <f>IF(#REF!=0,0,1)</f>
        <v>#REF!</v>
      </c>
      <c r="M37" s="2021">
        <f t="shared" si="8"/>
        <v>0.6</v>
      </c>
      <c r="N37" s="2021">
        <f t="shared" si="9"/>
        <v>0</v>
      </c>
      <c r="P37" s="2214"/>
      <c r="Q37" s="2019"/>
      <c r="R37" s="993">
        <v>1</v>
      </c>
      <c r="S37" s="1655" t="s">
        <v>1535</v>
      </c>
      <c r="T37" s="2036"/>
      <c r="U37" s="2017"/>
      <c r="V37" s="2025">
        <f t="shared" si="43"/>
        <v>0</v>
      </c>
      <c r="W37" s="2024">
        <f t="shared" si="44"/>
        <v>0</v>
      </c>
      <c r="Y37" s="1">
        <f t="shared" si="29"/>
        <v>0</v>
      </c>
      <c r="Z37" s="1">
        <f t="shared" si="30"/>
        <v>0</v>
      </c>
      <c r="AA37" s="1">
        <f t="shared" si="31"/>
        <v>0</v>
      </c>
      <c r="AB37" s="1">
        <f t="shared" si="32"/>
        <v>0</v>
      </c>
      <c r="AC37" s="1">
        <f t="shared" si="33"/>
        <v>0</v>
      </c>
      <c r="AD37" s="1">
        <f t="shared" si="34"/>
        <v>0</v>
      </c>
      <c r="AE37" s="1">
        <f t="shared" si="35"/>
        <v>0</v>
      </c>
      <c r="AF37" s="1">
        <f t="shared" si="36"/>
        <v>0</v>
      </c>
      <c r="AG37" s="1">
        <f t="shared" si="37"/>
        <v>0</v>
      </c>
      <c r="AH37" s="1">
        <f t="shared" si="38"/>
        <v>0</v>
      </c>
      <c r="AI37" s="1">
        <f t="shared" si="39"/>
        <v>0</v>
      </c>
      <c r="AJ37" s="1">
        <f t="shared" si="40"/>
        <v>0</v>
      </c>
      <c r="AK37" s="1">
        <f t="shared" si="41"/>
        <v>0</v>
      </c>
      <c r="AM37" s="1827"/>
      <c r="AN37" s="1827"/>
      <c r="AO37" s="1827"/>
      <c r="AP37" s="1827"/>
      <c r="AQ37" s="1827"/>
      <c r="AR37" s="1827"/>
      <c r="AS37" s="1827"/>
      <c r="AT37" s="1827"/>
      <c r="AU37" s="1827"/>
      <c r="AV37" s="1827"/>
      <c r="AW37" s="1827"/>
      <c r="AX37" s="1827"/>
      <c r="AY37" s="1827"/>
      <c r="BA37" s="2014"/>
      <c r="BB37" s="2014" t="e">
        <f t="shared" si="11"/>
        <v>#REF!</v>
      </c>
      <c r="BC37" s="2014"/>
      <c r="BD37" s="2013" t="e">
        <f>BR37*#REF!</f>
        <v>#REF!</v>
      </c>
      <c r="BE37" s="2013" t="e">
        <f>BS37*#REF!</f>
        <v>#REF!</v>
      </c>
      <c r="BF37" s="2013" t="e">
        <f>BT37*#REF!</f>
        <v>#REF!</v>
      </c>
      <c r="BG37" s="2013" t="e">
        <f>BU37*#REF!</f>
        <v>#REF!</v>
      </c>
      <c r="BH37" s="2226" t="e">
        <f>BV37*#REF!</f>
        <v>#REF!</v>
      </c>
      <c r="BI37" s="2013" t="e">
        <f>BW37*#REF!</f>
        <v>#REF!</v>
      </c>
      <c r="BJ37" s="2013" t="e">
        <f>BX37*#REF!</f>
        <v>#REF!</v>
      </c>
      <c r="BK37" s="2013" t="e">
        <f>BY37*#REF!</f>
        <v>#REF!</v>
      </c>
      <c r="BL37" s="2013" t="e">
        <f>BZ37*#REF!</f>
        <v>#REF!</v>
      </c>
      <c r="BM37" s="2013" t="e">
        <f>CA37*#REF!</f>
        <v>#REF!</v>
      </c>
      <c r="BO37" s="2040" t="str">
        <f t="shared" si="12"/>
        <v>3.1.1</v>
      </c>
      <c r="BP37" s="2040" t="str">
        <f t="shared" si="13"/>
        <v xml:space="preserve"> Q1 3.1</v>
      </c>
      <c r="BQ37" s="829" t="str">
        <f t="shared" si="14"/>
        <v>昼光率</v>
      </c>
      <c r="BR37" s="2010">
        <f t="shared" si="15"/>
        <v>0.6</v>
      </c>
      <c r="BS37" s="2010">
        <f t="shared" si="16"/>
        <v>0.6</v>
      </c>
      <c r="BT37" s="2010">
        <f t="shared" si="17"/>
        <v>0</v>
      </c>
      <c r="BU37" s="2010">
        <f t="shared" si="18"/>
        <v>0</v>
      </c>
      <c r="BV37" s="2225">
        <f t="shared" si="19"/>
        <v>0.6</v>
      </c>
      <c r="BW37" s="2010">
        <f t="shared" si="20"/>
        <v>0.6</v>
      </c>
      <c r="BX37" s="2010">
        <f t="shared" si="21"/>
        <v>0.6</v>
      </c>
      <c r="BY37" s="2010">
        <f t="shared" si="22"/>
        <v>0.6</v>
      </c>
      <c r="BZ37" s="2010">
        <f t="shared" si="23"/>
        <v>0.6</v>
      </c>
      <c r="CA37" s="2010">
        <f t="shared" si="24"/>
        <v>0.6</v>
      </c>
      <c r="CB37" s="2039">
        <f t="shared" si="25"/>
        <v>0.6</v>
      </c>
      <c r="CC37" s="2010">
        <f t="shared" si="26"/>
        <v>0.6</v>
      </c>
      <c r="CD37" s="2010">
        <f t="shared" si="27"/>
        <v>0.5</v>
      </c>
      <c r="CF37" s="1207" t="s">
        <v>3328</v>
      </c>
      <c r="CG37" s="1211" t="s">
        <v>2131</v>
      </c>
      <c r="CH37" s="1208" t="s">
        <v>2132</v>
      </c>
      <c r="CI37" s="1209">
        <v>0.6</v>
      </c>
      <c r="CJ37" s="1209">
        <v>0.6</v>
      </c>
      <c r="CK37" s="1209"/>
      <c r="CL37" s="1209"/>
      <c r="CM37" s="1223"/>
      <c r="CN37" s="1209">
        <v>0.6</v>
      </c>
      <c r="CO37" s="1213">
        <v>0.6</v>
      </c>
      <c r="CP37" s="1209">
        <v>0.6</v>
      </c>
      <c r="CQ37" s="1209">
        <v>0.6</v>
      </c>
      <c r="CR37" s="1209">
        <v>0.6</v>
      </c>
      <c r="CS37" s="1214">
        <v>0.6</v>
      </c>
      <c r="CT37" s="1213">
        <v>0.6</v>
      </c>
      <c r="CU37" s="1213">
        <v>0.5</v>
      </c>
      <c r="CW37" s="1207" t="s">
        <v>3328</v>
      </c>
      <c r="CX37" s="1211" t="s">
        <v>2131</v>
      </c>
      <c r="CY37" s="1208" t="s">
        <v>2132</v>
      </c>
      <c r="CZ37" s="1213">
        <v>0.6</v>
      </c>
      <c r="DA37" s="1213">
        <v>0.6</v>
      </c>
      <c r="DB37" s="1213"/>
      <c r="DC37" s="1213"/>
      <c r="DD37" s="1215"/>
      <c r="DE37" s="1213">
        <v>0.6</v>
      </c>
      <c r="DF37" s="1213">
        <v>0.6</v>
      </c>
      <c r="DG37" s="1213">
        <v>0.6</v>
      </c>
      <c r="DH37" s="1213">
        <v>0.6</v>
      </c>
      <c r="DI37" s="1213">
        <v>0.6</v>
      </c>
      <c r="DJ37" s="1214">
        <v>0.6</v>
      </c>
      <c r="DK37" s="1213">
        <v>0.6</v>
      </c>
      <c r="DL37" s="1213">
        <v>0.5</v>
      </c>
      <c r="DN37" s="1207" t="s">
        <v>3328</v>
      </c>
      <c r="DO37" s="1211" t="s">
        <v>2131</v>
      </c>
      <c r="DP37" s="1208" t="s">
        <v>2132</v>
      </c>
      <c r="DQ37" s="1213">
        <v>0.6</v>
      </c>
      <c r="DR37" s="1213">
        <v>0.6</v>
      </c>
      <c r="DS37" s="1213"/>
      <c r="DT37" s="1213"/>
      <c r="DU37" s="1571">
        <v>0.6</v>
      </c>
      <c r="DV37" s="1213">
        <v>0.6</v>
      </c>
      <c r="DW37" s="1213">
        <v>0.6</v>
      </c>
      <c r="DX37" s="1213">
        <v>0.6</v>
      </c>
      <c r="DY37" s="1213">
        <v>0.6</v>
      </c>
      <c r="DZ37" s="1213">
        <v>0.6</v>
      </c>
      <c r="EA37" s="1214">
        <v>0.6</v>
      </c>
      <c r="EB37" s="1213">
        <v>0.6</v>
      </c>
      <c r="EC37" s="1213">
        <v>0.5</v>
      </c>
      <c r="ED37" s="1469"/>
      <c r="EF37" s="1207" t="s">
        <v>3328</v>
      </c>
      <c r="EG37" s="1211" t="s">
        <v>2131</v>
      </c>
      <c r="EH37" s="1208" t="s">
        <v>2132</v>
      </c>
      <c r="EI37" s="1689">
        <f t="shared" si="63"/>
        <v>0.6</v>
      </c>
      <c r="EJ37" s="1689">
        <f t="shared" si="63"/>
        <v>0.6</v>
      </c>
      <c r="EK37" s="1689">
        <f t="shared" si="63"/>
        <v>0</v>
      </c>
      <c r="EL37" s="1689">
        <f t="shared" si="63"/>
        <v>0</v>
      </c>
      <c r="EM37" s="1689">
        <f t="shared" si="63"/>
        <v>0.6</v>
      </c>
      <c r="EN37" s="1689">
        <f t="shared" si="63"/>
        <v>0.6</v>
      </c>
      <c r="EO37" s="1689">
        <f t="shared" si="63"/>
        <v>0.6</v>
      </c>
      <c r="EP37" s="1689">
        <f t="shared" si="63"/>
        <v>0.6</v>
      </c>
      <c r="EQ37" s="1689">
        <f t="shared" si="63"/>
        <v>0.6</v>
      </c>
      <c r="ER37" s="1689">
        <f t="shared" si="63"/>
        <v>0.6</v>
      </c>
      <c r="ES37" s="1691">
        <f t="shared" si="63"/>
        <v>0.6</v>
      </c>
      <c r="ET37" s="1689">
        <f t="shared" si="63"/>
        <v>0.6</v>
      </c>
      <c r="EU37" s="1689">
        <f t="shared" si="63"/>
        <v>0.5</v>
      </c>
      <c r="EW37" s="1207" t="s">
        <v>3328</v>
      </c>
      <c r="EX37" s="1211" t="s">
        <v>2131</v>
      </c>
      <c r="EY37" s="1208" t="s">
        <v>2132</v>
      </c>
      <c r="EZ37" s="1678">
        <f t="shared" si="60"/>
        <v>0.6</v>
      </c>
      <c r="FA37" s="1678"/>
      <c r="FB37" s="1678"/>
      <c r="FC37" s="1678"/>
      <c r="FD37" s="1678"/>
      <c r="FE37" s="1678"/>
      <c r="FF37" s="1678"/>
      <c r="FG37" s="1678"/>
      <c r="FH37" s="1678"/>
      <c r="FI37" s="1678"/>
      <c r="FJ37" s="1795"/>
      <c r="FK37" s="1678"/>
      <c r="FL37" s="1678"/>
    </row>
    <row r="38" spans="2:168">
      <c r="B38" s="2023" t="str">
        <f t="shared" si="4"/>
        <v>3.1.2</v>
      </c>
      <c r="C38" s="829" t="str">
        <f t="shared" si="5"/>
        <v>方位別開口</v>
      </c>
      <c r="D38" s="2100" t="e">
        <f t="shared" si="64"/>
        <v>#REF!</v>
      </c>
      <c r="E38" s="2021" t="e">
        <f t="shared" si="64"/>
        <v>#REF!</v>
      </c>
      <c r="G38" s="2021" t="e">
        <f t="shared" si="6"/>
        <v>#REF!</v>
      </c>
      <c r="H38" s="2021" t="e">
        <f t="shared" si="7"/>
        <v>#REF!</v>
      </c>
      <c r="I38" s="2021"/>
      <c r="J38" s="2021"/>
      <c r="K38" s="2021" t="e">
        <f>IF(#REF!=0,0,1)</f>
        <v>#REF!</v>
      </c>
      <c r="L38" s="2021" t="e">
        <f>IF(#REF!=0,0,1)</f>
        <v>#REF!</v>
      </c>
      <c r="M38" s="2021">
        <f t="shared" si="8"/>
        <v>0</v>
      </c>
      <c r="N38" s="2021">
        <f t="shared" si="9"/>
        <v>0</v>
      </c>
      <c r="P38" s="2214"/>
      <c r="Q38" s="2019"/>
      <c r="R38" s="993">
        <v>2</v>
      </c>
      <c r="S38" s="1655" t="s">
        <v>1536</v>
      </c>
      <c r="T38" s="2036"/>
      <c r="U38" s="2017"/>
      <c r="V38" s="2038">
        <f t="shared" si="43"/>
        <v>0</v>
      </c>
      <c r="W38" s="2037">
        <f t="shared" si="44"/>
        <v>0</v>
      </c>
      <c r="Y38" s="1">
        <f t="shared" si="29"/>
        <v>0</v>
      </c>
      <c r="Z38" s="1">
        <f t="shared" si="30"/>
        <v>0</v>
      </c>
      <c r="AA38" s="1">
        <f t="shared" si="31"/>
        <v>0</v>
      </c>
      <c r="AB38" s="1">
        <f t="shared" si="32"/>
        <v>0</v>
      </c>
      <c r="AC38" s="1">
        <f t="shared" si="33"/>
        <v>0</v>
      </c>
      <c r="AD38" s="1">
        <f t="shared" si="34"/>
        <v>0</v>
      </c>
      <c r="AE38" s="1">
        <f t="shared" si="35"/>
        <v>0</v>
      </c>
      <c r="AF38" s="1">
        <f t="shared" si="36"/>
        <v>0</v>
      </c>
      <c r="AG38" s="1">
        <f t="shared" si="37"/>
        <v>0</v>
      </c>
      <c r="AH38" s="1">
        <f t="shared" si="38"/>
        <v>0</v>
      </c>
      <c r="AI38" s="1">
        <f t="shared" si="39"/>
        <v>0</v>
      </c>
      <c r="AJ38" s="1">
        <f t="shared" si="40"/>
        <v>0</v>
      </c>
      <c r="AK38" s="1">
        <f t="shared" si="41"/>
        <v>0</v>
      </c>
      <c r="AM38" s="1828"/>
      <c r="AN38" s="1828"/>
      <c r="AO38" s="1828"/>
      <c r="AP38" s="1828"/>
      <c r="AQ38" s="1828"/>
      <c r="AR38" s="1828"/>
      <c r="AS38" s="1828"/>
      <c r="AT38" s="1828"/>
      <c r="AU38" s="1828"/>
      <c r="AV38" s="1828"/>
      <c r="AW38" s="1828"/>
      <c r="AX38" s="1828"/>
      <c r="AY38" s="1828"/>
      <c r="BA38" s="2014"/>
      <c r="BB38" s="2014" t="e">
        <f t="shared" si="11"/>
        <v>#REF!</v>
      </c>
      <c r="BC38" s="2014"/>
      <c r="BD38" s="2013" t="e">
        <f>BR38*#REF!</f>
        <v>#REF!</v>
      </c>
      <c r="BE38" s="2013" t="e">
        <f>BS38*#REF!</f>
        <v>#REF!</v>
      </c>
      <c r="BF38" s="2013" t="e">
        <f>BT38*#REF!</f>
        <v>#REF!</v>
      </c>
      <c r="BG38" s="2013" t="e">
        <f>BU38*#REF!</f>
        <v>#REF!</v>
      </c>
      <c r="BH38" s="2226" t="e">
        <f>BV38*#REF!</f>
        <v>#REF!</v>
      </c>
      <c r="BI38" s="2013" t="e">
        <f>BW38*#REF!</f>
        <v>#REF!</v>
      </c>
      <c r="BJ38" s="2013" t="e">
        <f>BX38*#REF!</f>
        <v>#REF!</v>
      </c>
      <c r="BK38" s="2013" t="e">
        <f>BY38*#REF!</f>
        <v>#REF!</v>
      </c>
      <c r="BL38" s="2013" t="e">
        <f>BZ38*#REF!</f>
        <v>#REF!</v>
      </c>
      <c r="BM38" s="2013" t="e">
        <f>CA38*#REF!</f>
        <v>#REF!</v>
      </c>
      <c r="BO38" s="2040" t="str">
        <f t="shared" si="12"/>
        <v>3.1.2</v>
      </c>
      <c r="BP38" s="2040" t="str">
        <f t="shared" si="13"/>
        <v xml:space="preserve"> Q1 3.1</v>
      </c>
      <c r="BQ38" s="829" t="str">
        <f t="shared" si="14"/>
        <v>方位別開口</v>
      </c>
      <c r="BR38" s="2010">
        <f t="shared" si="15"/>
        <v>0</v>
      </c>
      <c r="BS38" s="2010">
        <f t="shared" si="16"/>
        <v>0</v>
      </c>
      <c r="BT38" s="2010">
        <f t="shared" si="17"/>
        <v>0</v>
      </c>
      <c r="BU38" s="2010">
        <f t="shared" si="18"/>
        <v>0</v>
      </c>
      <c r="BV38" s="2225">
        <f t="shared" si="19"/>
        <v>0</v>
      </c>
      <c r="BW38" s="2010">
        <f t="shared" si="20"/>
        <v>0</v>
      </c>
      <c r="BX38" s="2010">
        <f t="shared" si="21"/>
        <v>0</v>
      </c>
      <c r="BY38" s="2010">
        <f t="shared" si="22"/>
        <v>0</v>
      </c>
      <c r="BZ38" s="2010">
        <f t="shared" si="23"/>
        <v>0</v>
      </c>
      <c r="CA38" s="2010">
        <f t="shared" si="24"/>
        <v>0</v>
      </c>
      <c r="CB38" s="2039">
        <f t="shared" si="25"/>
        <v>0</v>
      </c>
      <c r="CC38" s="2010">
        <f t="shared" si="26"/>
        <v>0</v>
      </c>
      <c r="CD38" s="2010">
        <f t="shared" si="27"/>
        <v>0.3</v>
      </c>
      <c r="CF38" s="1207" t="s">
        <v>3327</v>
      </c>
      <c r="CG38" s="1211" t="s">
        <v>2131</v>
      </c>
      <c r="CH38" s="1208" t="s">
        <v>2133</v>
      </c>
      <c r="CI38" s="1209"/>
      <c r="CJ38" s="1209"/>
      <c r="CK38" s="1209"/>
      <c r="CL38" s="1209"/>
      <c r="CM38" s="1223"/>
      <c r="CN38" s="1209"/>
      <c r="CO38" s="1213"/>
      <c r="CP38" s="1209"/>
      <c r="CQ38" s="1209"/>
      <c r="CR38" s="1209"/>
      <c r="CS38" s="1214"/>
      <c r="CT38" s="1213"/>
      <c r="CU38" s="1213">
        <v>0.3</v>
      </c>
      <c r="CW38" s="1207" t="s">
        <v>3327</v>
      </c>
      <c r="CX38" s="1211" t="s">
        <v>2131</v>
      </c>
      <c r="CY38" s="1208" t="s">
        <v>2133</v>
      </c>
      <c r="CZ38" s="1213"/>
      <c r="DA38" s="1213"/>
      <c r="DB38" s="1213"/>
      <c r="DC38" s="1213"/>
      <c r="DD38" s="1215"/>
      <c r="DE38" s="1213"/>
      <c r="DF38" s="1213"/>
      <c r="DG38" s="1213"/>
      <c r="DH38" s="1213"/>
      <c r="DI38" s="1213"/>
      <c r="DJ38" s="1214"/>
      <c r="DK38" s="1213"/>
      <c r="DL38" s="1213">
        <v>0.3</v>
      </c>
      <c r="DN38" s="1207" t="s">
        <v>3327</v>
      </c>
      <c r="DO38" s="1211" t="s">
        <v>2131</v>
      </c>
      <c r="DP38" s="1208" t="s">
        <v>2133</v>
      </c>
      <c r="DQ38" s="1213"/>
      <c r="DR38" s="1213"/>
      <c r="DS38" s="1213"/>
      <c r="DT38" s="1213"/>
      <c r="DU38" s="1571"/>
      <c r="DV38" s="1213"/>
      <c r="DW38" s="1213"/>
      <c r="DX38" s="1213"/>
      <c r="DY38" s="1213"/>
      <c r="DZ38" s="1213"/>
      <c r="EA38" s="1214"/>
      <c r="EB38" s="1213"/>
      <c r="EC38" s="1213">
        <v>0.3</v>
      </c>
      <c r="ED38" s="1469"/>
      <c r="EF38" s="1207" t="s">
        <v>3327</v>
      </c>
      <c r="EG38" s="1211" t="s">
        <v>2131</v>
      </c>
      <c r="EH38" s="1208" t="s">
        <v>2133</v>
      </c>
      <c r="EI38" s="1689">
        <f t="shared" si="63"/>
        <v>0</v>
      </c>
      <c r="EJ38" s="1689">
        <f t="shared" si="63"/>
        <v>0</v>
      </c>
      <c r="EK38" s="1689">
        <f t="shared" si="63"/>
        <v>0</v>
      </c>
      <c r="EL38" s="1689">
        <f t="shared" si="63"/>
        <v>0</v>
      </c>
      <c r="EM38" s="1689">
        <f t="shared" si="63"/>
        <v>0</v>
      </c>
      <c r="EN38" s="1689">
        <f t="shared" si="63"/>
        <v>0</v>
      </c>
      <c r="EO38" s="1689">
        <f t="shared" si="63"/>
        <v>0</v>
      </c>
      <c r="EP38" s="1689">
        <f t="shared" si="63"/>
        <v>0</v>
      </c>
      <c r="EQ38" s="1689">
        <f t="shared" si="63"/>
        <v>0</v>
      </c>
      <c r="ER38" s="1689">
        <f t="shared" si="63"/>
        <v>0</v>
      </c>
      <c r="ES38" s="1691">
        <f t="shared" si="63"/>
        <v>0</v>
      </c>
      <c r="ET38" s="1689">
        <f t="shared" si="63"/>
        <v>0</v>
      </c>
      <c r="EU38" s="1689">
        <f t="shared" si="63"/>
        <v>0.3</v>
      </c>
      <c r="EW38" s="1207" t="s">
        <v>3327</v>
      </c>
      <c r="EX38" s="1211" t="s">
        <v>2131</v>
      </c>
      <c r="EY38" s="1208" t="s">
        <v>2133</v>
      </c>
      <c r="EZ38" s="1678">
        <f t="shared" si="60"/>
        <v>0</v>
      </c>
      <c r="FA38" s="1678"/>
      <c r="FB38" s="1678"/>
      <c r="FC38" s="1678"/>
      <c r="FD38" s="1678"/>
      <c r="FE38" s="1678"/>
      <c r="FF38" s="1678"/>
      <c r="FG38" s="1678"/>
      <c r="FH38" s="1678"/>
      <c r="FI38" s="1678"/>
      <c r="FJ38" s="1795"/>
      <c r="FK38" s="1678"/>
      <c r="FL38" s="1678"/>
    </row>
    <row r="39" spans="2:168" ht="14.25" thickBot="1">
      <c r="B39" s="2023" t="str">
        <f t="shared" si="4"/>
        <v>3.1.3</v>
      </c>
      <c r="C39" s="829" t="str">
        <f t="shared" si="5"/>
        <v>昼光利用設備</v>
      </c>
      <c r="D39" s="2100" t="e">
        <f t="shared" si="64"/>
        <v>#REF!</v>
      </c>
      <c r="E39" s="2021" t="e">
        <f t="shared" si="64"/>
        <v>#REF!</v>
      </c>
      <c r="G39" s="2021" t="e">
        <f t="shared" si="6"/>
        <v>#REF!</v>
      </c>
      <c r="H39" s="2021" t="e">
        <f t="shared" si="7"/>
        <v>#REF!</v>
      </c>
      <c r="I39" s="2021"/>
      <c r="J39" s="2021"/>
      <c r="K39" s="2021" t="e">
        <f>IF(#REF!=0,0,1)</f>
        <v>#REF!</v>
      </c>
      <c r="L39" s="2021" t="e">
        <f>IF(#REF!=0,0,1)</f>
        <v>#REF!</v>
      </c>
      <c r="M39" s="2021">
        <f t="shared" si="8"/>
        <v>0.4</v>
      </c>
      <c r="N39" s="2021">
        <f t="shared" si="9"/>
        <v>0</v>
      </c>
      <c r="P39" s="2214"/>
      <c r="Q39" s="2067"/>
      <c r="R39" s="993">
        <v>3</v>
      </c>
      <c r="S39" s="1655" t="s">
        <v>1537</v>
      </c>
      <c r="T39" s="2036"/>
      <c r="U39" s="2017"/>
      <c r="V39" s="2016">
        <f t="shared" si="43"/>
        <v>0</v>
      </c>
      <c r="W39" s="2015">
        <f t="shared" si="44"/>
        <v>0</v>
      </c>
      <c r="Y39" s="1">
        <f t="shared" si="29"/>
        <v>0</v>
      </c>
      <c r="Z39" s="1">
        <f t="shared" si="30"/>
        <v>0</v>
      </c>
      <c r="AA39" s="1">
        <f t="shared" si="31"/>
        <v>0</v>
      </c>
      <c r="AB39" s="1">
        <f t="shared" si="32"/>
        <v>0</v>
      </c>
      <c r="AC39" s="1">
        <f t="shared" si="33"/>
        <v>0</v>
      </c>
      <c r="AD39" s="1">
        <f t="shared" si="34"/>
        <v>0</v>
      </c>
      <c r="AE39" s="1">
        <f t="shared" si="35"/>
        <v>0</v>
      </c>
      <c r="AF39" s="1">
        <f t="shared" si="36"/>
        <v>0</v>
      </c>
      <c r="AG39" s="1">
        <f t="shared" si="37"/>
        <v>0</v>
      </c>
      <c r="AH39" s="1">
        <f t="shared" si="38"/>
        <v>0</v>
      </c>
      <c r="AI39" s="1">
        <f t="shared" si="39"/>
        <v>1</v>
      </c>
      <c r="AJ39" s="1">
        <f t="shared" si="40"/>
        <v>0</v>
      </c>
      <c r="AK39" s="1">
        <f t="shared" si="41"/>
        <v>0</v>
      </c>
      <c r="AM39" s="1831"/>
      <c r="AN39" s="1831"/>
      <c r="AO39" s="1831"/>
      <c r="AP39" s="1831"/>
      <c r="AQ39" s="1831"/>
      <c r="AR39" s="1831"/>
      <c r="AS39" s="1831"/>
      <c r="AT39" s="1831"/>
      <c r="AU39" s="1831"/>
      <c r="AV39" s="1831"/>
      <c r="AW39" s="1831">
        <v>4</v>
      </c>
      <c r="AX39" s="1831"/>
      <c r="AY39" s="1831"/>
      <c r="BA39" s="2014"/>
      <c r="BB39" s="2014" t="e">
        <f t="shared" si="11"/>
        <v>#REF!</v>
      </c>
      <c r="BC39" s="2014"/>
      <c r="BD39" s="2013" t="e">
        <f>BR39*#REF!</f>
        <v>#REF!</v>
      </c>
      <c r="BE39" s="2013" t="e">
        <f>BS39*#REF!</f>
        <v>#REF!</v>
      </c>
      <c r="BF39" s="2013" t="e">
        <f>BT39*#REF!</f>
        <v>#REF!</v>
      </c>
      <c r="BG39" s="2013" t="e">
        <f>BU39*#REF!</f>
        <v>#REF!</v>
      </c>
      <c r="BH39" s="2226" t="e">
        <f>BV39*#REF!</f>
        <v>#REF!</v>
      </c>
      <c r="BI39" s="2013" t="e">
        <f>BW39*#REF!</f>
        <v>#REF!</v>
      </c>
      <c r="BJ39" s="2013" t="e">
        <f>BX39*#REF!</f>
        <v>#REF!</v>
      </c>
      <c r="BK39" s="2013" t="e">
        <f>BY39*#REF!</f>
        <v>#REF!</v>
      </c>
      <c r="BL39" s="2013" t="e">
        <f>BZ39*#REF!</f>
        <v>#REF!</v>
      </c>
      <c r="BM39" s="2013" t="e">
        <f>CA39*#REF!</f>
        <v>#REF!</v>
      </c>
      <c r="BO39" s="2040" t="str">
        <f t="shared" si="12"/>
        <v>3.1.3</v>
      </c>
      <c r="BP39" s="2040" t="str">
        <f t="shared" si="13"/>
        <v xml:space="preserve"> Q1 3.1</v>
      </c>
      <c r="BQ39" s="829" t="str">
        <f t="shared" si="14"/>
        <v>昼光利用設備</v>
      </c>
      <c r="BR39" s="2010">
        <f t="shared" si="15"/>
        <v>0.4</v>
      </c>
      <c r="BS39" s="2010">
        <f t="shared" si="16"/>
        <v>0.4</v>
      </c>
      <c r="BT39" s="2010">
        <f t="shared" si="17"/>
        <v>1</v>
      </c>
      <c r="BU39" s="2010">
        <f t="shared" si="18"/>
        <v>1</v>
      </c>
      <c r="BV39" s="2225">
        <f t="shared" si="19"/>
        <v>0.4</v>
      </c>
      <c r="BW39" s="2010">
        <f t="shared" si="20"/>
        <v>0.4</v>
      </c>
      <c r="BX39" s="2010">
        <f t="shared" si="21"/>
        <v>0.4</v>
      </c>
      <c r="BY39" s="2010">
        <f t="shared" si="22"/>
        <v>0.4</v>
      </c>
      <c r="BZ39" s="2010">
        <f t="shared" si="23"/>
        <v>0.4</v>
      </c>
      <c r="CA39" s="2010">
        <f t="shared" si="24"/>
        <v>0.4</v>
      </c>
      <c r="CB39" s="2039">
        <f t="shared" si="25"/>
        <v>0.4</v>
      </c>
      <c r="CC39" s="2010">
        <f t="shared" si="26"/>
        <v>0.4</v>
      </c>
      <c r="CD39" s="2010">
        <f t="shared" si="27"/>
        <v>0.2</v>
      </c>
      <c r="CF39" s="1207" t="s">
        <v>3326</v>
      </c>
      <c r="CG39" s="1211" t="s">
        <v>2131</v>
      </c>
      <c r="CH39" s="1208" t="s">
        <v>2134</v>
      </c>
      <c r="CI39" s="1209">
        <v>0.4</v>
      </c>
      <c r="CJ39" s="1209">
        <v>0.4</v>
      </c>
      <c r="CK39" s="1209">
        <v>1</v>
      </c>
      <c r="CL39" s="1209">
        <v>1</v>
      </c>
      <c r="CM39" s="1223"/>
      <c r="CN39" s="1209">
        <v>0.4</v>
      </c>
      <c r="CO39" s="1213">
        <v>0.4</v>
      </c>
      <c r="CP39" s="1209">
        <v>0.4</v>
      </c>
      <c r="CQ39" s="1209">
        <v>0.4</v>
      </c>
      <c r="CR39" s="1209">
        <v>0.4</v>
      </c>
      <c r="CS39" s="1214">
        <v>0.4</v>
      </c>
      <c r="CT39" s="1213">
        <v>0.4</v>
      </c>
      <c r="CU39" s="1213">
        <v>0.2</v>
      </c>
      <c r="CW39" s="1207" t="s">
        <v>3326</v>
      </c>
      <c r="CX39" s="1211" t="s">
        <v>2131</v>
      </c>
      <c r="CY39" s="1208" t="s">
        <v>2134</v>
      </c>
      <c r="CZ39" s="1213">
        <v>0.4</v>
      </c>
      <c r="DA39" s="1213">
        <v>0.4</v>
      </c>
      <c r="DB39" s="1213">
        <v>1</v>
      </c>
      <c r="DC39" s="1213">
        <v>1</v>
      </c>
      <c r="DD39" s="1215"/>
      <c r="DE39" s="1213">
        <v>0.4</v>
      </c>
      <c r="DF39" s="1213">
        <v>0.4</v>
      </c>
      <c r="DG39" s="1213">
        <v>0.4</v>
      </c>
      <c r="DH39" s="1213">
        <v>0.4</v>
      </c>
      <c r="DI39" s="1213">
        <v>0.4</v>
      </c>
      <c r="DJ39" s="1214">
        <v>0.4</v>
      </c>
      <c r="DK39" s="1213">
        <v>0.4</v>
      </c>
      <c r="DL39" s="1213">
        <v>0.2</v>
      </c>
      <c r="DN39" s="1207" t="s">
        <v>3326</v>
      </c>
      <c r="DO39" s="1211" t="s">
        <v>2131</v>
      </c>
      <c r="DP39" s="1208" t="s">
        <v>2134</v>
      </c>
      <c r="DQ39" s="1213">
        <v>0.4</v>
      </c>
      <c r="DR39" s="1213">
        <v>0.4</v>
      </c>
      <c r="DS39" s="1213">
        <v>1</v>
      </c>
      <c r="DT39" s="1213">
        <v>1</v>
      </c>
      <c r="DU39" s="1571">
        <v>0.4</v>
      </c>
      <c r="DV39" s="1213">
        <v>0.4</v>
      </c>
      <c r="DW39" s="1213">
        <v>0.4</v>
      </c>
      <c r="DX39" s="1213">
        <v>0.4</v>
      </c>
      <c r="DY39" s="1213">
        <v>0.4</v>
      </c>
      <c r="DZ39" s="1213">
        <v>0.4</v>
      </c>
      <c r="EA39" s="1214">
        <v>0.4</v>
      </c>
      <c r="EB39" s="1213">
        <v>0.4</v>
      </c>
      <c r="EC39" s="1213">
        <v>0.2</v>
      </c>
      <c r="ED39" s="1469"/>
      <c r="EF39" s="1207" t="s">
        <v>3326</v>
      </c>
      <c r="EG39" s="1211" t="s">
        <v>2131</v>
      </c>
      <c r="EH39" s="1208" t="s">
        <v>2134</v>
      </c>
      <c r="EI39" s="1689">
        <f t="shared" si="63"/>
        <v>0.4</v>
      </c>
      <c r="EJ39" s="1689">
        <f t="shared" si="63"/>
        <v>0.4</v>
      </c>
      <c r="EK39" s="1689">
        <f t="shared" si="63"/>
        <v>1</v>
      </c>
      <c r="EL39" s="1689">
        <f t="shared" si="63"/>
        <v>1</v>
      </c>
      <c r="EM39" s="1689">
        <f t="shared" si="63"/>
        <v>0.4</v>
      </c>
      <c r="EN39" s="1689">
        <f t="shared" si="63"/>
        <v>0.4</v>
      </c>
      <c r="EO39" s="1689">
        <f t="shared" si="63"/>
        <v>0.4</v>
      </c>
      <c r="EP39" s="1689">
        <f t="shared" si="63"/>
        <v>0.4</v>
      </c>
      <c r="EQ39" s="1689">
        <f t="shared" si="63"/>
        <v>0.4</v>
      </c>
      <c r="ER39" s="1689">
        <f t="shared" si="63"/>
        <v>0.4</v>
      </c>
      <c r="ES39" s="1691">
        <f t="shared" si="63"/>
        <v>0.4</v>
      </c>
      <c r="ET39" s="1689">
        <f t="shared" si="63"/>
        <v>0.4</v>
      </c>
      <c r="EU39" s="1689">
        <f t="shared" si="63"/>
        <v>0.2</v>
      </c>
      <c r="EW39" s="1207" t="s">
        <v>3326</v>
      </c>
      <c r="EX39" s="1211" t="s">
        <v>2131</v>
      </c>
      <c r="EY39" s="1208" t="s">
        <v>2134</v>
      </c>
      <c r="EZ39" s="1678">
        <f t="shared" si="60"/>
        <v>0.4</v>
      </c>
      <c r="FA39" s="1678"/>
      <c r="FB39" s="1678"/>
      <c r="FC39" s="1678"/>
      <c r="FD39" s="1678"/>
      <c r="FE39" s="1678"/>
      <c r="FF39" s="1678"/>
      <c r="FG39" s="1678"/>
      <c r="FH39" s="1678"/>
      <c r="FI39" s="1678"/>
      <c r="FJ39" s="1795"/>
      <c r="FK39" s="1678"/>
      <c r="FL39" s="1678"/>
    </row>
    <row r="40" spans="2:168" ht="14.25" thickBot="1">
      <c r="B40" s="2023">
        <f t="shared" si="4"/>
        <v>3.2</v>
      </c>
      <c r="C40" s="829" t="str">
        <f t="shared" si="5"/>
        <v>グレア対策</v>
      </c>
      <c r="D40" s="2022" t="e">
        <f>IF(I$35=0,0,G40/I$35)</f>
        <v>#REF!</v>
      </c>
      <c r="E40" s="2021" t="e">
        <f>IF(J$35=0,0,H40/J$35)</f>
        <v>#REF!</v>
      </c>
      <c r="G40" s="2021" t="e">
        <f t="shared" si="6"/>
        <v>#REF!</v>
      </c>
      <c r="H40" s="2021" t="e">
        <f t="shared" si="7"/>
        <v>#REF!</v>
      </c>
      <c r="I40" s="2021" t="e">
        <f>SUM(G41:G43)</f>
        <v>#REF!</v>
      </c>
      <c r="J40" s="2021" t="e">
        <f>SUM(H41:H43)</f>
        <v>#REF!</v>
      </c>
      <c r="K40" s="2021" t="e">
        <f>IF(#REF!=0,0,1)</f>
        <v>#REF!</v>
      </c>
      <c r="L40" s="2021" t="e">
        <f>IF(#REF!=0,0,1)</f>
        <v>#REF!</v>
      </c>
      <c r="M40" s="2021">
        <f t="shared" si="8"/>
        <v>0.3</v>
      </c>
      <c r="N40" s="2021">
        <f t="shared" si="9"/>
        <v>0</v>
      </c>
      <c r="P40" s="2123"/>
      <c r="Q40" s="2068">
        <v>3.2</v>
      </c>
      <c r="R40" s="2107" t="s">
        <v>1538</v>
      </c>
      <c r="S40" s="2106"/>
      <c r="T40" s="2106"/>
      <c r="U40" s="2017"/>
      <c r="V40" s="2254">
        <f t="shared" si="43"/>
        <v>0</v>
      </c>
      <c r="W40" s="2253">
        <f t="shared" si="44"/>
        <v>0</v>
      </c>
      <c r="Y40" s="1">
        <f t="shared" si="29"/>
        <v>0</v>
      </c>
      <c r="Z40" s="1">
        <f t="shared" si="30"/>
        <v>0</v>
      </c>
      <c r="AA40" s="1">
        <f t="shared" si="31"/>
        <v>0</v>
      </c>
      <c r="AB40" s="1">
        <f t="shared" si="32"/>
        <v>0</v>
      </c>
      <c r="AC40" s="1">
        <f t="shared" si="33"/>
        <v>0</v>
      </c>
      <c r="AD40" s="1">
        <f t="shared" si="34"/>
        <v>0</v>
      </c>
      <c r="AE40" s="1">
        <f t="shared" si="35"/>
        <v>0</v>
      </c>
      <c r="AF40" s="1">
        <f t="shared" si="36"/>
        <v>0</v>
      </c>
      <c r="AG40" s="1">
        <f t="shared" si="37"/>
        <v>0</v>
      </c>
      <c r="AH40" s="1">
        <f t="shared" si="38"/>
        <v>0</v>
      </c>
      <c r="AI40" s="1">
        <f t="shared" si="39"/>
        <v>0</v>
      </c>
      <c r="AJ40" s="1">
        <f t="shared" si="40"/>
        <v>0</v>
      </c>
      <c r="AK40" s="1">
        <f t="shared" si="41"/>
        <v>0</v>
      </c>
      <c r="AM40" s="2252" t="s">
        <v>3316</v>
      </c>
      <c r="AN40" s="2252" t="s">
        <v>3316</v>
      </c>
      <c r="AO40" s="2252" t="s">
        <v>3316</v>
      </c>
      <c r="AP40" s="2252" t="s">
        <v>3316</v>
      </c>
      <c r="AQ40" s="2252" t="s">
        <v>3316</v>
      </c>
      <c r="AR40" s="2252" t="s">
        <v>3316</v>
      </c>
      <c r="AS40" s="2252" t="s">
        <v>3316</v>
      </c>
      <c r="AT40" s="2252" t="s">
        <v>3316</v>
      </c>
      <c r="AU40" s="2252" t="s">
        <v>3316</v>
      </c>
      <c r="AV40" s="2252" t="s">
        <v>3316</v>
      </c>
      <c r="AW40" s="2252" t="s">
        <v>3316</v>
      </c>
      <c r="AX40" s="2252" t="s">
        <v>3316</v>
      </c>
      <c r="AY40" s="2252" t="s">
        <v>3316</v>
      </c>
      <c r="BA40" s="2014"/>
      <c r="BB40" s="2014" t="e">
        <f t="shared" si="11"/>
        <v>#REF!</v>
      </c>
      <c r="BC40" s="2014"/>
      <c r="BD40" s="2013" t="e">
        <f>BR40*#REF!</f>
        <v>#REF!</v>
      </c>
      <c r="BE40" s="2013" t="e">
        <f>BS40*#REF!</f>
        <v>#REF!</v>
      </c>
      <c r="BF40" s="2013" t="e">
        <f>BT40*#REF!</f>
        <v>#REF!</v>
      </c>
      <c r="BG40" s="2013" t="e">
        <f>BU40*#REF!</f>
        <v>#REF!</v>
      </c>
      <c r="BH40" s="2226" t="e">
        <f>BV40*#REF!</f>
        <v>#REF!</v>
      </c>
      <c r="BI40" s="2013" t="e">
        <f>BW40*#REF!</f>
        <v>#REF!</v>
      </c>
      <c r="BJ40" s="2013" t="e">
        <f>BX40*#REF!</f>
        <v>#REF!</v>
      </c>
      <c r="BK40" s="2013" t="e">
        <f>BY40*#REF!</f>
        <v>#REF!</v>
      </c>
      <c r="BL40" s="2013" t="e">
        <f>BZ40*#REF!</f>
        <v>#REF!</v>
      </c>
      <c r="BM40" s="2013" t="e">
        <f>CA40*#REF!</f>
        <v>#REF!</v>
      </c>
      <c r="BO40" s="2040">
        <f t="shared" si="12"/>
        <v>3.2</v>
      </c>
      <c r="BP40" s="2040" t="str">
        <f t="shared" si="13"/>
        <v xml:space="preserve"> Q1 3</v>
      </c>
      <c r="BQ40" s="829" t="str">
        <f t="shared" si="14"/>
        <v>グレア対策</v>
      </c>
      <c r="BR40" s="2010">
        <f t="shared" si="15"/>
        <v>0.3</v>
      </c>
      <c r="BS40" s="2010">
        <f t="shared" si="16"/>
        <v>0.3</v>
      </c>
      <c r="BT40" s="2010">
        <f t="shared" si="17"/>
        <v>0</v>
      </c>
      <c r="BU40" s="2010">
        <f t="shared" si="18"/>
        <v>0</v>
      </c>
      <c r="BV40" s="2225">
        <f t="shared" si="19"/>
        <v>0</v>
      </c>
      <c r="BW40" s="2010">
        <f t="shared" si="20"/>
        <v>0.3</v>
      </c>
      <c r="BX40" s="2010">
        <f t="shared" si="21"/>
        <v>0.3</v>
      </c>
      <c r="BY40" s="2010">
        <f t="shared" si="22"/>
        <v>0.3</v>
      </c>
      <c r="BZ40" s="2010">
        <f t="shared" si="23"/>
        <v>0.3</v>
      </c>
      <c r="CA40" s="2010">
        <f t="shared" si="24"/>
        <v>0.3</v>
      </c>
      <c r="CB40" s="2039">
        <f t="shared" si="25"/>
        <v>0.3</v>
      </c>
      <c r="CC40" s="2010">
        <f t="shared" si="26"/>
        <v>0.3</v>
      </c>
      <c r="CD40" s="2010">
        <f t="shared" si="27"/>
        <v>0.3</v>
      </c>
      <c r="CF40" s="1207">
        <v>3.2</v>
      </c>
      <c r="CG40" s="1211" t="s">
        <v>2130</v>
      </c>
      <c r="CH40" s="1208" t="s">
        <v>1538</v>
      </c>
      <c r="CI40" s="1209">
        <v>0.3</v>
      </c>
      <c r="CJ40" s="1209">
        <v>0.3</v>
      </c>
      <c r="CK40" s="1209"/>
      <c r="CL40" s="1209"/>
      <c r="CM40" s="1223"/>
      <c r="CN40" s="1209">
        <v>0.3</v>
      </c>
      <c r="CO40" s="1213">
        <v>0.3</v>
      </c>
      <c r="CP40" s="1209">
        <v>0.3</v>
      </c>
      <c r="CQ40" s="1209">
        <v>0.3</v>
      </c>
      <c r="CR40" s="1209">
        <v>0.3</v>
      </c>
      <c r="CS40" s="1214">
        <v>0.3</v>
      </c>
      <c r="CT40" s="1213">
        <v>0.3</v>
      </c>
      <c r="CU40" s="1213">
        <v>0.3</v>
      </c>
      <c r="CW40" s="1207">
        <v>3.2</v>
      </c>
      <c r="CX40" s="1211" t="s">
        <v>2130</v>
      </c>
      <c r="CY40" s="1208" t="s">
        <v>1538</v>
      </c>
      <c r="CZ40" s="1213">
        <v>0.3</v>
      </c>
      <c r="DA40" s="1213">
        <v>0.3</v>
      </c>
      <c r="DB40" s="1213"/>
      <c r="DC40" s="1213"/>
      <c r="DD40" s="1215"/>
      <c r="DE40" s="1213">
        <v>0.3</v>
      </c>
      <c r="DF40" s="1213">
        <v>0.3</v>
      </c>
      <c r="DG40" s="1213">
        <v>0.3</v>
      </c>
      <c r="DH40" s="1213">
        <v>0.3</v>
      </c>
      <c r="DI40" s="1213">
        <v>0.3</v>
      </c>
      <c r="DJ40" s="1214">
        <v>0.3</v>
      </c>
      <c r="DK40" s="1213">
        <v>0.3</v>
      </c>
      <c r="DL40" s="1213">
        <v>0.3</v>
      </c>
      <c r="DN40" s="1207">
        <v>3.2</v>
      </c>
      <c r="DO40" s="1211" t="s">
        <v>2130</v>
      </c>
      <c r="DP40" s="1208" t="s">
        <v>1538</v>
      </c>
      <c r="DQ40" s="1213">
        <v>0.3</v>
      </c>
      <c r="DR40" s="1213">
        <v>0.3</v>
      </c>
      <c r="DS40" s="1213"/>
      <c r="DT40" s="1213"/>
      <c r="DU40" s="1574"/>
      <c r="DV40" s="1213">
        <v>0.3</v>
      </c>
      <c r="DW40" s="1213">
        <v>0.3</v>
      </c>
      <c r="DX40" s="1213">
        <v>0.3</v>
      </c>
      <c r="DY40" s="1213">
        <v>0.3</v>
      </c>
      <c r="DZ40" s="1213">
        <v>0.3</v>
      </c>
      <c r="EA40" s="1214">
        <v>0.3</v>
      </c>
      <c r="EB40" s="1213">
        <v>0.3</v>
      </c>
      <c r="EC40" s="1213">
        <v>0.3</v>
      </c>
      <c r="ED40" s="1469"/>
      <c r="EF40" s="1207">
        <v>3.2</v>
      </c>
      <c r="EG40" s="1211" t="s">
        <v>2130</v>
      </c>
      <c r="EH40" s="1208" t="s">
        <v>1538</v>
      </c>
      <c r="EI40" s="1689">
        <f t="shared" si="63"/>
        <v>0.3</v>
      </c>
      <c r="EJ40" s="1689">
        <f t="shared" si="63"/>
        <v>0.3</v>
      </c>
      <c r="EK40" s="1689">
        <f t="shared" si="63"/>
        <v>0</v>
      </c>
      <c r="EL40" s="1689">
        <f t="shared" si="63"/>
        <v>0</v>
      </c>
      <c r="EM40" s="1689">
        <f t="shared" si="63"/>
        <v>0</v>
      </c>
      <c r="EN40" s="1689">
        <f t="shared" si="63"/>
        <v>0.3</v>
      </c>
      <c r="EO40" s="1689">
        <f t="shared" si="63"/>
        <v>0.3</v>
      </c>
      <c r="EP40" s="1689">
        <f t="shared" si="63"/>
        <v>0.3</v>
      </c>
      <c r="EQ40" s="1689">
        <f t="shared" si="63"/>
        <v>0.3</v>
      </c>
      <c r="ER40" s="1689">
        <f t="shared" si="63"/>
        <v>0.3</v>
      </c>
      <c r="ES40" s="1691">
        <f t="shared" si="63"/>
        <v>0.3</v>
      </c>
      <c r="ET40" s="1689">
        <f t="shared" si="63"/>
        <v>0.3</v>
      </c>
      <c r="EU40" s="1689">
        <f t="shared" si="63"/>
        <v>0.3</v>
      </c>
      <c r="EW40" s="1207">
        <v>3.2</v>
      </c>
      <c r="EX40" s="1211" t="s">
        <v>2130</v>
      </c>
      <c r="EY40" s="1208" t="s">
        <v>1538</v>
      </c>
      <c r="EZ40" s="1678">
        <f t="shared" si="60"/>
        <v>0.3</v>
      </c>
      <c r="FA40" s="1678"/>
      <c r="FB40" s="1678"/>
      <c r="FC40" s="1678"/>
      <c r="FD40" s="1678"/>
      <c r="FE40" s="1678"/>
      <c r="FF40" s="1678"/>
      <c r="FG40" s="1678"/>
      <c r="FH40" s="1678"/>
      <c r="FI40" s="1678"/>
      <c r="FJ40" s="1795"/>
      <c r="FK40" s="1678"/>
      <c r="FL40" s="1678"/>
    </row>
    <row r="41" spans="2:168" ht="14.25" hidden="1" thickBot="1">
      <c r="B41" s="2023" t="str">
        <f t="shared" si="4"/>
        <v>3.2.1</v>
      </c>
      <c r="C41" s="829">
        <f t="shared" ref="C41:C72" si="65">BQ41</f>
        <v>0</v>
      </c>
      <c r="D41" s="2100" t="e">
        <f t="shared" ref="D41:E43" si="66">IF(I$40&gt;0,G41/I$40,0)</f>
        <v>#REF!</v>
      </c>
      <c r="E41" s="2021" t="e">
        <f t="shared" si="66"/>
        <v>#REF!</v>
      </c>
      <c r="G41" s="2021" t="e">
        <f t="shared" ref="G41:G72" si="67">K41*M41</f>
        <v>#REF!</v>
      </c>
      <c r="H41" s="2021" t="e">
        <f t="shared" ref="H41:H72" si="68">L41*N41</f>
        <v>#REF!</v>
      </c>
      <c r="I41" s="2021"/>
      <c r="J41" s="2021"/>
      <c r="K41" s="2021" t="e">
        <f>IF(#REF!=0,0,1)</f>
        <v>#REF!</v>
      </c>
      <c r="L41" s="2021" t="e">
        <f>IF(#REF!=0,0,1)</f>
        <v>#REF!</v>
      </c>
      <c r="M41" s="2021">
        <f t="shared" ref="M41:M72" si="69">SUMPRODUCT($BR$7:$CA$7,BR41:CA41)</f>
        <v>0</v>
      </c>
      <c r="N41" s="2021">
        <f t="shared" ref="N41:N72" si="70">(CB$7*CB41)+(CC$7*CC41)+(CD$7*CD41)</f>
        <v>0</v>
      </c>
      <c r="P41" s="2247"/>
      <c r="Q41" s="2257"/>
      <c r="R41" s="2245">
        <v>1</v>
      </c>
      <c r="S41" s="2244" t="s">
        <v>1539</v>
      </c>
      <c r="T41" s="2144"/>
      <c r="U41" s="2017"/>
      <c r="V41" s="2025">
        <f t="shared" si="43"/>
        <v>0</v>
      </c>
      <c r="W41" s="2024">
        <f t="shared" si="44"/>
        <v>0</v>
      </c>
      <c r="Y41" s="1">
        <f t="shared" si="29"/>
        <v>0</v>
      </c>
      <c r="Z41" s="1">
        <f t="shared" si="30"/>
        <v>0</v>
      </c>
      <c r="AA41" s="1">
        <f t="shared" si="31"/>
        <v>0</v>
      </c>
      <c r="AB41" s="1">
        <f t="shared" si="32"/>
        <v>0</v>
      </c>
      <c r="AC41" s="1">
        <f t="shared" si="33"/>
        <v>0</v>
      </c>
      <c r="AD41" s="1">
        <f t="shared" si="34"/>
        <v>0</v>
      </c>
      <c r="AE41" s="1">
        <f t="shared" si="35"/>
        <v>0</v>
      </c>
      <c r="AF41" s="1">
        <f t="shared" si="36"/>
        <v>0</v>
      </c>
      <c r="AG41" s="1">
        <f t="shared" si="37"/>
        <v>0</v>
      </c>
      <c r="AH41" s="1">
        <f t="shared" si="38"/>
        <v>0</v>
      </c>
      <c r="AI41" s="1">
        <f t="shared" si="39"/>
        <v>0</v>
      </c>
      <c r="AJ41" s="1">
        <f t="shared" si="40"/>
        <v>0</v>
      </c>
      <c r="AK41" s="1">
        <f t="shared" si="41"/>
        <v>0</v>
      </c>
      <c r="AM41" s="2149" t="s">
        <v>3316</v>
      </c>
      <c r="AN41" s="2149" t="s">
        <v>3316</v>
      </c>
      <c r="AO41" s="2149" t="s">
        <v>3316</v>
      </c>
      <c r="AP41" s="2149" t="s">
        <v>3316</v>
      </c>
      <c r="AQ41" s="2149" t="s">
        <v>3316</v>
      </c>
      <c r="AR41" s="2149" t="s">
        <v>3316</v>
      </c>
      <c r="AS41" s="2149" t="s">
        <v>3316</v>
      </c>
      <c r="AT41" s="2149" t="s">
        <v>3316</v>
      </c>
      <c r="AU41" s="2149" t="s">
        <v>3316</v>
      </c>
      <c r="AV41" s="2149" t="s">
        <v>3316</v>
      </c>
      <c r="AW41" s="2149" t="s">
        <v>3316</v>
      </c>
      <c r="AX41" s="2149" t="s">
        <v>3316</v>
      </c>
      <c r="AY41" s="2149" t="s">
        <v>3316</v>
      </c>
      <c r="BA41" s="2014"/>
      <c r="BB41" s="2014" t="e">
        <f t="shared" ref="BB41:BB72" si="71">SUMPRODUCT($BD$7:$BM$7,BD41:BM41)</f>
        <v>#REF!</v>
      </c>
      <c r="BC41" s="2014"/>
      <c r="BD41" s="2013" t="e">
        <f>BR41*#REF!</f>
        <v>#REF!</v>
      </c>
      <c r="BE41" s="2013" t="e">
        <f>BS41*#REF!</f>
        <v>#REF!</v>
      </c>
      <c r="BF41" s="2013" t="e">
        <f>BT41*#REF!</f>
        <v>#REF!</v>
      </c>
      <c r="BG41" s="2013" t="e">
        <f>BU41*#REF!</f>
        <v>#REF!</v>
      </c>
      <c r="BH41" s="2226" t="e">
        <f>BV41*#REF!</f>
        <v>#REF!</v>
      </c>
      <c r="BI41" s="2013" t="e">
        <f>BW41*#REF!</f>
        <v>#REF!</v>
      </c>
      <c r="BJ41" s="2013" t="e">
        <f>BX41*#REF!</f>
        <v>#REF!</v>
      </c>
      <c r="BK41" s="2013" t="e">
        <f>BY41*#REF!</f>
        <v>#REF!</v>
      </c>
      <c r="BL41" s="2013" t="e">
        <f>BZ41*#REF!</f>
        <v>#REF!</v>
      </c>
      <c r="BM41" s="2013" t="e">
        <f>CA41*#REF!</f>
        <v>#REF!</v>
      </c>
      <c r="BO41" s="2040" t="str">
        <f t="shared" ref="BO41:BO72" si="72">IF($BO$3=1,CW41,IF($BO$3=2,DN41,IF($BO$3=3,EF41,IF($BO$3=4,EW41,CF41))))</f>
        <v>3.2.1</v>
      </c>
      <c r="BP41" s="2040" t="str">
        <f t="shared" ref="BP41:BP72" si="73">IF($BO$3=1,CX41,IF($BO$3=2,DO41,IF($BO$3=3,EG41,IF($BO$3=4,EX41,CG41))))</f>
        <v xml:space="preserve"> Q1 3.2</v>
      </c>
      <c r="BQ41" s="829">
        <f t="shared" ref="BQ41:BQ72" si="74">IF($BO$3=1,CY41,IF($BO$3=2,DP41,IF($BO$3=3,EH41,IF($BO$3=4,EY41,CH41))))</f>
        <v>0</v>
      </c>
      <c r="BR41" s="2010">
        <f t="shared" ref="BR41:BR72" si="75">IF($BO$3=1,CZ41,IF($BO$3=2,DQ41,IF($BO$3=3,EI41,IF($BO$3=4,EZ41,CI41))))</f>
        <v>0</v>
      </c>
      <c r="BS41" s="2010">
        <f t="shared" ref="BS41:BS72" si="76">IF($BO$3=1,DA41,IF($BO$3=2,DR41,IF($BO$3=3,EJ41,IF($BO$3=4,FA41,CJ41))))</f>
        <v>0</v>
      </c>
      <c r="BT41" s="2010">
        <f t="shared" ref="BT41:BT72" si="77">IF($BO$3=1,DB41,IF($BO$3=2,DS41,IF($BO$3=3,EK41,IF($BO$3=4,FB41,CK41))))</f>
        <v>0</v>
      </c>
      <c r="BU41" s="2010">
        <f t="shared" ref="BU41:BU72" si="78">IF($BO$3=1,DC41,IF($BO$3=2,DT41,IF($BO$3=3,EL41,IF($BO$3=4,FC41,CL41))))</f>
        <v>0</v>
      </c>
      <c r="BV41" s="2225">
        <f t="shared" ref="BV41:BV72" si="79">IF($BO$3=1,DD41,IF($BO$3=2,DU41,IF($BO$3=3,EM41,IF($BO$3=4,FD41,CM41))))</f>
        <v>0</v>
      </c>
      <c r="BW41" s="2010">
        <f t="shared" ref="BW41:BW72" si="80">IF($BO$3=1,DE41,IF($BO$3=2,DV41,IF($BO$3=3,EN41,IF($BO$3=4,FE41,CN41))))</f>
        <v>0</v>
      </c>
      <c r="BX41" s="2010">
        <f t="shared" ref="BX41:BX72" si="81">IF($BO$3=1,DF41,IF($BO$3=2,DW41,IF($BO$3=3,EO41,IF($BO$3=4,FF41,CO41))))</f>
        <v>0</v>
      </c>
      <c r="BY41" s="2010">
        <f t="shared" ref="BY41:BY72" si="82">IF($BO$3=1,DG41,IF($BO$3=2,DX41,IF($BO$3=3,EP41,IF($BO$3=4,FG41,CP41))))</f>
        <v>0</v>
      </c>
      <c r="BZ41" s="2010">
        <f t="shared" ref="BZ41:BZ72" si="83">IF($BO$3=1,DH41,IF($BO$3=2,DY41,IF($BO$3=3,EQ41,IF($BO$3=4,FH41,CQ41))))</f>
        <v>0</v>
      </c>
      <c r="CA41" s="2010">
        <f t="shared" ref="CA41:CA72" si="84">IF($BO$3=1,DI41,IF($BO$3=2,DZ41,IF($BO$3=3,ER41,IF($BO$3=4,FI41,CR41))))</f>
        <v>0</v>
      </c>
      <c r="CB41" s="2039">
        <f t="shared" ref="CB41:CB72" si="85">IF($BO$3=1,DJ41,IF($BO$3=2,EA41,IF($BO$3=3,ES41,IF($BO$3=4,FJ41,CS41))))</f>
        <v>0</v>
      </c>
      <c r="CC41" s="2010">
        <f t="shared" ref="CC41:CC72" si="86">IF($BO$3=1,DK41,IF($BO$3=2,EB41,IF($BO$3=3,ET41,IF($BO$3=4,FK41,CT41))))</f>
        <v>0</v>
      </c>
      <c r="CD41" s="2010">
        <f t="shared" ref="CD41:CD72" si="87">IF($BO$3=1,DL41,IF($BO$3=2,EC41,IF($BO$3=3,EU41,IF($BO$3=4,FL41,CU41))))</f>
        <v>0</v>
      </c>
      <c r="CF41" s="1207" t="s">
        <v>3325</v>
      </c>
      <c r="CG41" s="1211" t="s">
        <v>2135</v>
      </c>
      <c r="CH41" s="1208" t="s">
        <v>2136</v>
      </c>
      <c r="CI41" s="1218">
        <v>0.4</v>
      </c>
      <c r="CJ41" s="1218">
        <v>0.4</v>
      </c>
      <c r="CK41" s="1218"/>
      <c r="CL41" s="1218"/>
      <c r="CM41" s="1224"/>
      <c r="CN41" s="1218">
        <v>0.4</v>
      </c>
      <c r="CO41" s="1226">
        <v>0.3</v>
      </c>
      <c r="CP41" s="1218">
        <v>0.4</v>
      </c>
      <c r="CQ41" s="1218">
        <v>0.4</v>
      </c>
      <c r="CR41" s="1218">
        <v>0.4</v>
      </c>
      <c r="CS41" s="1214">
        <v>0.4</v>
      </c>
      <c r="CT41" s="1213">
        <v>0.4</v>
      </c>
      <c r="CU41" s="1213">
        <v>0.4</v>
      </c>
      <c r="CW41" s="1207" t="s">
        <v>3325</v>
      </c>
      <c r="CX41" s="1211" t="s">
        <v>2135</v>
      </c>
      <c r="CY41" s="1208" t="s">
        <v>2136</v>
      </c>
      <c r="CZ41" s="1213"/>
      <c r="DA41" s="1213"/>
      <c r="DB41" s="1213"/>
      <c r="DC41" s="1213"/>
      <c r="DD41" s="1215"/>
      <c r="DE41" s="1213"/>
      <c r="DF41" s="1213"/>
      <c r="DG41" s="1213"/>
      <c r="DH41" s="1213"/>
      <c r="DI41" s="1213"/>
      <c r="DJ41" s="1214"/>
      <c r="DK41" s="1213"/>
      <c r="DL41" s="1213"/>
      <c r="DN41" s="1207" t="s">
        <v>3325</v>
      </c>
      <c r="DO41" s="1211" t="s">
        <v>2135</v>
      </c>
      <c r="DP41" s="1208"/>
      <c r="DQ41" s="1815"/>
      <c r="DR41" s="1815"/>
      <c r="DS41" s="1815"/>
      <c r="DT41" s="1815"/>
      <c r="DU41" s="1865"/>
      <c r="DV41" s="1815"/>
      <c r="DW41" s="1815"/>
      <c r="DX41" s="1815"/>
      <c r="DY41" s="1815"/>
      <c r="DZ41" s="1815"/>
      <c r="EA41" s="1815"/>
      <c r="EB41" s="1815"/>
      <c r="EC41" s="1815"/>
      <c r="ED41" s="1469"/>
      <c r="EF41" s="1207" t="s">
        <v>3325</v>
      </c>
      <c r="EG41" s="1211" t="s">
        <v>2135</v>
      </c>
      <c r="EH41" s="1208" t="s">
        <v>2136</v>
      </c>
      <c r="EI41" s="1689">
        <f t="shared" si="63"/>
        <v>0</v>
      </c>
      <c r="EJ41" s="1689">
        <f t="shared" si="63"/>
        <v>0</v>
      </c>
      <c r="EK41" s="1689">
        <f t="shared" si="63"/>
        <v>0</v>
      </c>
      <c r="EL41" s="1689">
        <f t="shared" si="63"/>
        <v>0</v>
      </c>
      <c r="EM41" s="1689">
        <f t="shared" si="63"/>
        <v>0</v>
      </c>
      <c r="EN41" s="1689">
        <f t="shared" si="63"/>
        <v>0</v>
      </c>
      <c r="EO41" s="1689">
        <f t="shared" si="63"/>
        <v>0</v>
      </c>
      <c r="EP41" s="1689">
        <f t="shared" si="63"/>
        <v>0</v>
      </c>
      <c r="EQ41" s="1689">
        <f t="shared" si="63"/>
        <v>0</v>
      </c>
      <c r="ER41" s="1689">
        <f t="shared" si="63"/>
        <v>0</v>
      </c>
      <c r="ES41" s="1691">
        <f t="shared" si="63"/>
        <v>0</v>
      </c>
      <c r="ET41" s="1689">
        <f t="shared" si="63"/>
        <v>0</v>
      </c>
      <c r="EU41" s="1689">
        <f t="shared" si="63"/>
        <v>0</v>
      </c>
      <c r="EW41" s="1207" t="s">
        <v>3325</v>
      </c>
      <c r="EX41" s="1211" t="s">
        <v>2135</v>
      </c>
      <c r="EY41" s="1208" t="s">
        <v>2136</v>
      </c>
      <c r="EZ41" s="1814">
        <v>0</v>
      </c>
      <c r="FA41" s="1678"/>
      <c r="FB41" s="1678"/>
      <c r="FC41" s="1678"/>
      <c r="FD41" s="1678"/>
      <c r="FE41" s="1678"/>
      <c r="FF41" s="1678"/>
      <c r="FG41" s="1678"/>
      <c r="FH41" s="1678"/>
      <c r="FI41" s="1678"/>
      <c r="FJ41" s="1795"/>
      <c r="FK41" s="1678"/>
      <c r="FL41" s="1678"/>
    </row>
    <row r="42" spans="2:168">
      <c r="B42" s="2023" t="str">
        <f t="shared" si="4"/>
        <v>3.2.2</v>
      </c>
      <c r="C42" s="829" t="str">
        <f t="shared" si="65"/>
        <v>昼光制御</v>
      </c>
      <c r="D42" s="2100" t="e">
        <f t="shared" si="66"/>
        <v>#REF!</v>
      </c>
      <c r="E42" s="2021" t="e">
        <f t="shared" si="66"/>
        <v>#REF!</v>
      </c>
      <c r="G42" s="2021" t="e">
        <f t="shared" si="67"/>
        <v>#REF!</v>
      </c>
      <c r="H42" s="2021" t="e">
        <f t="shared" si="68"/>
        <v>#REF!</v>
      </c>
      <c r="I42" s="2021"/>
      <c r="J42" s="2021"/>
      <c r="K42" s="2021" t="e">
        <f>IF(#REF!=0,0,1)</f>
        <v>#REF!</v>
      </c>
      <c r="L42" s="2021" t="e">
        <f>IF(#REF!=0,0,1)</f>
        <v>#REF!</v>
      </c>
      <c r="M42" s="2021">
        <f t="shared" si="69"/>
        <v>1</v>
      </c>
      <c r="N42" s="2021">
        <f t="shared" si="70"/>
        <v>0</v>
      </c>
      <c r="P42" s="2123"/>
      <c r="Q42" s="2019"/>
      <c r="R42" s="993">
        <v>1</v>
      </c>
      <c r="S42" s="1655" t="s">
        <v>1540</v>
      </c>
      <c r="T42" s="2036"/>
      <c r="U42" s="2017"/>
      <c r="V42" s="2025">
        <f t="shared" si="43"/>
        <v>0</v>
      </c>
      <c r="W42" s="2024">
        <f t="shared" si="44"/>
        <v>0</v>
      </c>
      <c r="Y42" s="1">
        <f t="shared" ref="Y42:Y73" si="88">IF(OR(AM42=0,AM42="-"),0,1)</f>
        <v>0</v>
      </c>
      <c r="Z42" s="1">
        <f t="shared" ref="Z42:Z73" si="89">IF(OR(AN42=0,AN42="-"),0,1)</f>
        <v>0</v>
      </c>
      <c r="AA42" s="1">
        <f t="shared" ref="AA42:AA73" si="90">IF(OR(AO42=0,AO42="-"),0,1)</f>
        <v>0</v>
      </c>
      <c r="AB42" s="1">
        <f t="shared" ref="AB42:AB73" si="91">IF(OR(AP42=0,AP42="-"),0,1)</f>
        <v>0</v>
      </c>
      <c r="AC42" s="1">
        <f t="shared" ref="AC42:AC73" si="92">IF(OR(AQ42=0,AQ42="-"),0,1)</f>
        <v>0</v>
      </c>
      <c r="AD42" s="1">
        <f t="shared" ref="AD42:AD73" si="93">IF(OR(AR42=0,AR42="-"),0,1)</f>
        <v>0</v>
      </c>
      <c r="AE42" s="1">
        <f t="shared" ref="AE42:AE73" si="94">IF(OR(AS42=0,AS42="-"),0,1)</f>
        <v>0</v>
      </c>
      <c r="AF42" s="1">
        <f t="shared" ref="AF42:AF73" si="95">IF(OR(AT42=0,AT42="-"),0,1)</f>
        <v>0</v>
      </c>
      <c r="AG42" s="1">
        <f t="shared" ref="AG42:AG73" si="96">IF(OR(AU42=0,AU42="-"),0,1)</f>
        <v>0</v>
      </c>
      <c r="AH42" s="1">
        <f t="shared" ref="AH42:AH73" si="97">IF(OR(AV42=0,AV42="-"),0,1)</f>
        <v>0</v>
      </c>
      <c r="AI42" s="1">
        <f t="shared" ref="AI42:AI73" si="98">IF(OR(AW42=0,AW42="-"),0,1)</f>
        <v>0</v>
      </c>
      <c r="AJ42" s="1">
        <f t="shared" ref="AJ42:AJ73" si="99">IF(OR(AX42=0,AX42="-"),0,1)</f>
        <v>0</v>
      </c>
      <c r="AK42" s="1">
        <f t="shared" ref="AK42:AK73" si="100">IF(OR(AY42=0,AY42="-"),0,1)</f>
        <v>0</v>
      </c>
      <c r="AM42" s="1828"/>
      <c r="AN42" s="1828"/>
      <c r="AO42" s="1828"/>
      <c r="AP42" s="1828"/>
      <c r="AQ42" s="1828"/>
      <c r="AR42" s="1828"/>
      <c r="AS42" s="1828"/>
      <c r="AT42" s="1828"/>
      <c r="AU42" s="1828"/>
      <c r="AV42" s="1828"/>
      <c r="AW42" s="1828"/>
      <c r="AX42" s="1828"/>
      <c r="AY42" s="1828"/>
      <c r="BA42" s="2014"/>
      <c r="BB42" s="2014" t="e">
        <f t="shared" si="71"/>
        <v>#REF!</v>
      </c>
      <c r="BC42" s="2014"/>
      <c r="BD42" s="2013" t="e">
        <f>BR42*#REF!</f>
        <v>#REF!</v>
      </c>
      <c r="BE42" s="2013" t="e">
        <f>BS42*#REF!</f>
        <v>#REF!</v>
      </c>
      <c r="BF42" s="2013" t="e">
        <f>BT42*#REF!</f>
        <v>#REF!</v>
      </c>
      <c r="BG42" s="2013" t="e">
        <f>BU42*#REF!</f>
        <v>#REF!</v>
      </c>
      <c r="BH42" s="2226" t="e">
        <f>BV42*#REF!</f>
        <v>#REF!</v>
      </c>
      <c r="BI42" s="2013" t="e">
        <f>BW42*#REF!</f>
        <v>#REF!</v>
      </c>
      <c r="BJ42" s="2013" t="e">
        <f>BX42*#REF!</f>
        <v>#REF!</v>
      </c>
      <c r="BK42" s="2013" t="e">
        <f>BY42*#REF!</f>
        <v>#REF!</v>
      </c>
      <c r="BL42" s="2013" t="e">
        <f>BZ42*#REF!</f>
        <v>#REF!</v>
      </c>
      <c r="BM42" s="2013" t="e">
        <f>CA42*#REF!</f>
        <v>#REF!</v>
      </c>
      <c r="BO42" s="2040" t="str">
        <f t="shared" si="72"/>
        <v>3.2.2</v>
      </c>
      <c r="BP42" s="2040" t="str">
        <f t="shared" si="73"/>
        <v xml:space="preserve"> Q1 3.2</v>
      </c>
      <c r="BQ42" s="829" t="str">
        <f t="shared" si="74"/>
        <v>昼光制御</v>
      </c>
      <c r="BR42" s="2010">
        <f t="shared" si="75"/>
        <v>1</v>
      </c>
      <c r="BS42" s="2010">
        <f t="shared" si="76"/>
        <v>1</v>
      </c>
      <c r="BT42" s="2010">
        <f t="shared" si="77"/>
        <v>0</v>
      </c>
      <c r="BU42" s="2010">
        <f t="shared" si="78"/>
        <v>0</v>
      </c>
      <c r="BV42" s="2225">
        <f t="shared" si="79"/>
        <v>0</v>
      </c>
      <c r="BW42" s="2010">
        <f t="shared" si="80"/>
        <v>1</v>
      </c>
      <c r="BX42" s="2010">
        <f t="shared" si="81"/>
        <v>1</v>
      </c>
      <c r="BY42" s="2010">
        <f t="shared" si="82"/>
        <v>1</v>
      </c>
      <c r="BZ42" s="2010">
        <f t="shared" si="83"/>
        <v>1</v>
      </c>
      <c r="CA42" s="2010">
        <f t="shared" si="84"/>
        <v>1</v>
      </c>
      <c r="CB42" s="2039">
        <f t="shared" si="85"/>
        <v>1</v>
      </c>
      <c r="CC42" s="2010">
        <f t="shared" si="86"/>
        <v>1</v>
      </c>
      <c r="CD42" s="2010">
        <f t="shared" si="87"/>
        <v>1</v>
      </c>
      <c r="CF42" s="1207" t="s">
        <v>3324</v>
      </c>
      <c r="CG42" s="1211" t="s">
        <v>2135</v>
      </c>
      <c r="CH42" s="1208" t="s">
        <v>2137</v>
      </c>
      <c r="CI42" s="1209">
        <v>0.6</v>
      </c>
      <c r="CJ42" s="1209">
        <v>0.6</v>
      </c>
      <c r="CK42" s="1209"/>
      <c r="CL42" s="1209"/>
      <c r="CM42" s="1223"/>
      <c r="CN42" s="1209">
        <v>0.6</v>
      </c>
      <c r="CO42" s="1226">
        <v>0.4</v>
      </c>
      <c r="CP42" s="1209">
        <v>0.6</v>
      </c>
      <c r="CQ42" s="1209">
        <v>0.6</v>
      </c>
      <c r="CR42" s="1209">
        <v>0.6</v>
      </c>
      <c r="CS42" s="1214">
        <v>0.6</v>
      </c>
      <c r="CT42" s="1213">
        <v>0.6</v>
      </c>
      <c r="CU42" s="1213">
        <v>0.6</v>
      </c>
      <c r="CW42" s="1207" t="s">
        <v>3324</v>
      </c>
      <c r="CX42" s="1211" t="s">
        <v>2135</v>
      </c>
      <c r="CY42" s="1208" t="s">
        <v>2137</v>
      </c>
      <c r="CZ42" s="1213">
        <v>1</v>
      </c>
      <c r="DA42" s="1213">
        <v>1</v>
      </c>
      <c r="DB42" s="1213"/>
      <c r="DC42" s="1213"/>
      <c r="DD42" s="1215"/>
      <c r="DE42" s="1213">
        <v>1</v>
      </c>
      <c r="DF42" s="1213">
        <v>1</v>
      </c>
      <c r="DG42" s="1213">
        <v>1</v>
      </c>
      <c r="DH42" s="1213">
        <v>1</v>
      </c>
      <c r="DI42" s="1213">
        <v>1</v>
      </c>
      <c r="DJ42" s="1214">
        <v>1</v>
      </c>
      <c r="DK42" s="1213">
        <v>1</v>
      </c>
      <c r="DL42" s="1213">
        <v>1</v>
      </c>
      <c r="DN42" s="1207" t="s">
        <v>3324</v>
      </c>
      <c r="DO42" s="1211" t="s">
        <v>2135</v>
      </c>
      <c r="DP42" s="1208" t="s">
        <v>2137</v>
      </c>
      <c r="DQ42" s="1815">
        <v>1</v>
      </c>
      <c r="DR42" s="1815">
        <v>1</v>
      </c>
      <c r="DS42" s="1815"/>
      <c r="DT42" s="1815"/>
      <c r="DU42" s="1865"/>
      <c r="DV42" s="1815">
        <v>1</v>
      </c>
      <c r="DW42" s="1815">
        <v>1</v>
      </c>
      <c r="DX42" s="1815">
        <v>1</v>
      </c>
      <c r="DY42" s="1815">
        <v>1</v>
      </c>
      <c r="DZ42" s="1815">
        <v>1</v>
      </c>
      <c r="EA42" s="1815">
        <v>1</v>
      </c>
      <c r="EB42" s="1815">
        <v>1</v>
      </c>
      <c r="EC42" s="1815">
        <v>1</v>
      </c>
      <c r="ED42" s="1469"/>
      <c r="EF42" s="1207" t="s">
        <v>3324</v>
      </c>
      <c r="EG42" s="1211" t="s">
        <v>2135</v>
      </c>
      <c r="EH42" s="1208" t="s">
        <v>2137</v>
      </c>
      <c r="EI42" s="1689">
        <f t="shared" si="63"/>
        <v>1</v>
      </c>
      <c r="EJ42" s="1689">
        <f t="shared" si="63"/>
        <v>1</v>
      </c>
      <c r="EK42" s="1689">
        <f t="shared" si="63"/>
        <v>0</v>
      </c>
      <c r="EL42" s="1689">
        <f t="shared" si="63"/>
        <v>0</v>
      </c>
      <c r="EM42" s="1689">
        <f t="shared" si="63"/>
        <v>0</v>
      </c>
      <c r="EN42" s="1689">
        <f t="shared" si="63"/>
        <v>1</v>
      </c>
      <c r="EO42" s="1689">
        <f t="shared" si="63"/>
        <v>1</v>
      </c>
      <c r="EP42" s="1689">
        <f t="shared" si="63"/>
        <v>1</v>
      </c>
      <c r="EQ42" s="1689">
        <f t="shared" si="63"/>
        <v>1</v>
      </c>
      <c r="ER42" s="1689">
        <f t="shared" si="63"/>
        <v>1</v>
      </c>
      <c r="ES42" s="1691">
        <f t="shared" si="63"/>
        <v>1</v>
      </c>
      <c r="ET42" s="1689">
        <f t="shared" si="63"/>
        <v>1</v>
      </c>
      <c r="EU42" s="1689">
        <f t="shared" si="63"/>
        <v>1</v>
      </c>
      <c r="EW42" s="1207" t="s">
        <v>3324</v>
      </c>
      <c r="EX42" s="1211" t="s">
        <v>2135</v>
      </c>
      <c r="EY42" s="1208" t="s">
        <v>2137</v>
      </c>
      <c r="EZ42" s="1814">
        <v>1</v>
      </c>
      <c r="FA42" s="1678"/>
      <c r="FB42" s="1678"/>
      <c r="FC42" s="1678"/>
      <c r="FD42" s="1678"/>
      <c r="FE42" s="1678"/>
      <c r="FF42" s="1678"/>
      <c r="FG42" s="1678"/>
      <c r="FH42" s="1678"/>
      <c r="FI42" s="1678"/>
      <c r="FJ42" s="1795"/>
      <c r="FK42" s="1678"/>
      <c r="FL42" s="1678"/>
    </row>
    <row r="43" spans="2:168" ht="13.5" hidden="1" customHeight="1">
      <c r="B43" s="2023" t="s">
        <v>3323</v>
      </c>
      <c r="C43" s="2239">
        <f t="shared" si="65"/>
        <v>0</v>
      </c>
      <c r="D43" s="2249" t="e">
        <f t="shared" si="66"/>
        <v>#REF!</v>
      </c>
      <c r="E43" s="2248" t="e">
        <f t="shared" si="66"/>
        <v>#REF!</v>
      </c>
      <c r="G43" s="2248" t="e">
        <f t="shared" si="67"/>
        <v>#REF!</v>
      </c>
      <c r="H43" s="2248" t="e">
        <f t="shared" si="68"/>
        <v>#REF!</v>
      </c>
      <c r="I43" s="2248"/>
      <c r="J43" s="2248"/>
      <c r="K43" s="2248" t="e">
        <f>IF(#REF!=0,0,1)</f>
        <v>#REF!</v>
      </c>
      <c r="L43" s="2248" t="e">
        <f>IF(#REF!=0,0,1)</f>
        <v>#REF!</v>
      </c>
      <c r="M43" s="2248">
        <f t="shared" si="69"/>
        <v>0</v>
      </c>
      <c r="N43" s="2248">
        <f t="shared" si="70"/>
        <v>0</v>
      </c>
      <c r="P43" s="2123"/>
      <c r="Q43" s="2067"/>
      <c r="R43" s="2218">
        <v>2</v>
      </c>
      <c r="S43" s="2217" t="s">
        <v>827</v>
      </c>
      <c r="T43" s="2216"/>
      <c r="U43" s="2017"/>
      <c r="V43" s="2038">
        <f t="shared" si="43"/>
        <v>0</v>
      </c>
      <c r="W43" s="2037">
        <f t="shared" si="44"/>
        <v>0</v>
      </c>
      <c r="Y43" s="1">
        <f t="shared" si="88"/>
        <v>0</v>
      </c>
      <c r="Z43" s="1">
        <f t="shared" si="89"/>
        <v>0</v>
      </c>
      <c r="AA43" s="1">
        <f t="shared" si="90"/>
        <v>0</v>
      </c>
      <c r="AB43" s="1">
        <f t="shared" si="91"/>
        <v>0</v>
      </c>
      <c r="AC43" s="1">
        <f t="shared" si="92"/>
        <v>0</v>
      </c>
      <c r="AD43" s="1">
        <f t="shared" si="93"/>
        <v>0</v>
      </c>
      <c r="AE43" s="1">
        <f t="shared" si="94"/>
        <v>0</v>
      </c>
      <c r="AF43" s="1">
        <f t="shared" si="95"/>
        <v>0</v>
      </c>
      <c r="AG43" s="1">
        <f t="shared" si="96"/>
        <v>0</v>
      </c>
      <c r="AH43" s="1">
        <f t="shared" si="97"/>
        <v>0</v>
      </c>
      <c r="AI43" s="1">
        <f t="shared" si="98"/>
        <v>0</v>
      </c>
      <c r="AJ43" s="1">
        <f t="shared" si="99"/>
        <v>0</v>
      </c>
      <c r="AK43" s="1">
        <f t="shared" si="100"/>
        <v>0</v>
      </c>
      <c r="AM43" s="1828" t="s">
        <v>3316</v>
      </c>
      <c r="AN43" s="1828" t="s">
        <v>3316</v>
      </c>
      <c r="AO43" s="1828" t="s">
        <v>3316</v>
      </c>
      <c r="AP43" s="1828" t="s">
        <v>3316</v>
      </c>
      <c r="AQ43" s="1828" t="s">
        <v>3316</v>
      </c>
      <c r="AR43" s="1828" t="s">
        <v>3316</v>
      </c>
      <c r="AS43" s="1828" t="s">
        <v>3316</v>
      </c>
      <c r="AT43" s="1828" t="s">
        <v>3316</v>
      </c>
      <c r="AU43" s="1828" t="s">
        <v>3316</v>
      </c>
      <c r="AV43" s="1828" t="s">
        <v>3316</v>
      </c>
      <c r="AW43" s="1828" t="s">
        <v>3316</v>
      </c>
      <c r="AX43" s="1828" t="s">
        <v>3316</v>
      </c>
      <c r="AY43" s="1828" t="s">
        <v>3316</v>
      </c>
      <c r="BA43" s="2243"/>
      <c r="BB43" s="2243" t="e">
        <f t="shared" si="71"/>
        <v>#REF!</v>
      </c>
      <c r="BC43" s="2243"/>
      <c r="BD43" s="2241" t="e">
        <f>BR43*#REF!</f>
        <v>#REF!</v>
      </c>
      <c r="BE43" s="2241" t="e">
        <f>BS43*#REF!</f>
        <v>#REF!</v>
      </c>
      <c r="BF43" s="2241" t="e">
        <f>BT43*#REF!</f>
        <v>#REF!</v>
      </c>
      <c r="BG43" s="2241" t="e">
        <f>BU43*#REF!</f>
        <v>#REF!</v>
      </c>
      <c r="BH43" s="2242" t="e">
        <f>BV43*#REF!</f>
        <v>#REF!</v>
      </c>
      <c r="BI43" s="2241" t="e">
        <f>BW43*#REF!</f>
        <v>#REF!</v>
      </c>
      <c r="BJ43" s="2241" t="e">
        <f>BX43*#REF!</f>
        <v>#REF!</v>
      </c>
      <c r="BK43" s="2241" t="e">
        <f>BY43*#REF!</f>
        <v>#REF!</v>
      </c>
      <c r="BL43" s="2241" t="e">
        <f>BZ43*#REF!</f>
        <v>#REF!</v>
      </c>
      <c r="BM43" s="2241" t="e">
        <f>CA43*#REF!</f>
        <v>#REF!</v>
      </c>
      <c r="BO43" s="2240" t="str">
        <f t="shared" si="72"/>
        <v>3.2.3</v>
      </c>
      <c r="BP43" s="2240" t="str">
        <f t="shared" si="73"/>
        <v xml:space="preserve"> Q1 3.3</v>
      </c>
      <c r="BQ43" s="2239">
        <f t="shared" si="74"/>
        <v>0</v>
      </c>
      <c r="BR43" s="2236">
        <f t="shared" si="75"/>
        <v>0</v>
      </c>
      <c r="BS43" s="2236">
        <f t="shared" si="76"/>
        <v>0</v>
      </c>
      <c r="BT43" s="2236">
        <f t="shared" si="77"/>
        <v>0</v>
      </c>
      <c r="BU43" s="2236">
        <f t="shared" si="78"/>
        <v>0</v>
      </c>
      <c r="BV43" s="2238">
        <f t="shared" si="79"/>
        <v>0</v>
      </c>
      <c r="BW43" s="2236">
        <f t="shared" si="80"/>
        <v>0</v>
      </c>
      <c r="BX43" s="2236">
        <f t="shared" si="81"/>
        <v>0</v>
      </c>
      <c r="BY43" s="2236">
        <f t="shared" si="82"/>
        <v>0</v>
      </c>
      <c r="BZ43" s="2236">
        <f t="shared" si="83"/>
        <v>0</v>
      </c>
      <c r="CA43" s="2236">
        <f t="shared" si="84"/>
        <v>0</v>
      </c>
      <c r="CB43" s="2237">
        <f t="shared" si="85"/>
        <v>0</v>
      </c>
      <c r="CC43" s="2236">
        <f t="shared" si="86"/>
        <v>0</v>
      </c>
      <c r="CD43" s="2236">
        <f t="shared" si="87"/>
        <v>0</v>
      </c>
      <c r="CF43" s="1207" t="s">
        <v>2138</v>
      </c>
      <c r="CG43" s="1211" t="s">
        <v>2139</v>
      </c>
      <c r="CH43" s="1208" t="s">
        <v>827</v>
      </c>
      <c r="CI43" s="1209"/>
      <c r="CJ43" s="1209"/>
      <c r="CK43" s="1209"/>
      <c r="CL43" s="1209"/>
      <c r="CM43" s="1223"/>
      <c r="CN43" s="1209"/>
      <c r="CO43" s="1226">
        <v>0.3</v>
      </c>
      <c r="CP43" s="1209"/>
      <c r="CQ43" s="1209"/>
      <c r="CR43" s="1209"/>
      <c r="CS43" s="1214"/>
      <c r="CT43" s="1213"/>
      <c r="CU43" s="1213"/>
      <c r="CW43" s="1229" t="s">
        <v>3323</v>
      </c>
      <c r="CX43" s="1232" t="s">
        <v>2139</v>
      </c>
      <c r="CY43" s="1230" t="s">
        <v>827</v>
      </c>
      <c r="CZ43" s="1233"/>
      <c r="DA43" s="1233"/>
      <c r="DB43" s="1233"/>
      <c r="DC43" s="1233"/>
      <c r="DD43" s="1234"/>
      <c r="DE43" s="1233"/>
      <c r="DF43" s="1233"/>
      <c r="DG43" s="1233"/>
      <c r="DH43" s="1233"/>
      <c r="DI43" s="1233"/>
      <c r="DJ43" s="1235"/>
      <c r="DK43" s="1233"/>
      <c r="DL43" s="1233"/>
      <c r="DN43" s="1229" t="s">
        <v>3323</v>
      </c>
      <c r="DO43" s="1232" t="s">
        <v>2139</v>
      </c>
      <c r="DP43" s="1230"/>
      <c r="DQ43" s="1236"/>
      <c r="DR43" s="1236"/>
      <c r="DS43" s="1236"/>
      <c r="DT43" s="1236"/>
      <c r="DU43" s="1572"/>
      <c r="DV43" s="1236"/>
      <c r="DW43" s="1236"/>
      <c r="DX43" s="1236"/>
      <c r="DY43" s="1236"/>
      <c r="DZ43" s="1236"/>
      <c r="EA43" s="1238"/>
      <c r="EB43" s="1236"/>
      <c r="EC43" s="1236"/>
      <c r="ED43" s="1470"/>
      <c r="EF43" s="1229" t="s">
        <v>3323</v>
      </c>
      <c r="EG43" s="1232" t="s">
        <v>2139</v>
      </c>
      <c r="EH43" s="1230"/>
      <c r="EI43" s="1696"/>
      <c r="EJ43" s="1696"/>
      <c r="EK43" s="1696"/>
      <c r="EL43" s="1696"/>
      <c r="EM43" s="1697"/>
      <c r="EN43" s="1696"/>
      <c r="EO43" s="1696"/>
      <c r="EP43" s="1696"/>
      <c r="EQ43" s="1696"/>
      <c r="ER43" s="1696"/>
      <c r="ES43" s="1698"/>
      <c r="ET43" s="1696"/>
      <c r="EU43" s="1696"/>
      <c r="EW43" s="1229"/>
      <c r="EX43" s="1232"/>
      <c r="EY43" s="1230"/>
      <c r="EZ43" s="1799"/>
      <c r="FA43" s="1799"/>
      <c r="FB43" s="1799"/>
      <c r="FC43" s="1799"/>
      <c r="FD43" s="1800"/>
      <c r="FE43" s="1799"/>
      <c r="FF43" s="1799"/>
      <c r="FG43" s="1799"/>
      <c r="FH43" s="1799"/>
      <c r="FI43" s="1799"/>
      <c r="FJ43" s="1801"/>
      <c r="FK43" s="1799"/>
      <c r="FL43" s="1799"/>
    </row>
    <row r="44" spans="2:168">
      <c r="B44" s="2023">
        <f t="shared" ref="B44:B69" si="101">BO44</f>
        <v>3.3</v>
      </c>
      <c r="C44" s="829" t="str">
        <f t="shared" si="65"/>
        <v>照度</v>
      </c>
      <c r="D44" s="2022" t="e">
        <f>IF(I$35=0,0,G44/I$35)</f>
        <v>#REF!</v>
      </c>
      <c r="E44" s="2021" t="e">
        <f>IF(J$35=0,0,H44/J$35)</f>
        <v>#REF!</v>
      </c>
      <c r="G44" s="2021" t="e">
        <f t="shared" si="67"/>
        <v>#REF!</v>
      </c>
      <c r="H44" s="2021" t="e">
        <f t="shared" si="68"/>
        <v>#REF!</v>
      </c>
      <c r="I44" s="2021" t="e">
        <f>SUM(G45:G46)</f>
        <v>#REF!</v>
      </c>
      <c r="J44" s="2021" t="e">
        <f>SUM(H45:H46)</f>
        <v>#REF!</v>
      </c>
      <c r="K44" s="2021" t="e">
        <f>IF(#REF!=0,0,1)</f>
        <v>#REF!</v>
      </c>
      <c r="L44" s="2021" t="e">
        <f>IF(#REF!=0,0,1)</f>
        <v>#REF!</v>
      </c>
      <c r="M44" s="2021">
        <f t="shared" si="69"/>
        <v>0.15</v>
      </c>
      <c r="N44" s="2021">
        <f t="shared" si="70"/>
        <v>0</v>
      </c>
      <c r="P44" s="2102"/>
      <c r="Q44" s="2035">
        <v>3.3</v>
      </c>
      <c r="R44" s="2129" t="s">
        <v>828</v>
      </c>
      <c r="S44" s="2129"/>
      <c r="T44" s="2129"/>
      <c r="U44" s="2017"/>
      <c r="V44" s="2038">
        <f t="shared" si="43"/>
        <v>0</v>
      </c>
      <c r="W44" s="2037">
        <f t="shared" si="44"/>
        <v>0</v>
      </c>
      <c r="Y44" s="1">
        <f t="shared" si="88"/>
        <v>0</v>
      </c>
      <c r="Z44" s="1">
        <f t="shared" si="89"/>
        <v>0</v>
      </c>
      <c r="AA44" s="1">
        <f t="shared" si="90"/>
        <v>0</v>
      </c>
      <c r="AB44" s="1">
        <f t="shared" si="91"/>
        <v>0</v>
      </c>
      <c r="AC44" s="1">
        <f t="shared" si="92"/>
        <v>0</v>
      </c>
      <c r="AD44" s="1">
        <f t="shared" si="93"/>
        <v>0</v>
      </c>
      <c r="AE44" s="1">
        <f t="shared" si="94"/>
        <v>0</v>
      </c>
      <c r="AF44" s="1">
        <f t="shared" si="95"/>
        <v>0</v>
      </c>
      <c r="AG44" s="1">
        <f t="shared" si="96"/>
        <v>0</v>
      </c>
      <c r="AH44" s="1">
        <f t="shared" si="97"/>
        <v>0</v>
      </c>
      <c r="AI44" s="1">
        <f t="shared" si="98"/>
        <v>0</v>
      </c>
      <c r="AJ44" s="1">
        <f t="shared" si="99"/>
        <v>0</v>
      </c>
      <c r="AK44" s="1">
        <f t="shared" si="100"/>
        <v>0</v>
      </c>
      <c r="AM44" s="1830"/>
      <c r="AN44" s="1830"/>
      <c r="AO44" s="1830"/>
      <c r="AP44" s="1830"/>
      <c r="AQ44" s="1830"/>
      <c r="AR44" s="1830"/>
      <c r="AS44" s="1830"/>
      <c r="AT44" s="1830"/>
      <c r="AU44" s="1830"/>
      <c r="AV44" s="1830"/>
      <c r="AW44" s="1830"/>
      <c r="AX44" s="1830"/>
      <c r="AY44" s="1830"/>
      <c r="BA44" s="2014"/>
      <c r="BB44" s="2014" t="e">
        <f t="shared" si="71"/>
        <v>#REF!</v>
      </c>
      <c r="BC44" s="2014"/>
      <c r="BD44" s="2013" t="e">
        <f>BR44*#REF!</f>
        <v>#REF!</v>
      </c>
      <c r="BE44" s="2013" t="e">
        <f>BS44*#REF!</f>
        <v>#REF!</v>
      </c>
      <c r="BF44" s="2013" t="e">
        <f>BT44*#REF!</f>
        <v>#REF!</v>
      </c>
      <c r="BG44" s="2013" t="e">
        <f>BU44*#REF!</f>
        <v>#REF!</v>
      </c>
      <c r="BH44" s="2226" t="e">
        <f>BV44*#REF!</f>
        <v>#REF!</v>
      </c>
      <c r="BI44" s="2013" t="e">
        <f>BW44*#REF!</f>
        <v>#REF!</v>
      </c>
      <c r="BJ44" s="2013" t="e">
        <f>BX44*#REF!</f>
        <v>#REF!</v>
      </c>
      <c r="BK44" s="2013" t="e">
        <f>BY44*#REF!</f>
        <v>#REF!</v>
      </c>
      <c r="BL44" s="2013" t="e">
        <f>BZ44*#REF!</f>
        <v>#REF!</v>
      </c>
      <c r="BM44" s="2013" t="e">
        <f>CA44*#REF!</f>
        <v>#REF!</v>
      </c>
      <c r="BO44" s="2040">
        <f t="shared" si="72"/>
        <v>3.3</v>
      </c>
      <c r="BP44" s="2040" t="str">
        <f t="shared" si="73"/>
        <v xml:space="preserve"> Q1 3</v>
      </c>
      <c r="BQ44" s="829" t="str">
        <f t="shared" si="74"/>
        <v>照度</v>
      </c>
      <c r="BR44" s="2010">
        <f t="shared" si="75"/>
        <v>0.15</v>
      </c>
      <c r="BS44" s="2010">
        <f t="shared" si="76"/>
        <v>0.15</v>
      </c>
      <c r="BT44" s="2010">
        <f t="shared" si="77"/>
        <v>0</v>
      </c>
      <c r="BU44" s="2010">
        <f t="shared" si="78"/>
        <v>0</v>
      </c>
      <c r="BV44" s="2225">
        <f t="shared" si="79"/>
        <v>0.2</v>
      </c>
      <c r="BW44" s="2010">
        <f t="shared" si="80"/>
        <v>0.15</v>
      </c>
      <c r="BX44" s="2010">
        <f t="shared" si="81"/>
        <v>0.15</v>
      </c>
      <c r="BY44" s="2010">
        <f t="shared" si="82"/>
        <v>0.15</v>
      </c>
      <c r="BZ44" s="2010">
        <f t="shared" si="83"/>
        <v>0.15</v>
      </c>
      <c r="CA44" s="2010">
        <f t="shared" si="84"/>
        <v>0.15</v>
      </c>
      <c r="CB44" s="2039">
        <f t="shared" si="85"/>
        <v>0.15</v>
      </c>
      <c r="CC44" s="2010">
        <f t="shared" si="86"/>
        <v>0.15</v>
      </c>
      <c r="CD44" s="2010">
        <f t="shared" si="87"/>
        <v>0.15</v>
      </c>
      <c r="CF44" s="1207">
        <v>3.3</v>
      </c>
      <c r="CG44" s="1211" t="s">
        <v>2130</v>
      </c>
      <c r="CH44" s="1208" t="s">
        <v>828</v>
      </c>
      <c r="CI44" s="1209">
        <v>0.15</v>
      </c>
      <c r="CJ44" s="1209">
        <v>0.15</v>
      </c>
      <c r="CK44" s="1209"/>
      <c r="CL44" s="1209"/>
      <c r="CM44" s="1223"/>
      <c r="CN44" s="1209">
        <v>0.15</v>
      </c>
      <c r="CO44" s="1213">
        <v>0.15</v>
      </c>
      <c r="CP44" s="1209">
        <v>0.15</v>
      </c>
      <c r="CQ44" s="1209">
        <v>0.15</v>
      </c>
      <c r="CR44" s="1209">
        <v>0.15</v>
      </c>
      <c r="CS44" s="1214">
        <v>0.15</v>
      </c>
      <c r="CT44" s="1213">
        <v>0.15</v>
      </c>
      <c r="CU44" s="1213">
        <v>0.15</v>
      </c>
      <c r="CW44" s="1207">
        <v>3.3</v>
      </c>
      <c r="CX44" s="1211" t="s">
        <v>2130</v>
      </c>
      <c r="CY44" s="1208" t="s">
        <v>828</v>
      </c>
      <c r="CZ44" s="1213">
        <v>0.15</v>
      </c>
      <c r="DA44" s="1213">
        <v>0.15</v>
      </c>
      <c r="DB44" s="1213"/>
      <c r="DC44" s="1213"/>
      <c r="DD44" s="1215"/>
      <c r="DE44" s="1213">
        <v>0.15</v>
      </c>
      <c r="DF44" s="1213">
        <v>0.15</v>
      </c>
      <c r="DG44" s="1213">
        <v>0.15</v>
      </c>
      <c r="DH44" s="1213">
        <v>0.15</v>
      </c>
      <c r="DI44" s="1213">
        <v>0.15</v>
      </c>
      <c r="DJ44" s="1214">
        <v>0.15</v>
      </c>
      <c r="DK44" s="1213">
        <v>0.15</v>
      </c>
      <c r="DL44" s="1213">
        <v>0.15</v>
      </c>
      <c r="DN44" s="1207">
        <v>3.3</v>
      </c>
      <c r="DO44" s="1211" t="s">
        <v>2130</v>
      </c>
      <c r="DP44" s="1208" t="s">
        <v>828</v>
      </c>
      <c r="DQ44" s="1213">
        <v>0.15</v>
      </c>
      <c r="DR44" s="1213">
        <v>0.15</v>
      </c>
      <c r="DS44" s="1213"/>
      <c r="DT44" s="1213"/>
      <c r="DU44" s="1573">
        <v>0.2</v>
      </c>
      <c r="DV44" s="1213">
        <v>0.15</v>
      </c>
      <c r="DW44" s="1213">
        <v>0.15</v>
      </c>
      <c r="DX44" s="1213">
        <v>0.15</v>
      </c>
      <c r="DY44" s="1213">
        <v>0.15</v>
      </c>
      <c r="DZ44" s="1213">
        <v>0.15</v>
      </c>
      <c r="EA44" s="1214">
        <v>0.15</v>
      </c>
      <c r="EB44" s="1213">
        <v>0.15</v>
      </c>
      <c r="EC44" s="1213">
        <v>0.15</v>
      </c>
      <c r="ED44" s="1469"/>
      <c r="EF44" s="1207">
        <v>3.3</v>
      </c>
      <c r="EG44" s="1211" t="s">
        <v>2130</v>
      </c>
      <c r="EH44" s="1208" t="s">
        <v>828</v>
      </c>
      <c r="EI44" s="1689">
        <f t="shared" ref="EI44:EU50" si="102">DQ44</f>
        <v>0.15</v>
      </c>
      <c r="EJ44" s="1689">
        <f t="shared" si="102"/>
        <v>0.15</v>
      </c>
      <c r="EK44" s="1689">
        <f t="shared" si="102"/>
        <v>0</v>
      </c>
      <c r="EL44" s="1689">
        <f t="shared" si="102"/>
        <v>0</v>
      </c>
      <c r="EM44" s="1689">
        <f t="shared" si="102"/>
        <v>0.2</v>
      </c>
      <c r="EN44" s="1689">
        <f t="shared" si="102"/>
        <v>0.15</v>
      </c>
      <c r="EO44" s="1689">
        <f t="shared" si="102"/>
        <v>0.15</v>
      </c>
      <c r="EP44" s="1689">
        <f t="shared" si="102"/>
        <v>0.15</v>
      </c>
      <c r="EQ44" s="1689">
        <f t="shared" si="102"/>
        <v>0.15</v>
      </c>
      <c r="ER44" s="1689">
        <f t="shared" si="102"/>
        <v>0.15</v>
      </c>
      <c r="ES44" s="1691">
        <f t="shared" si="102"/>
        <v>0.15</v>
      </c>
      <c r="ET44" s="1689">
        <f t="shared" si="102"/>
        <v>0.15</v>
      </c>
      <c r="EU44" s="1689">
        <f t="shared" si="102"/>
        <v>0.15</v>
      </c>
      <c r="EW44" s="1207">
        <v>3.3</v>
      </c>
      <c r="EX44" s="1211" t="s">
        <v>2130</v>
      </c>
      <c r="EY44" s="1208" t="s">
        <v>828</v>
      </c>
      <c r="EZ44" s="1678">
        <f t="shared" ref="EZ44:EZ50" si="103">DQ44</f>
        <v>0.15</v>
      </c>
      <c r="FA44" s="1678"/>
      <c r="FB44" s="1678"/>
      <c r="FC44" s="1678"/>
      <c r="FD44" s="1678"/>
      <c r="FE44" s="1678"/>
      <c r="FF44" s="1678"/>
      <c r="FG44" s="1678"/>
      <c r="FH44" s="1678"/>
      <c r="FI44" s="1678"/>
      <c r="FJ44" s="1795"/>
      <c r="FK44" s="1678"/>
      <c r="FL44" s="1678"/>
    </row>
    <row r="45" spans="2:168" ht="13.5" hidden="1" customHeight="1">
      <c r="B45" s="2023" t="str">
        <f t="shared" si="101"/>
        <v>3.3.1</v>
      </c>
      <c r="C45" s="2239" t="str">
        <f t="shared" si="65"/>
        <v>照度</v>
      </c>
      <c r="D45" s="2249" t="e">
        <f>IF(I$44&gt;0,G45/I$44,0)</f>
        <v>#REF!</v>
      </c>
      <c r="E45" s="2248" t="e">
        <f>IF(J$44&gt;0,H45/J$44,0)</f>
        <v>#REF!</v>
      </c>
      <c r="G45" s="2248" t="e">
        <f t="shared" si="67"/>
        <v>#REF!</v>
      </c>
      <c r="H45" s="2248" t="e">
        <f t="shared" si="68"/>
        <v>#REF!</v>
      </c>
      <c r="I45" s="2248"/>
      <c r="J45" s="2248"/>
      <c r="K45" s="2248" t="e">
        <f>IF(#REF!=0,0,1)</f>
        <v>#REF!</v>
      </c>
      <c r="L45" s="2248" t="e">
        <f>IF(#REF!=0,0,1)</f>
        <v>#REF!</v>
      </c>
      <c r="M45" s="2248">
        <f t="shared" si="69"/>
        <v>0</v>
      </c>
      <c r="N45" s="2248">
        <f t="shared" si="70"/>
        <v>0</v>
      </c>
      <c r="P45" s="2259"/>
      <c r="Q45" s="2260"/>
      <c r="R45" s="2245">
        <v>1</v>
      </c>
      <c r="S45" s="2244" t="s">
        <v>829</v>
      </c>
      <c r="T45" s="2144"/>
      <c r="U45" s="2017"/>
      <c r="V45" s="2038">
        <f t="shared" si="43"/>
        <v>0</v>
      </c>
      <c r="W45" s="2037">
        <f t="shared" si="44"/>
        <v>0</v>
      </c>
      <c r="Y45" s="1">
        <f t="shared" si="88"/>
        <v>0</v>
      </c>
      <c r="Z45" s="1">
        <f t="shared" si="89"/>
        <v>0</v>
      </c>
      <c r="AA45" s="1">
        <f t="shared" si="90"/>
        <v>0</v>
      </c>
      <c r="AB45" s="1">
        <f t="shared" si="91"/>
        <v>0</v>
      </c>
      <c r="AC45" s="1">
        <f t="shared" si="92"/>
        <v>0</v>
      </c>
      <c r="AD45" s="1">
        <f t="shared" si="93"/>
        <v>0</v>
      </c>
      <c r="AE45" s="1">
        <f t="shared" si="94"/>
        <v>0</v>
      </c>
      <c r="AF45" s="1">
        <f t="shared" si="95"/>
        <v>0</v>
      </c>
      <c r="AG45" s="1">
        <f t="shared" si="96"/>
        <v>0</v>
      </c>
      <c r="AH45" s="1">
        <f t="shared" si="97"/>
        <v>0</v>
      </c>
      <c r="AI45" s="1">
        <f t="shared" si="98"/>
        <v>0</v>
      </c>
      <c r="AJ45" s="1">
        <f t="shared" si="99"/>
        <v>0</v>
      </c>
      <c r="AK45" s="1">
        <f t="shared" si="100"/>
        <v>0</v>
      </c>
      <c r="AM45" s="1828"/>
      <c r="AN45" s="1828"/>
      <c r="AO45" s="1828"/>
      <c r="AP45" s="1828"/>
      <c r="AQ45" s="1828"/>
      <c r="AR45" s="1828"/>
      <c r="AS45" s="1828"/>
      <c r="AT45" s="1828"/>
      <c r="AU45" s="1828"/>
      <c r="AV45" s="1828"/>
      <c r="AW45" s="1828"/>
      <c r="AX45" s="1828"/>
      <c r="AY45" s="1828"/>
      <c r="BA45" s="2243"/>
      <c r="BB45" s="2243" t="e">
        <f t="shared" si="71"/>
        <v>#REF!</v>
      </c>
      <c r="BC45" s="2243"/>
      <c r="BD45" s="2241" t="e">
        <f>BR45*#REF!</f>
        <v>#REF!</v>
      </c>
      <c r="BE45" s="2241" t="e">
        <f>BS45*#REF!</f>
        <v>#REF!</v>
      </c>
      <c r="BF45" s="2241" t="e">
        <f>BT45*#REF!</f>
        <v>#REF!</v>
      </c>
      <c r="BG45" s="2241" t="e">
        <f>BU45*#REF!</f>
        <v>#REF!</v>
      </c>
      <c r="BH45" s="2242" t="e">
        <f>BV45*#REF!</f>
        <v>#REF!</v>
      </c>
      <c r="BI45" s="2241" t="e">
        <f>BW45*#REF!</f>
        <v>#REF!</v>
      </c>
      <c r="BJ45" s="2241" t="e">
        <f>BX45*#REF!</f>
        <v>#REF!</v>
      </c>
      <c r="BK45" s="2241" t="e">
        <f>BY45*#REF!</f>
        <v>#REF!</v>
      </c>
      <c r="BL45" s="2241" t="e">
        <f>BZ45*#REF!</f>
        <v>#REF!</v>
      </c>
      <c r="BM45" s="2241" t="e">
        <f>CA45*#REF!</f>
        <v>#REF!</v>
      </c>
      <c r="BO45" s="2240" t="str">
        <f t="shared" si="72"/>
        <v>3.3.1</v>
      </c>
      <c r="BP45" s="2240" t="str">
        <f t="shared" si="73"/>
        <v xml:space="preserve"> Q1 3.3</v>
      </c>
      <c r="BQ45" s="2239" t="str">
        <f t="shared" si="74"/>
        <v>照度</v>
      </c>
      <c r="BR45" s="2236">
        <f t="shared" si="75"/>
        <v>0</v>
      </c>
      <c r="BS45" s="2236">
        <f t="shared" si="76"/>
        <v>0</v>
      </c>
      <c r="BT45" s="2236">
        <f t="shared" si="77"/>
        <v>0</v>
      </c>
      <c r="BU45" s="2236">
        <f t="shared" si="78"/>
        <v>0</v>
      </c>
      <c r="BV45" s="2238">
        <f t="shared" si="79"/>
        <v>0</v>
      </c>
      <c r="BW45" s="2236">
        <f t="shared" si="80"/>
        <v>0</v>
      </c>
      <c r="BX45" s="2236">
        <f t="shared" si="81"/>
        <v>0</v>
      </c>
      <c r="BY45" s="2236">
        <f t="shared" si="82"/>
        <v>0</v>
      </c>
      <c r="BZ45" s="2236">
        <f t="shared" si="83"/>
        <v>0</v>
      </c>
      <c r="CA45" s="2236">
        <f t="shared" si="84"/>
        <v>0</v>
      </c>
      <c r="CB45" s="2237">
        <f t="shared" si="85"/>
        <v>0</v>
      </c>
      <c r="CC45" s="2236">
        <f t="shared" si="86"/>
        <v>0</v>
      </c>
      <c r="CD45" s="2236">
        <f t="shared" si="87"/>
        <v>0</v>
      </c>
      <c r="CF45" s="1229" t="s">
        <v>3322</v>
      </c>
      <c r="CG45" s="1232" t="s">
        <v>2139</v>
      </c>
      <c r="CH45" s="1230" t="s">
        <v>3321</v>
      </c>
      <c r="CI45" s="1209"/>
      <c r="CJ45" s="1209"/>
      <c r="CK45" s="1209"/>
      <c r="CL45" s="1209"/>
      <c r="CM45" s="1223"/>
      <c r="CN45" s="1209"/>
      <c r="CO45" s="1233"/>
      <c r="CP45" s="1209"/>
      <c r="CQ45" s="1209"/>
      <c r="CR45" s="1209"/>
      <c r="CS45" s="1235"/>
      <c r="CT45" s="1233"/>
      <c r="CU45" s="1233"/>
      <c r="CW45" s="1229" t="s">
        <v>3322</v>
      </c>
      <c r="CX45" s="1232" t="s">
        <v>2139</v>
      </c>
      <c r="CY45" s="1230" t="s">
        <v>3321</v>
      </c>
      <c r="CZ45" s="1233"/>
      <c r="DA45" s="1233"/>
      <c r="DB45" s="1233"/>
      <c r="DC45" s="1233"/>
      <c r="DD45" s="1234"/>
      <c r="DE45" s="1233"/>
      <c r="DF45" s="1233"/>
      <c r="DG45" s="1233"/>
      <c r="DH45" s="1233"/>
      <c r="DI45" s="1233"/>
      <c r="DJ45" s="1235"/>
      <c r="DK45" s="1233"/>
      <c r="DL45" s="1233"/>
      <c r="DN45" s="1229" t="s">
        <v>3322</v>
      </c>
      <c r="DO45" s="1232" t="s">
        <v>2139</v>
      </c>
      <c r="DP45" s="1230" t="s">
        <v>3321</v>
      </c>
      <c r="DQ45" s="1236"/>
      <c r="DR45" s="1236"/>
      <c r="DS45" s="1236"/>
      <c r="DT45" s="1236"/>
      <c r="DU45" s="1575">
        <v>0</v>
      </c>
      <c r="DV45" s="1236"/>
      <c r="DW45" s="1236"/>
      <c r="DX45" s="1236"/>
      <c r="DY45" s="1236"/>
      <c r="DZ45" s="1236"/>
      <c r="EA45" s="1238"/>
      <c r="EB45" s="1236"/>
      <c r="EC45" s="1236"/>
      <c r="ED45" s="1470"/>
      <c r="EF45" s="1229" t="s">
        <v>3322</v>
      </c>
      <c r="EG45" s="1232" t="s">
        <v>2139</v>
      </c>
      <c r="EH45" s="1230" t="s">
        <v>3321</v>
      </c>
      <c r="EI45" s="1696">
        <f t="shared" si="102"/>
        <v>0</v>
      </c>
      <c r="EJ45" s="1696">
        <f t="shared" si="102"/>
        <v>0</v>
      </c>
      <c r="EK45" s="1696">
        <f t="shared" si="102"/>
        <v>0</v>
      </c>
      <c r="EL45" s="1696">
        <f t="shared" si="102"/>
        <v>0</v>
      </c>
      <c r="EM45" s="1696">
        <f t="shared" si="102"/>
        <v>0</v>
      </c>
      <c r="EN45" s="1696">
        <f t="shared" si="102"/>
        <v>0</v>
      </c>
      <c r="EO45" s="1696">
        <f t="shared" si="102"/>
        <v>0</v>
      </c>
      <c r="EP45" s="1696">
        <f t="shared" si="102"/>
        <v>0</v>
      </c>
      <c r="EQ45" s="1696">
        <f t="shared" si="102"/>
        <v>0</v>
      </c>
      <c r="ER45" s="1696">
        <f t="shared" si="102"/>
        <v>0</v>
      </c>
      <c r="ES45" s="1698">
        <f t="shared" si="102"/>
        <v>0</v>
      </c>
      <c r="ET45" s="1696">
        <f t="shared" si="102"/>
        <v>0</v>
      </c>
      <c r="EU45" s="1696">
        <f t="shared" si="102"/>
        <v>0</v>
      </c>
      <c r="EW45" s="1229" t="s">
        <v>3322</v>
      </c>
      <c r="EX45" s="1232" t="s">
        <v>2139</v>
      </c>
      <c r="EY45" s="1230" t="s">
        <v>3321</v>
      </c>
      <c r="EZ45" s="1799">
        <f t="shared" si="103"/>
        <v>0</v>
      </c>
      <c r="FA45" s="1799"/>
      <c r="FB45" s="1799"/>
      <c r="FC45" s="1799"/>
      <c r="FD45" s="1799"/>
      <c r="FE45" s="1799"/>
      <c r="FF45" s="1799"/>
      <c r="FG45" s="1799"/>
      <c r="FH45" s="1799"/>
      <c r="FI45" s="1799"/>
      <c r="FJ45" s="1801"/>
      <c r="FK45" s="1799"/>
      <c r="FL45" s="1799"/>
    </row>
    <row r="46" spans="2:168" ht="13.5" hidden="1" customHeight="1">
      <c r="B46" s="2023" t="str">
        <f t="shared" si="101"/>
        <v>3.3.2</v>
      </c>
      <c r="C46" s="2239" t="str">
        <f t="shared" si="65"/>
        <v>照度均斉度</v>
      </c>
      <c r="D46" s="2249" t="e">
        <f>IF(I$44&gt;0,G46/I$44,0)</f>
        <v>#REF!</v>
      </c>
      <c r="E46" s="2248" t="e">
        <f>IF(J$44&gt;0,H46/J$44,0)</f>
        <v>#REF!</v>
      </c>
      <c r="G46" s="2248" t="e">
        <f t="shared" si="67"/>
        <v>#REF!</v>
      </c>
      <c r="H46" s="2248" t="e">
        <f t="shared" si="68"/>
        <v>#REF!</v>
      </c>
      <c r="I46" s="2248"/>
      <c r="J46" s="2248"/>
      <c r="K46" s="2248" t="e">
        <f>IF(#REF!=0,0,1)</f>
        <v>#REF!</v>
      </c>
      <c r="L46" s="2248" t="e">
        <f>IF(#REF!=0,0,1)</f>
        <v>#REF!</v>
      </c>
      <c r="M46" s="2248">
        <f t="shared" si="69"/>
        <v>0</v>
      </c>
      <c r="N46" s="2248">
        <f t="shared" si="70"/>
        <v>0</v>
      </c>
      <c r="P46" s="2259"/>
      <c r="Q46" s="2246"/>
      <c r="R46" s="2245">
        <v>2</v>
      </c>
      <c r="S46" s="2244" t="s">
        <v>830</v>
      </c>
      <c r="T46" s="2144"/>
      <c r="U46" s="2017"/>
      <c r="V46" s="2038">
        <f t="shared" ref="V46:V77" si="104">IF(SUMPRODUCT($AM$7:$AV$7,Y46:AH46)=0,0,SUMPRODUCT($AM$7:$AV$7,AM46:AV46)/SUMPRODUCT($AM$7:$AV$7,Y46:AH46))</f>
        <v>0</v>
      </c>
      <c r="W46" s="2037">
        <f t="shared" ref="W46:W77" si="105">IF(SUMPRODUCT($AW$7:$AY$7,AI46:AK46)=0,0,SUMPRODUCT($AW$7:$AY$7,AW46:AY46)/SUMPRODUCT($AW$7:$AY$7,AI46:AK46))</f>
        <v>0</v>
      </c>
      <c r="Y46" s="1">
        <f t="shared" si="88"/>
        <v>0</v>
      </c>
      <c r="Z46" s="1">
        <f t="shared" si="89"/>
        <v>0</v>
      </c>
      <c r="AA46" s="1">
        <f t="shared" si="90"/>
        <v>0</v>
      </c>
      <c r="AB46" s="1">
        <f t="shared" si="91"/>
        <v>0</v>
      </c>
      <c r="AC46" s="1">
        <f t="shared" si="92"/>
        <v>0</v>
      </c>
      <c r="AD46" s="1">
        <f t="shared" si="93"/>
        <v>0</v>
      </c>
      <c r="AE46" s="1">
        <f t="shared" si="94"/>
        <v>0</v>
      </c>
      <c r="AF46" s="1">
        <f t="shared" si="95"/>
        <v>0</v>
      </c>
      <c r="AG46" s="1">
        <f t="shared" si="96"/>
        <v>0</v>
      </c>
      <c r="AH46" s="1">
        <f t="shared" si="97"/>
        <v>0</v>
      </c>
      <c r="AI46" s="1">
        <f t="shared" si="98"/>
        <v>0</v>
      </c>
      <c r="AJ46" s="1">
        <f t="shared" si="99"/>
        <v>0</v>
      </c>
      <c r="AK46" s="1">
        <f t="shared" si="100"/>
        <v>0</v>
      </c>
      <c r="AM46" s="1828"/>
      <c r="AN46" s="1828"/>
      <c r="AO46" s="1828"/>
      <c r="AP46" s="1828"/>
      <c r="AQ46" s="1828"/>
      <c r="AR46" s="1828"/>
      <c r="AS46" s="1828"/>
      <c r="AT46" s="1828"/>
      <c r="AU46" s="1828"/>
      <c r="AV46" s="1828"/>
      <c r="AW46" s="1828"/>
      <c r="AX46" s="1828"/>
      <c r="AY46" s="1828"/>
      <c r="BA46" s="2243"/>
      <c r="BB46" s="2243" t="e">
        <f t="shared" si="71"/>
        <v>#REF!</v>
      </c>
      <c r="BC46" s="2243"/>
      <c r="BD46" s="2241" t="e">
        <f>BR46*#REF!</f>
        <v>#REF!</v>
      </c>
      <c r="BE46" s="2241" t="e">
        <f>BS46*#REF!</f>
        <v>#REF!</v>
      </c>
      <c r="BF46" s="2241" t="e">
        <f>BT46*#REF!</f>
        <v>#REF!</v>
      </c>
      <c r="BG46" s="2241" t="e">
        <f>BU46*#REF!</f>
        <v>#REF!</v>
      </c>
      <c r="BH46" s="2242" t="e">
        <f>BV46*#REF!</f>
        <v>#REF!</v>
      </c>
      <c r="BI46" s="2241" t="e">
        <f>BW46*#REF!</f>
        <v>#REF!</v>
      </c>
      <c r="BJ46" s="2241" t="e">
        <f>BX46*#REF!</f>
        <v>#REF!</v>
      </c>
      <c r="BK46" s="2241" t="e">
        <f>BY46*#REF!</f>
        <v>#REF!</v>
      </c>
      <c r="BL46" s="2241" t="e">
        <f>BZ46*#REF!</f>
        <v>#REF!</v>
      </c>
      <c r="BM46" s="2241" t="e">
        <f>CA46*#REF!</f>
        <v>#REF!</v>
      </c>
      <c r="BO46" s="2240" t="str">
        <f t="shared" si="72"/>
        <v>3.3.2</v>
      </c>
      <c r="BP46" s="2240" t="str">
        <f t="shared" si="73"/>
        <v xml:space="preserve"> Q1 3.3</v>
      </c>
      <c r="BQ46" s="2239" t="str">
        <f t="shared" si="74"/>
        <v>照度均斉度</v>
      </c>
      <c r="BR46" s="2236">
        <f t="shared" si="75"/>
        <v>0</v>
      </c>
      <c r="BS46" s="2236">
        <f t="shared" si="76"/>
        <v>0</v>
      </c>
      <c r="BT46" s="2236">
        <f t="shared" si="77"/>
        <v>0</v>
      </c>
      <c r="BU46" s="2236">
        <f t="shared" si="78"/>
        <v>0</v>
      </c>
      <c r="BV46" s="2238">
        <f t="shared" si="79"/>
        <v>0</v>
      </c>
      <c r="BW46" s="2236">
        <f t="shared" si="80"/>
        <v>0</v>
      </c>
      <c r="BX46" s="2236">
        <f t="shared" si="81"/>
        <v>0</v>
      </c>
      <c r="BY46" s="2236">
        <f t="shared" si="82"/>
        <v>0</v>
      </c>
      <c r="BZ46" s="2236">
        <f t="shared" si="83"/>
        <v>0</v>
      </c>
      <c r="CA46" s="2236">
        <f t="shared" si="84"/>
        <v>0</v>
      </c>
      <c r="CB46" s="2237">
        <f t="shared" si="85"/>
        <v>0</v>
      </c>
      <c r="CC46" s="2236">
        <f t="shared" si="86"/>
        <v>0</v>
      </c>
      <c r="CD46" s="2236">
        <f t="shared" si="87"/>
        <v>0</v>
      </c>
      <c r="CF46" s="1229" t="s">
        <v>3320</v>
      </c>
      <c r="CG46" s="1232" t="s">
        <v>2139</v>
      </c>
      <c r="CH46" s="1230" t="s">
        <v>3319</v>
      </c>
      <c r="CI46" s="1218"/>
      <c r="CJ46" s="1218"/>
      <c r="CK46" s="1218"/>
      <c r="CL46" s="1218"/>
      <c r="CM46" s="1224"/>
      <c r="CN46" s="1218"/>
      <c r="CO46" s="1233"/>
      <c r="CP46" s="1218"/>
      <c r="CQ46" s="1218"/>
      <c r="CR46" s="1218"/>
      <c r="CS46" s="1235"/>
      <c r="CT46" s="1233"/>
      <c r="CU46" s="1233"/>
      <c r="CW46" s="1229" t="s">
        <v>3320</v>
      </c>
      <c r="CX46" s="1232" t="s">
        <v>2139</v>
      </c>
      <c r="CY46" s="1230" t="s">
        <v>3319</v>
      </c>
      <c r="CZ46" s="1233"/>
      <c r="DA46" s="1233"/>
      <c r="DB46" s="1233"/>
      <c r="DC46" s="1233"/>
      <c r="DD46" s="1234"/>
      <c r="DE46" s="1233"/>
      <c r="DF46" s="1233"/>
      <c r="DG46" s="1233"/>
      <c r="DH46" s="1233"/>
      <c r="DI46" s="1233"/>
      <c r="DJ46" s="1235"/>
      <c r="DK46" s="1233"/>
      <c r="DL46" s="1233"/>
      <c r="DN46" s="1229" t="s">
        <v>3320</v>
      </c>
      <c r="DO46" s="1232" t="s">
        <v>2139</v>
      </c>
      <c r="DP46" s="1230" t="s">
        <v>3319</v>
      </c>
      <c r="DQ46" s="1236"/>
      <c r="DR46" s="1236"/>
      <c r="DS46" s="1236"/>
      <c r="DT46" s="1236"/>
      <c r="DU46" s="1575">
        <v>0</v>
      </c>
      <c r="DV46" s="1236"/>
      <c r="DW46" s="1236"/>
      <c r="DX46" s="1236"/>
      <c r="DY46" s="1236"/>
      <c r="DZ46" s="1236"/>
      <c r="EA46" s="1238"/>
      <c r="EB46" s="1236"/>
      <c r="EC46" s="1236"/>
      <c r="ED46" s="1470"/>
      <c r="EF46" s="1229" t="s">
        <v>3320</v>
      </c>
      <c r="EG46" s="1232" t="s">
        <v>2139</v>
      </c>
      <c r="EH46" s="1230" t="s">
        <v>3319</v>
      </c>
      <c r="EI46" s="1696">
        <f t="shared" si="102"/>
        <v>0</v>
      </c>
      <c r="EJ46" s="1696">
        <f t="shared" si="102"/>
        <v>0</v>
      </c>
      <c r="EK46" s="1696">
        <f t="shared" si="102"/>
        <v>0</v>
      </c>
      <c r="EL46" s="1696">
        <f t="shared" si="102"/>
        <v>0</v>
      </c>
      <c r="EM46" s="1696">
        <f t="shared" si="102"/>
        <v>0</v>
      </c>
      <c r="EN46" s="1696">
        <f t="shared" si="102"/>
        <v>0</v>
      </c>
      <c r="EO46" s="1696">
        <f t="shared" si="102"/>
        <v>0</v>
      </c>
      <c r="EP46" s="1696">
        <f t="shared" si="102"/>
        <v>0</v>
      </c>
      <c r="EQ46" s="1696">
        <f t="shared" si="102"/>
        <v>0</v>
      </c>
      <c r="ER46" s="1696">
        <f t="shared" si="102"/>
        <v>0</v>
      </c>
      <c r="ES46" s="1698">
        <f t="shared" si="102"/>
        <v>0</v>
      </c>
      <c r="ET46" s="1696">
        <f t="shared" si="102"/>
        <v>0</v>
      </c>
      <c r="EU46" s="1696">
        <f t="shared" si="102"/>
        <v>0</v>
      </c>
      <c r="EW46" s="1229" t="s">
        <v>3320</v>
      </c>
      <c r="EX46" s="1232" t="s">
        <v>2139</v>
      </c>
      <c r="EY46" s="1230" t="s">
        <v>3319</v>
      </c>
      <c r="EZ46" s="1799">
        <f t="shared" si="103"/>
        <v>0</v>
      </c>
      <c r="FA46" s="1799"/>
      <c r="FB46" s="1799"/>
      <c r="FC46" s="1799"/>
      <c r="FD46" s="1799"/>
      <c r="FE46" s="1799"/>
      <c r="FF46" s="1799"/>
      <c r="FG46" s="1799"/>
      <c r="FH46" s="1799"/>
      <c r="FI46" s="1799"/>
      <c r="FJ46" s="1801"/>
      <c r="FK46" s="1799"/>
      <c r="FL46" s="1799"/>
    </row>
    <row r="47" spans="2:168" ht="14.25" thickBot="1">
      <c r="B47" s="2023">
        <f t="shared" si="101"/>
        <v>3.4</v>
      </c>
      <c r="C47" s="829" t="str">
        <f t="shared" si="65"/>
        <v>照明制御</v>
      </c>
      <c r="D47" s="2022" t="e">
        <f>IF(I$35=0,0,G47/I$35)</f>
        <v>#REF!</v>
      </c>
      <c r="E47" s="2021" t="e">
        <f>IF(J$35=0,0,H47/J$35)</f>
        <v>#REF!</v>
      </c>
      <c r="G47" s="2021" t="e">
        <f t="shared" si="67"/>
        <v>#REF!</v>
      </c>
      <c r="H47" s="2021" t="e">
        <f t="shared" si="68"/>
        <v>#REF!</v>
      </c>
      <c r="I47" s="2021"/>
      <c r="J47" s="2021"/>
      <c r="K47" s="2021" t="e">
        <f>IF(#REF!=0,0,1)</f>
        <v>#REF!</v>
      </c>
      <c r="L47" s="2021" t="e">
        <f>IF(#REF!=0,0,1)</f>
        <v>#REF!</v>
      </c>
      <c r="M47" s="2021">
        <f t="shared" si="69"/>
        <v>0.25</v>
      </c>
      <c r="N47" s="2021">
        <f t="shared" si="70"/>
        <v>0</v>
      </c>
      <c r="P47" s="2258"/>
      <c r="Q47" s="2069">
        <v>3.4</v>
      </c>
      <c r="R47" s="3116" t="s">
        <v>831</v>
      </c>
      <c r="S47" s="3117"/>
      <c r="T47" s="2036"/>
      <c r="U47" s="2017"/>
      <c r="V47" s="2016">
        <f t="shared" si="104"/>
        <v>0</v>
      </c>
      <c r="W47" s="2015">
        <f t="shared" si="105"/>
        <v>0</v>
      </c>
      <c r="Y47" s="1">
        <f t="shared" si="88"/>
        <v>0</v>
      </c>
      <c r="Z47" s="1">
        <f t="shared" si="89"/>
        <v>0</v>
      </c>
      <c r="AA47" s="1">
        <f t="shared" si="90"/>
        <v>0</v>
      </c>
      <c r="AB47" s="1">
        <f t="shared" si="91"/>
        <v>0</v>
      </c>
      <c r="AC47" s="1">
        <f t="shared" si="92"/>
        <v>0</v>
      </c>
      <c r="AD47" s="1">
        <f t="shared" si="93"/>
        <v>0</v>
      </c>
      <c r="AE47" s="1">
        <f t="shared" si="94"/>
        <v>0</v>
      </c>
      <c r="AF47" s="1">
        <f t="shared" si="95"/>
        <v>0</v>
      </c>
      <c r="AG47" s="1">
        <f t="shared" si="96"/>
        <v>0</v>
      </c>
      <c r="AH47" s="1">
        <f t="shared" si="97"/>
        <v>0</v>
      </c>
      <c r="AI47" s="1">
        <f t="shared" si="98"/>
        <v>0</v>
      </c>
      <c r="AJ47" s="1">
        <f t="shared" si="99"/>
        <v>0</v>
      </c>
      <c r="AK47" s="1">
        <f t="shared" si="100"/>
        <v>0</v>
      </c>
      <c r="AM47" s="1829"/>
      <c r="AN47" s="1829"/>
      <c r="AO47" s="1829"/>
      <c r="AP47" s="1829"/>
      <c r="AQ47" s="1829"/>
      <c r="AR47" s="1829"/>
      <c r="AS47" s="1829"/>
      <c r="AT47" s="1829"/>
      <c r="AU47" s="1829"/>
      <c r="AV47" s="1829"/>
      <c r="AW47" s="1829"/>
      <c r="AX47" s="1829"/>
      <c r="AY47" s="1829"/>
      <c r="BA47" s="2014"/>
      <c r="BB47" s="2014" t="e">
        <f t="shared" si="71"/>
        <v>#REF!</v>
      </c>
      <c r="BC47" s="2014"/>
      <c r="BD47" s="2013" t="e">
        <f>BR47*#REF!</f>
        <v>#REF!</v>
      </c>
      <c r="BE47" s="2013" t="e">
        <f>BS47*#REF!</f>
        <v>#REF!</v>
      </c>
      <c r="BF47" s="2013" t="e">
        <f>BT47*#REF!</f>
        <v>#REF!</v>
      </c>
      <c r="BG47" s="2013" t="e">
        <f>BU47*#REF!</f>
        <v>#REF!</v>
      </c>
      <c r="BH47" s="2226" t="e">
        <f>BV47*#REF!</f>
        <v>#REF!</v>
      </c>
      <c r="BI47" s="2013" t="e">
        <f>BW47*#REF!</f>
        <v>#REF!</v>
      </c>
      <c r="BJ47" s="2013" t="e">
        <f>BX47*#REF!</f>
        <v>#REF!</v>
      </c>
      <c r="BK47" s="2013" t="e">
        <f>BY47*#REF!</f>
        <v>#REF!</v>
      </c>
      <c r="BL47" s="2013" t="e">
        <f>BZ47*#REF!</f>
        <v>#REF!</v>
      </c>
      <c r="BM47" s="2013" t="e">
        <f>CA47*#REF!</f>
        <v>#REF!</v>
      </c>
      <c r="BO47" s="2040">
        <f t="shared" si="72"/>
        <v>3.4</v>
      </c>
      <c r="BP47" s="2040" t="str">
        <f t="shared" si="73"/>
        <v xml:space="preserve"> Q1 3</v>
      </c>
      <c r="BQ47" s="829" t="str">
        <f t="shared" si="74"/>
        <v>照明制御</v>
      </c>
      <c r="BR47" s="2010">
        <f t="shared" si="75"/>
        <v>0.25</v>
      </c>
      <c r="BS47" s="2010">
        <f t="shared" si="76"/>
        <v>0.25</v>
      </c>
      <c r="BT47" s="2010">
        <f t="shared" si="77"/>
        <v>0.5</v>
      </c>
      <c r="BU47" s="2010">
        <f t="shared" si="78"/>
        <v>0</v>
      </c>
      <c r="BV47" s="2225">
        <f t="shared" si="79"/>
        <v>0.5</v>
      </c>
      <c r="BW47" s="2010">
        <f t="shared" si="80"/>
        <v>0.25</v>
      </c>
      <c r="BX47" s="2010">
        <f t="shared" si="81"/>
        <v>0.25</v>
      </c>
      <c r="BY47" s="2010">
        <f t="shared" si="82"/>
        <v>0.25</v>
      </c>
      <c r="BZ47" s="2010">
        <f t="shared" si="83"/>
        <v>0.25</v>
      </c>
      <c r="CA47" s="2010">
        <f t="shared" si="84"/>
        <v>0.25</v>
      </c>
      <c r="CB47" s="2039">
        <f t="shared" si="85"/>
        <v>0.25</v>
      </c>
      <c r="CC47" s="2010">
        <f t="shared" si="86"/>
        <v>0.25</v>
      </c>
      <c r="CD47" s="2010">
        <f t="shared" si="87"/>
        <v>0.25</v>
      </c>
      <c r="CF47" s="1207">
        <v>3.4</v>
      </c>
      <c r="CG47" s="1211" t="s">
        <v>2130</v>
      </c>
      <c r="CH47" s="1208" t="s">
        <v>831</v>
      </c>
      <c r="CI47" s="1209">
        <v>0.25</v>
      </c>
      <c r="CJ47" s="1209">
        <v>0.25</v>
      </c>
      <c r="CK47" s="1209">
        <v>0.5</v>
      </c>
      <c r="CL47" s="1209"/>
      <c r="CM47" s="1223"/>
      <c r="CN47" s="1209">
        <v>0.25</v>
      </c>
      <c r="CO47" s="1213">
        <v>0.25</v>
      </c>
      <c r="CP47" s="1209">
        <v>0.25</v>
      </c>
      <c r="CQ47" s="1209">
        <v>0.25</v>
      </c>
      <c r="CR47" s="1209">
        <v>0.25</v>
      </c>
      <c r="CS47" s="1214">
        <v>0.25</v>
      </c>
      <c r="CT47" s="1213">
        <v>0.25</v>
      </c>
      <c r="CU47" s="1213">
        <v>0.25</v>
      </c>
      <c r="CW47" s="1207">
        <v>3.4</v>
      </c>
      <c r="CX47" s="1211" t="s">
        <v>2130</v>
      </c>
      <c r="CY47" s="1208" t="s">
        <v>831</v>
      </c>
      <c r="CZ47" s="1213">
        <v>0.25</v>
      </c>
      <c r="DA47" s="1213">
        <v>0.25</v>
      </c>
      <c r="DB47" s="1213">
        <v>0.5</v>
      </c>
      <c r="DC47" s="1213">
        <v>0</v>
      </c>
      <c r="DD47" s="1215"/>
      <c r="DE47" s="1213">
        <v>0.25</v>
      </c>
      <c r="DF47" s="1213">
        <v>0.25</v>
      </c>
      <c r="DG47" s="1213">
        <v>0.25</v>
      </c>
      <c r="DH47" s="1213">
        <v>0.25</v>
      </c>
      <c r="DI47" s="1213">
        <v>0.25</v>
      </c>
      <c r="DJ47" s="1214">
        <v>0.25</v>
      </c>
      <c r="DK47" s="1213">
        <v>0.25</v>
      </c>
      <c r="DL47" s="1213">
        <v>0.25</v>
      </c>
      <c r="DN47" s="1207">
        <v>3.4</v>
      </c>
      <c r="DO47" s="1211" t="s">
        <v>2130</v>
      </c>
      <c r="DP47" s="1208" t="s">
        <v>831</v>
      </c>
      <c r="DQ47" s="1213">
        <v>0.25</v>
      </c>
      <c r="DR47" s="1213">
        <v>0.25</v>
      </c>
      <c r="DS47" s="1213">
        <v>0.5</v>
      </c>
      <c r="DT47" s="1213"/>
      <c r="DU47" s="1573">
        <v>0.5</v>
      </c>
      <c r="DV47" s="1213">
        <v>0.25</v>
      </c>
      <c r="DW47" s="1213">
        <v>0.25</v>
      </c>
      <c r="DX47" s="1213">
        <v>0.25</v>
      </c>
      <c r="DY47" s="1213">
        <v>0.25</v>
      </c>
      <c r="DZ47" s="1213">
        <v>0.25</v>
      </c>
      <c r="EA47" s="1214">
        <v>0.25</v>
      </c>
      <c r="EB47" s="1213">
        <v>0.25</v>
      </c>
      <c r="EC47" s="1213">
        <v>0.25</v>
      </c>
      <c r="ED47" s="1469"/>
      <c r="EF47" s="1207">
        <v>3.4</v>
      </c>
      <c r="EG47" s="1211" t="s">
        <v>2130</v>
      </c>
      <c r="EH47" s="1208" t="s">
        <v>831</v>
      </c>
      <c r="EI47" s="1689">
        <f t="shared" si="102"/>
        <v>0.25</v>
      </c>
      <c r="EJ47" s="1689">
        <f t="shared" si="102"/>
        <v>0.25</v>
      </c>
      <c r="EK47" s="1689">
        <f t="shared" si="102"/>
        <v>0.5</v>
      </c>
      <c r="EL47" s="1689">
        <f t="shared" si="102"/>
        <v>0</v>
      </c>
      <c r="EM47" s="1689">
        <f t="shared" si="102"/>
        <v>0.5</v>
      </c>
      <c r="EN47" s="1689">
        <f t="shared" si="102"/>
        <v>0.25</v>
      </c>
      <c r="EO47" s="1689">
        <f t="shared" si="102"/>
        <v>0.25</v>
      </c>
      <c r="EP47" s="1689">
        <f t="shared" si="102"/>
        <v>0.25</v>
      </c>
      <c r="EQ47" s="1689">
        <f t="shared" si="102"/>
        <v>0.25</v>
      </c>
      <c r="ER47" s="1689">
        <f t="shared" si="102"/>
        <v>0.25</v>
      </c>
      <c r="ES47" s="1691">
        <f t="shared" si="102"/>
        <v>0.25</v>
      </c>
      <c r="ET47" s="1689">
        <f t="shared" si="102"/>
        <v>0.25</v>
      </c>
      <c r="EU47" s="1689">
        <f t="shared" si="102"/>
        <v>0.25</v>
      </c>
      <c r="EW47" s="1207">
        <v>3.4</v>
      </c>
      <c r="EX47" s="1211" t="s">
        <v>2130</v>
      </c>
      <c r="EY47" s="1208" t="s">
        <v>831</v>
      </c>
      <c r="EZ47" s="1678">
        <f t="shared" si="103"/>
        <v>0.25</v>
      </c>
      <c r="FA47" s="1678"/>
      <c r="FB47" s="1678"/>
      <c r="FC47" s="1678"/>
      <c r="FD47" s="1678"/>
      <c r="FE47" s="1678"/>
      <c r="FF47" s="1678"/>
      <c r="FG47" s="1678"/>
      <c r="FH47" s="1678"/>
      <c r="FI47" s="1678"/>
      <c r="FJ47" s="1795"/>
      <c r="FK47" s="1678"/>
      <c r="FL47" s="1678"/>
    </row>
    <row r="48" spans="2:168">
      <c r="B48" s="2023">
        <f t="shared" si="101"/>
        <v>4</v>
      </c>
      <c r="C48" s="2050" t="str">
        <f t="shared" si="65"/>
        <v>空気質環境</v>
      </c>
      <c r="D48" s="2061" t="e">
        <f>IF(I$9=0,0,G48/I$9)</f>
        <v>#REF!</v>
      </c>
      <c r="E48" s="2060" t="e">
        <f>IF(J$9=0,0,H48/J$9)</f>
        <v>#REF!</v>
      </c>
      <c r="G48" s="2060" t="e">
        <f t="shared" si="67"/>
        <v>#REF!</v>
      </c>
      <c r="H48" s="2060" t="e">
        <f t="shared" si="68"/>
        <v>#REF!</v>
      </c>
      <c r="I48" s="2060" t="e">
        <f>G49+G54+G59</f>
        <v>#REF!</v>
      </c>
      <c r="J48" s="2060" t="e">
        <f>H49+H54+H59</f>
        <v>#REF!</v>
      </c>
      <c r="K48" s="2060" t="e">
        <f>IF(L48&gt;0,1,IF(#REF!=0,0,1))</f>
        <v>#REF!</v>
      </c>
      <c r="L48" s="2060" t="e">
        <f>IF(#REF!=0,0,1)</f>
        <v>#REF!</v>
      </c>
      <c r="M48" s="2060">
        <f t="shared" si="69"/>
        <v>0.25</v>
      </c>
      <c r="N48" s="2060">
        <f t="shared" si="70"/>
        <v>0</v>
      </c>
      <c r="P48" s="2070">
        <v>4</v>
      </c>
      <c r="Q48" s="2058" t="s">
        <v>832</v>
      </c>
      <c r="R48" s="2116"/>
      <c r="S48" s="2106"/>
      <c r="T48" s="2106"/>
      <c r="U48" s="2017"/>
      <c r="V48" s="2057">
        <f t="shared" si="104"/>
        <v>0</v>
      </c>
      <c r="W48" s="2056">
        <f t="shared" si="105"/>
        <v>0</v>
      </c>
      <c r="Y48" s="1">
        <f t="shared" si="88"/>
        <v>0</v>
      </c>
      <c r="Z48" s="1">
        <f t="shared" si="89"/>
        <v>0</v>
      </c>
      <c r="AA48" s="1">
        <f t="shared" si="90"/>
        <v>0</v>
      </c>
      <c r="AB48" s="1">
        <f t="shared" si="91"/>
        <v>0</v>
      </c>
      <c r="AC48" s="1">
        <f t="shared" si="92"/>
        <v>0</v>
      </c>
      <c r="AD48" s="1">
        <f t="shared" si="93"/>
        <v>0</v>
      </c>
      <c r="AE48" s="1">
        <f t="shared" si="94"/>
        <v>0</v>
      </c>
      <c r="AF48" s="1">
        <f t="shared" si="95"/>
        <v>0</v>
      </c>
      <c r="AG48" s="1">
        <f t="shared" si="96"/>
        <v>0</v>
      </c>
      <c r="AH48" s="1">
        <f t="shared" si="97"/>
        <v>0</v>
      </c>
      <c r="AI48" s="1">
        <f t="shared" si="98"/>
        <v>0</v>
      </c>
      <c r="AJ48" s="1">
        <f t="shared" si="99"/>
        <v>0</v>
      </c>
      <c r="AK48" s="1">
        <f t="shared" si="100"/>
        <v>0</v>
      </c>
      <c r="AM48" s="2055" t="s">
        <v>3316</v>
      </c>
      <c r="AN48" s="2055" t="s">
        <v>3316</v>
      </c>
      <c r="AO48" s="2055" t="s">
        <v>3316</v>
      </c>
      <c r="AP48" s="2055" t="s">
        <v>3316</v>
      </c>
      <c r="AQ48" s="2055" t="s">
        <v>3316</v>
      </c>
      <c r="AR48" s="2055" t="s">
        <v>3316</v>
      </c>
      <c r="AS48" s="2055" t="s">
        <v>3316</v>
      </c>
      <c r="AT48" s="2055" t="s">
        <v>3316</v>
      </c>
      <c r="AU48" s="2055" t="s">
        <v>3316</v>
      </c>
      <c r="AV48" s="2055" t="s">
        <v>3316</v>
      </c>
      <c r="AW48" s="2055" t="s">
        <v>3316</v>
      </c>
      <c r="AX48" s="2055" t="s">
        <v>3316</v>
      </c>
      <c r="AY48" s="2055" t="s">
        <v>3316</v>
      </c>
      <c r="BA48" s="2054" t="e">
        <f>BB48/$BC$9</f>
        <v>#REF!</v>
      </c>
      <c r="BB48" s="2054" t="e">
        <f t="shared" si="71"/>
        <v>#REF!</v>
      </c>
      <c r="BC48" s="2054"/>
      <c r="BD48" s="2053" t="e">
        <f>BR48*#REF!</f>
        <v>#REF!</v>
      </c>
      <c r="BE48" s="2053" t="e">
        <f>BS48*#REF!</f>
        <v>#REF!</v>
      </c>
      <c r="BF48" s="2053" t="e">
        <f>BT48*#REF!</f>
        <v>#REF!</v>
      </c>
      <c r="BG48" s="2053" t="e">
        <f>BU48*#REF!</f>
        <v>#REF!</v>
      </c>
      <c r="BH48" s="2232" t="e">
        <f>BV48*#REF!</f>
        <v>#REF!</v>
      </c>
      <c r="BI48" s="2053" t="e">
        <f>BW48*#REF!</f>
        <v>#REF!</v>
      </c>
      <c r="BJ48" s="2053" t="e">
        <f>BX48*#REF!</f>
        <v>#REF!</v>
      </c>
      <c r="BK48" s="2053" t="e">
        <f>BY48*#REF!</f>
        <v>#REF!</v>
      </c>
      <c r="BL48" s="2053" t="e">
        <f>BZ48*#REF!</f>
        <v>#REF!</v>
      </c>
      <c r="BM48" s="2053" t="e">
        <f>CA48*#REF!</f>
        <v>#REF!</v>
      </c>
      <c r="BO48" s="2114">
        <f t="shared" si="72"/>
        <v>4</v>
      </c>
      <c r="BP48" s="2114" t="str">
        <f t="shared" si="73"/>
        <v xml:space="preserve"> Q1</v>
      </c>
      <c r="BQ48" s="2050" t="str">
        <f t="shared" si="74"/>
        <v>空気質環境</v>
      </c>
      <c r="BR48" s="2048">
        <f t="shared" si="75"/>
        <v>0.25</v>
      </c>
      <c r="BS48" s="2048">
        <f t="shared" si="76"/>
        <v>0.25</v>
      </c>
      <c r="BT48" s="2048">
        <f t="shared" si="77"/>
        <v>0.25</v>
      </c>
      <c r="BU48" s="2048">
        <f t="shared" si="78"/>
        <v>0.25</v>
      </c>
      <c r="BV48" s="2231">
        <f t="shared" si="79"/>
        <v>0.25</v>
      </c>
      <c r="BW48" s="2048">
        <f t="shared" si="80"/>
        <v>0.25</v>
      </c>
      <c r="BX48" s="2048">
        <f t="shared" si="81"/>
        <v>0.25</v>
      </c>
      <c r="BY48" s="2048">
        <f t="shared" si="82"/>
        <v>0.25</v>
      </c>
      <c r="BZ48" s="2048">
        <f t="shared" si="83"/>
        <v>0.25</v>
      </c>
      <c r="CA48" s="2048">
        <f t="shared" si="84"/>
        <v>0.25</v>
      </c>
      <c r="CB48" s="2049">
        <f t="shared" si="85"/>
        <v>0</v>
      </c>
      <c r="CC48" s="2048">
        <f t="shared" si="86"/>
        <v>0</v>
      </c>
      <c r="CD48" s="2048">
        <f t="shared" si="87"/>
        <v>0</v>
      </c>
      <c r="CF48" s="1197">
        <v>4</v>
      </c>
      <c r="CG48" s="1201" t="s">
        <v>793</v>
      </c>
      <c r="CH48" s="1198" t="s">
        <v>71</v>
      </c>
      <c r="CI48" s="1239">
        <v>0.25</v>
      </c>
      <c r="CJ48" s="1239">
        <v>0.25</v>
      </c>
      <c r="CK48" s="1239">
        <v>0.25</v>
      </c>
      <c r="CL48" s="1239">
        <v>0.25</v>
      </c>
      <c r="CM48" s="1222">
        <v>0.33</v>
      </c>
      <c r="CN48" s="1239">
        <v>0.25</v>
      </c>
      <c r="CO48" s="1202">
        <v>0.25</v>
      </c>
      <c r="CP48" s="1239">
        <v>0.25</v>
      </c>
      <c r="CQ48" s="1239">
        <v>0.25</v>
      </c>
      <c r="CR48" s="1239">
        <v>0.25</v>
      </c>
      <c r="CS48" s="1203"/>
      <c r="CT48" s="1202"/>
      <c r="CU48" s="1202"/>
      <c r="CW48" s="1197">
        <v>4</v>
      </c>
      <c r="CX48" s="1201" t="s">
        <v>793</v>
      </c>
      <c r="CY48" s="1198" t="s">
        <v>71</v>
      </c>
      <c r="CZ48" s="1202">
        <v>0.25</v>
      </c>
      <c r="DA48" s="1202">
        <v>0.25</v>
      </c>
      <c r="DB48" s="1202">
        <v>0.25</v>
      </c>
      <c r="DC48" s="1202">
        <v>0.25</v>
      </c>
      <c r="DD48" s="1222">
        <v>0.33</v>
      </c>
      <c r="DE48" s="1202">
        <v>0.25</v>
      </c>
      <c r="DF48" s="1202">
        <v>0.25</v>
      </c>
      <c r="DG48" s="1202">
        <v>0.25</v>
      </c>
      <c r="DH48" s="1202">
        <v>0.25</v>
      </c>
      <c r="DI48" s="1202">
        <v>0.25</v>
      </c>
      <c r="DJ48" s="1203"/>
      <c r="DK48" s="1202"/>
      <c r="DL48" s="1202"/>
      <c r="DN48" s="1197">
        <v>4</v>
      </c>
      <c r="DO48" s="1201" t="s">
        <v>793</v>
      </c>
      <c r="DP48" s="1198" t="s">
        <v>71</v>
      </c>
      <c r="DQ48" s="1239">
        <v>0.25</v>
      </c>
      <c r="DR48" s="1239">
        <v>0.25</v>
      </c>
      <c r="DS48" s="1239">
        <v>0.25</v>
      </c>
      <c r="DT48" s="1239">
        <v>0.25</v>
      </c>
      <c r="DU48" s="1570">
        <v>0.25</v>
      </c>
      <c r="DV48" s="1239">
        <v>0.25</v>
      </c>
      <c r="DW48" s="1239">
        <v>0.25</v>
      </c>
      <c r="DX48" s="1239">
        <v>0.25</v>
      </c>
      <c r="DY48" s="1239">
        <v>0.25</v>
      </c>
      <c r="DZ48" s="1239">
        <v>0.25</v>
      </c>
      <c r="EA48" s="1240"/>
      <c r="EB48" s="1239"/>
      <c r="EC48" s="1239"/>
      <c r="ED48" s="1471"/>
      <c r="EF48" s="1197">
        <v>4</v>
      </c>
      <c r="EG48" s="1201" t="s">
        <v>793</v>
      </c>
      <c r="EH48" s="1198" t="s">
        <v>71</v>
      </c>
      <c r="EI48" s="1686">
        <f t="shared" si="102"/>
        <v>0.25</v>
      </c>
      <c r="EJ48" s="1686">
        <f t="shared" si="102"/>
        <v>0.25</v>
      </c>
      <c r="EK48" s="1686">
        <f t="shared" si="102"/>
        <v>0.25</v>
      </c>
      <c r="EL48" s="1686">
        <f t="shared" si="102"/>
        <v>0.25</v>
      </c>
      <c r="EM48" s="1686">
        <f t="shared" si="102"/>
        <v>0.25</v>
      </c>
      <c r="EN48" s="1686">
        <f t="shared" si="102"/>
        <v>0.25</v>
      </c>
      <c r="EO48" s="1686">
        <f t="shared" si="102"/>
        <v>0.25</v>
      </c>
      <c r="EP48" s="1686">
        <f t="shared" si="102"/>
        <v>0.25</v>
      </c>
      <c r="EQ48" s="1686">
        <f t="shared" si="102"/>
        <v>0.25</v>
      </c>
      <c r="ER48" s="1686">
        <f t="shared" si="102"/>
        <v>0.25</v>
      </c>
      <c r="ES48" s="1688">
        <f t="shared" si="102"/>
        <v>0</v>
      </c>
      <c r="ET48" s="1686">
        <f t="shared" si="102"/>
        <v>0</v>
      </c>
      <c r="EU48" s="1686">
        <f t="shared" si="102"/>
        <v>0</v>
      </c>
      <c r="EW48" s="1197">
        <v>4</v>
      </c>
      <c r="EX48" s="1201" t="s">
        <v>793</v>
      </c>
      <c r="EY48" s="1198" t="s">
        <v>71</v>
      </c>
      <c r="EZ48" s="1676">
        <f t="shared" si="103"/>
        <v>0.25</v>
      </c>
      <c r="FA48" s="1676"/>
      <c r="FB48" s="1676"/>
      <c r="FC48" s="1676"/>
      <c r="FD48" s="1676"/>
      <c r="FE48" s="1676"/>
      <c r="FF48" s="1676"/>
      <c r="FG48" s="1676"/>
      <c r="FH48" s="1676"/>
      <c r="FI48" s="1676"/>
      <c r="FJ48" s="1677"/>
      <c r="FK48" s="1676"/>
      <c r="FL48" s="1676"/>
    </row>
    <row r="49" spans="2:168" ht="14.25" thickBot="1">
      <c r="B49" s="2023">
        <f t="shared" si="101"/>
        <v>4.0999999999999996</v>
      </c>
      <c r="C49" s="829" t="str">
        <f t="shared" si="65"/>
        <v>発生源対策</v>
      </c>
      <c r="D49" s="2022" t="e">
        <f>IF(I$48=0,0,G49/I$48)</f>
        <v>#REF!</v>
      </c>
      <c r="E49" s="2021" t="e">
        <f>IF(J$48=0,0,H49/J$48)</f>
        <v>#REF!</v>
      </c>
      <c r="G49" s="2021" t="e">
        <f t="shared" si="67"/>
        <v>#REF!</v>
      </c>
      <c r="H49" s="2021" t="e">
        <f t="shared" si="68"/>
        <v>#REF!</v>
      </c>
      <c r="I49" s="2021" t="e">
        <f>SUM(G50:G53)</f>
        <v>#REF!</v>
      </c>
      <c r="J49" s="2021" t="e">
        <f>SUM(H50:H53)</f>
        <v>#REF!</v>
      </c>
      <c r="K49" s="2021" t="e">
        <f>IF(#REF!=0,0,1)</f>
        <v>#REF!</v>
      </c>
      <c r="L49" s="2021" t="e">
        <f>IF(#REF!=0,0,1)</f>
        <v>#REF!</v>
      </c>
      <c r="M49" s="2021">
        <f t="shared" si="69"/>
        <v>0.5</v>
      </c>
      <c r="N49" s="2021">
        <f t="shared" si="70"/>
        <v>0</v>
      </c>
      <c r="P49" s="2214"/>
      <c r="Q49" s="2035">
        <v>4.0999999999999996</v>
      </c>
      <c r="R49" s="2129" t="s">
        <v>833</v>
      </c>
      <c r="S49" s="2129"/>
      <c r="T49" s="2129"/>
      <c r="U49" s="2017"/>
      <c r="V49" s="2105">
        <f t="shared" si="104"/>
        <v>0</v>
      </c>
      <c r="W49" s="2104">
        <f t="shared" si="105"/>
        <v>0</v>
      </c>
      <c r="Y49" s="1">
        <f t="shared" si="88"/>
        <v>0</v>
      </c>
      <c r="Z49" s="1">
        <f t="shared" si="89"/>
        <v>0</v>
      </c>
      <c r="AA49" s="1">
        <f t="shared" si="90"/>
        <v>0</v>
      </c>
      <c r="AB49" s="1">
        <f t="shared" si="91"/>
        <v>0</v>
      </c>
      <c r="AC49" s="1">
        <f t="shared" si="92"/>
        <v>0</v>
      </c>
      <c r="AD49" s="1">
        <f t="shared" si="93"/>
        <v>0</v>
      </c>
      <c r="AE49" s="1">
        <f t="shared" si="94"/>
        <v>0</v>
      </c>
      <c r="AF49" s="1">
        <f t="shared" si="95"/>
        <v>0</v>
      </c>
      <c r="AG49" s="1">
        <f t="shared" si="96"/>
        <v>0</v>
      </c>
      <c r="AH49" s="1">
        <f t="shared" si="97"/>
        <v>0</v>
      </c>
      <c r="AI49" s="1">
        <f t="shared" si="98"/>
        <v>0</v>
      </c>
      <c r="AJ49" s="1">
        <f t="shared" si="99"/>
        <v>0</v>
      </c>
      <c r="AK49" s="1">
        <f t="shared" si="100"/>
        <v>0</v>
      </c>
      <c r="AM49" s="2103" t="s">
        <v>3316</v>
      </c>
      <c r="AN49" s="2103" t="s">
        <v>3316</v>
      </c>
      <c r="AO49" s="2103" t="s">
        <v>3316</v>
      </c>
      <c r="AP49" s="2103" t="s">
        <v>3316</v>
      </c>
      <c r="AQ49" s="2103" t="s">
        <v>3316</v>
      </c>
      <c r="AR49" s="2103" t="s">
        <v>3316</v>
      </c>
      <c r="AS49" s="2103" t="s">
        <v>3316</v>
      </c>
      <c r="AT49" s="2103" t="s">
        <v>3316</v>
      </c>
      <c r="AU49" s="2103" t="s">
        <v>3316</v>
      </c>
      <c r="AV49" s="2103" t="s">
        <v>3316</v>
      </c>
      <c r="AW49" s="2103" t="s">
        <v>3316</v>
      </c>
      <c r="AX49" s="2103" t="s">
        <v>3316</v>
      </c>
      <c r="AY49" s="2103" t="s">
        <v>3316</v>
      </c>
      <c r="BA49" s="2014"/>
      <c r="BB49" s="2014" t="e">
        <f t="shared" si="71"/>
        <v>#REF!</v>
      </c>
      <c r="BC49" s="2014"/>
      <c r="BD49" s="2013" t="e">
        <f>BR49*#REF!</f>
        <v>#REF!</v>
      </c>
      <c r="BE49" s="2013" t="e">
        <f>BS49*#REF!</f>
        <v>#REF!</v>
      </c>
      <c r="BF49" s="2013" t="e">
        <f>BT49*#REF!</f>
        <v>#REF!</v>
      </c>
      <c r="BG49" s="2013" t="e">
        <f>BU49*#REF!</f>
        <v>#REF!</v>
      </c>
      <c r="BH49" s="2094" t="e">
        <f>BV49*#REF!</f>
        <v>#REF!</v>
      </c>
      <c r="BI49" s="2013" t="e">
        <f>BW49*#REF!</f>
        <v>#REF!</v>
      </c>
      <c r="BJ49" s="2013" t="e">
        <f>BX49*#REF!</f>
        <v>#REF!</v>
      </c>
      <c r="BK49" s="2013" t="e">
        <f>BY49*#REF!</f>
        <v>#REF!</v>
      </c>
      <c r="BL49" s="2013" t="e">
        <f>BZ49*#REF!</f>
        <v>#REF!</v>
      </c>
      <c r="BM49" s="2013" t="e">
        <f>CA49*#REF!</f>
        <v>#REF!</v>
      </c>
      <c r="BO49" s="2040">
        <f t="shared" si="72"/>
        <v>4.0999999999999996</v>
      </c>
      <c r="BP49" s="2040" t="str">
        <f t="shared" si="73"/>
        <v xml:space="preserve"> Q1 4</v>
      </c>
      <c r="BQ49" s="829" t="str">
        <f t="shared" si="74"/>
        <v>発生源対策</v>
      </c>
      <c r="BR49" s="2010">
        <f t="shared" si="75"/>
        <v>0.5</v>
      </c>
      <c r="BS49" s="2010">
        <f t="shared" si="76"/>
        <v>0.5</v>
      </c>
      <c r="BT49" s="2010">
        <f t="shared" si="77"/>
        <v>0.5</v>
      </c>
      <c r="BU49" s="2010">
        <f t="shared" si="78"/>
        <v>0.5</v>
      </c>
      <c r="BV49" s="2093">
        <f t="shared" si="79"/>
        <v>0.5</v>
      </c>
      <c r="BW49" s="2010">
        <f t="shared" si="80"/>
        <v>0.5</v>
      </c>
      <c r="BX49" s="2010">
        <f t="shared" si="81"/>
        <v>0.5</v>
      </c>
      <c r="BY49" s="2010">
        <f t="shared" si="82"/>
        <v>0.5</v>
      </c>
      <c r="BZ49" s="2010">
        <f t="shared" si="83"/>
        <v>0.5</v>
      </c>
      <c r="CA49" s="2010">
        <f t="shared" si="84"/>
        <v>0.6</v>
      </c>
      <c r="CB49" s="2039">
        <f t="shared" si="85"/>
        <v>0.625</v>
      </c>
      <c r="CC49" s="2010">
        <f t="shared" si="86"/>
        <v>0.625</v>
      </c>
      <c r="CD49" s="2010">
        <f t="shared" si="87"/>
        <v>0.625</v>
      </c>
      <c r="CF49" s="1207">
        <v>4.0999999999999996</v>
      </c>
      <c r="CG49" s="1211" t="s">
        <v>2140</v>
      </c>
      <c r="CH49" s="1208" t="s">
        <v>833</v>
      </c>
      <c r="CI49" s="1241">
        <v>0.5</v>
      </c>
      <c r="CJ49" s="1241">
        <v>0.5</v>
      </c>
      <c r="CK49" s="1241">
        <v>0.5</v>
      </c>
      <c r="CL49" s="1241">
        <v>0.5</v>
      </c>
      <c r="CM49" s="1242">
        <v>0.5</v>
      </c>
      <c r="CN49" s="1241">
        <v>0.5</v>
      </c>
      <c r="CO49" s="1213">
        <v>0.5</v>
      </c>
      <c r="CP49" s="1241">
        <v>0.5</v>
      </c>
      <c r="CQ49" s="1241">
        <v>0.5</v>
      </c>
      <c r="CR49" s="1241">
        <v>0.6</v>
      </c>
      <c r="CS49" s="1214">
        <v>0.625</v>
      </c>
      <c r="CT49" s="1213">
        <v>0.625</v>
      </c>
      <c r="CU49" s="1213">
        <v>0.625</v>
      </c>
      <c r="CW49" s="1207">
        <v>4.0999999999999996</v>
      </c>
      <c r="CX49" s="1211" t="s">
        <v>2140</v>
      </c>
      <c r="CY49" s="1208" t="s">
        <v>833</v>
      </c>
      <c r="CZ49" s="1213">
        <v>0.5</v>
      </c>
      <c r="DA49" s="1213">
        <v>0.5</v>
      </c>
      <c r="DB49" s="1213">
        <v>0.5</v>
      </c>
      <c r="DC49" s="1213">
        <v>0.5</v>
      </c>
      <c r="DD49" s="1220">
        <v>0.5</v>
      </c>
      <c r="DE49" s="1213">
        <v>0.5</v>
      </c>
      <c r="DF49" s="1213">
        <v>0.5</v>
      </c>
      <c r="DG49" s="1213">
        <v>0.5</v>
      </c>
      <c r="DH49" s="1213">
        <v>0.5</v>
      </c>
      <c r="DI49" s="1213">
        <v>0.6</v>
      </c>
      <c r="DJ49" s="1214">
        <v>0.625</v>
      </c>
      <c r="DK49" s="1213">
        <v>0.625</v>
      </c>
      <c r="DL49" s="1213">
        <v>0.625</v>
      </c>
      <c r="DN49" s="1207">
        <v>4.0999999999999996</v>
      </c>
      <c r="DO49" s="1211" t="s">
        <v>2140</v>
      </c>
      <c r="DP49" s="1208" t="s">
        <v>833</v>
      </c>
      <c r="DQ49" s="1241">
        <v>0.5</v>
      </c>
      <c r="DR49" s="1241">
        <v>0.5</v>
      </c>
      <c r="DS49" s="1241">
        <v>0.5</v>
      </c>
      <c r="DT49" s="1241">
        <v>0.5</v>
      </c>
      <c r="DU49" s="1576">
        <v>0.5</v>
      </c>
      <c r="DV49" s="1241">
        <v>0.5</v>
      </c>
      <c r="DW49" s="1241">
        <v>0.5</v>
      </c>
      <c r="DX49" s="1241">
        <v>0.5</v>
      </c>
      <c r="DY49" s="1241">
        <v>0.5</v>
      </c>
      <c r="DZ49" s="1241">
        <v>0.6</v>
      </c>
      <c r="EA49" s="1243">
        <v>0.625</v>
      </c>
      <c r="EB49" s="1241">
        <v>0.625</v>
      </c>
      <c r="EC49" s="1241">
        <v>0.625</v>
      </c>
      <c r="ED49" s="1470"/>
      <c r="EF49" s="1207">
        <v>4.0999999999999996</v>
      </c>
      <c r="EG49" s="1211" t="s">
        <v>2140</v>
      </c>
      <c r="EH49" s="1208" t="s">
        <v>833</v>
      </c>
      <c r="EI49" s="1689">
        <f t="shared" si="102"/>
        <v>0.5</v>
      </c>
      <c r="EJ49" s="1689">
        <f t="shared" si="102"/>
        <v>0.5</v>
      </c>
      <c r="EK49" s="1689">
        <f t="shared" si="102"/>
        <v>0.5</v>
      </c>
      <c r="EL49" s="1689">
        <f t="shared" si="102"/>
        <v>0.5</v>
      </c>
      <c r="EM49" s="1689">
        <f t="shared" si="102"/>
        <v>0.5</v>
      </c>
      <c r="EN49" s="1689">
        <f t="shared" si="102"/>
        <v>0.5</v>
      </c>
      <c r="EO49" s="1689">
        <f t="shared" si="102"/>
        <v>0.5</v>
      </c>
      <c r="EP49" s="1689">
        <f t="shared" si="102"/>
        <v>0.5</v>
      </c>
      <c r="EQ49" s="1689">
        <f t="shared" si="102"/>
        <v>0.5</v>
      </c>
      <c r="ER49" s="1689">
        <f t="shared" si="102"/>
        <v>0.6</v>
      </c>
      <c r="ES49" s="1691">
        <f t="shared" si="102"/>
        <v>0.625</v>
      </c>
      <c r="ET49" s="1689">
        <f t="shared" si="102"/>
        <v>0.625</v>
      </c>
      <c r="EU49" s="1689">
        <f t="shared" si="102"/>
        <v>0.625</v>
      </c>
      <c r="EW49" s="1207">
        <v>4.0999999999999996</v>
      </c>
      <c r="EX49" s="1211" t="s">
        <v>2140</v>
      </c>
      <c r="EY49" s="1208" t="s">
        <v>833</v>
      </c>
      <c r="EZ49" s="1678">
        <f t="shared" si="103"/>
        <v>0.5</v>
      </c>
      <c r="FA49" s="1678"/>
      <c r="FB49" s="1678"/>
      <c r="FC49" s="1678"/>
      <c r="FD49" s="1678"/>
      <c r="FE49" s="1678"/>
      <c r="FF49" s="1678"/>
      <c r="FG49" s="1678"/>
      <c r="FH49" s="1678"/>
      <c r="FI49" s="1678"/>
      <c r="FJ49" s="1795"/>
      <c r="FK49" s="1678"/>
      <c r="FL49" s="1678"/>
    </row>
    <row r="50" spans="2:168" ht="14.25" thickBot="1">
      <c r="B50" s="2023" t="str">
        <f t="shared" si="101"/>
        <v>4.1.1</v>
      </c>
      <c r="C50" s="829" t="str">
        <f t="shared" si="65"/>
        <v>化学汚染物質</v>
      </c>
      <c r="D50" s="2100" t="e">
        <f t="shared" ref="D50:E53" si="106">IF(I$49&gt;0,G50/I$49,0)</f>
        <v>#REF!</v>
      </c>
      <c r="E50" s="2021" t="e">
        <f t="shared" si="106"/>
        <v>#REF!</v>
      </c>
      <c r="G50" s="2021" t="e">
        <f t="shared" si="67"/>
        <v>#REF!</v>
      </c>
      <c r="H50" s="2021" t="e">
        <f t="shared" si="68"/>
        <v>#REF!</v>
      </c>
      <c r="I50" s="2021"/>
      <c r="J50" s="2021"/>
      <c r="K50" s="2021" t="e">
        <f>IF(#REF!=0,0,1)</f>
        <v>#REF!</v>
      </c>
      <c r="L50" s="2021" t="e">
        <f>IF(#REF!=0,0,1)</f>
        <v>#REF!</v>
      </c>
      <c r="M50" s="2021">
        <f t="shared" si="69"/>
        <v>1</v>
      </c>
      <c r="N50" s="2021">
        <f t="shared" si="70"/>
        <v>0</v>
      </c>
      <c r="P50" s="2214"/>
      <c r="Q50" s="2019"/>
      <c r="R50" s="993">
        <v>1</v>
      </c>
      <c r="S50" s="1655" t="s">
        <v>834</v>
      </c>
      <c r="T50" s="2036"/>
      <c r="U50" s="2017"/>
      <c r="V50" s="2025">
        <f t="shared" si="104"/>
        <v>0</v>
      </c>
      <c r="W50" s="2024">
        <f t="shared" si="105"/>
        <v>0</v>
      </c>
      <c r="Y50" s="1">
        <f t="shared" si="88"/>
        <v>0</v>
      </c>
      <c r="Z50" s="1">
        <f t="shared" si="89"/>
        <v>0</v>
      </c>
      <c r="AA50" s="1">
        <f t="shared" si="90"/>
        <v>0</v>
      </c>
      <c r="AB50" s="1">
        <f t="shared" si="91"/>
        <v>0</v>
      </c>
      <c r="AC50" s="1">
        <f t="shared" si="92"/>
        <v>0</v>
      </c>
      <c r="AD50" s="1">
        <f t="shared" si="93"/>
        <v>0</v>
      </c>
      <c r="AE50" s="1">
        <f t="shared" si="94"/>
        <v>0</v>
      </c>
      <c r="AF50" s="1">
        <f t="shared" si="95"/>
        <v>0</v>
      </c>
      <c r="AG50" s="1">
        <f t="shared" si="96"/>
        <v>0</v>
      </c>
      <c r="AH50" s="1">
        <f t="shared" si="97"/>
        <v>0</v>
      </c>
      <c r="AI50" s="1">
        <f t="shared" si="98"/>
        <v>0</v>
      </c>
      <c r="AJ50" s="1">
        <f t="shared" si="99"/>
        <v>0</v>
      </c>
      <c r="AK50" s="1">
        <f t="shared" si="100"/>
        <v>0</v>
      </c>
      <c r="AM50" s="1827"/>
      <c r="AN50" s="1827"/>
      <c r="AO50" s="1827"/>
      <c r="AP50" s="1827"/>
      <c r="AQ50" s="1827"/>
      <c r="AR50" s="1827"/>
      <c r="AS50" s="1827"/>
      <c r="AT50" s="1827"/>
      <c r="AU50" s="1827"/>
      <c r="AV50" s="1827"/>
      <c r="AW50" s="1827"/>
      <c r="AX50" s="1827"/>
      <c r="AY50" s="1827"/>
      <c r="BA50" s="2014"/>
      <c r="BB50" s="2014" t="e">
        <f t="shared" si="71"/>
        <v>#REF!</v>
      </c>
      <c r="BC50" s="2014"/>
      <c r="BD50" s="2013" t="e">
        <f>BR50*#REF!</f>
        <v>#REF!</v>
      </c>
      <c r="BE50" s="2013" t="e">
        <f>BS50*#REF!</f>
        <v>#REF!</v>
      </c>
      <c r="BF50" s="2013" t="e">
        <f>BT50*#REF!</f>
        <v>#REF!</v>
      </c>
      <c r="BG50" s="2013" t="e">
        <f>BU50*#REF!</f>
        <v>#REF!</v>
      </c>
      <c r="BH50" s="2094" t="e">
        <f>BV50*#REF!</f>
        <v>#REF!</v>
      </c>
      <c r="BI50" s="2013" t="e">
        <f>BW50*#REF!</f>
        <v>#REF!</v>
      </c>
      <c r="BJ50" s="2013" t="e">
        <f>BX50*#REF!</f>
        <v>#REF!</v>
      </c>
      <c r="BK50" s="2013" t="e">
        <f>BY50*#REF!</f>
        <v>#REF!</v>
      </c>
      <c r="BL50" s="2013" t="e">
        <f>BZ50*#REF!</f>
        <v>#REF!</v>
      </c>
      <c r="BM50" s="2013" t="e">
        <f>CA50*#REF!</f>
        <v>#REF!</v>
      </c>
      <c r="BO50" s="2040" t="str">
        <f t="shared" si="72"/>
        <v>4.1.1</v>
      </c>
      <c r="BP50" s="2040" t="str">
        <f t="shared" si="73"/>
        <v xml:space="preserve"> Q1 4.1</v>
      </c>
      <c r="BQ50" s="829" t="str">
        <f t="shared" si="74"/>
        <v>化学汚染物質</v>
      </c>
      <c r="BR50" s="2010">
        <f t="shared" si="75"/>
        <v>1</v>
      </c>
      <c r="BS50" s="2010">
        <f t="shared" si="76"/>
        <v>1</v>
      </c>
      <c r="BT50" s="2010">
        <f t="shared" si="77"/>
        <v>1</v>
      </c>
      <c r="BU50" s="2010">
        <f t="shared" si="78"/>
        <v>1</v>
      </c>
      <c r="BV50" s="2093">
        <f t="shared" si="79"/>
        <v>1</v>
      </c>
      <c r="BW50" s="2010">
        <f t="shared" si="80"/>
        <v>1</v>
      </c>
      <c r="BX50" s="2010">
        <f t="shared" si="81"/>
        <v>1</v>
      </c>
      <c r="BY50" s="2010">
        <f t="shared" si="82"/>
        <v>1</v>
      </c>
      <c r="BZ50" s="2010">
        <f t="shared" si="83"/>
        <v>1</v>
      </c>
      <c r="CA50" s="2010">
        <f t="shared" si="84"/>
        <v>1</v>
      </c>
      <c r="CB50" s="2039">
        <f t="shared" si="85"/>
        <v>1</v>
      </c>
      <c r="CC50" s="2010">
        <f t="shared" si="86"/>
        <v>1</v>
      </c>
      <c r="CD50" s="2010">
        <f t="shared" si="87"/>
        <v>1</v>
      </c>
      <c r="CF50" s="1207" t="s">
        <v>3318</v>
      </c>
      <c r="CG50" s="1211" t="s">
        <v>2141</v>
      </c>
      <c r="CH50" s="1208" t="s">
        <v>2142</v>
      </c>
      <c r="CI50" s="1241">
        <v>0.25</v>
      </c>
      <c r="CJ50" s="1241">
        <v>0.25</v>
      </c>
      <c r="CK50" s="1241">
        <v>0.25</v>
      </c>
      <c r="CL50" s="1241">
        <v>0.25</v>
      </c>
      <c r="CM50" s="1242">
        <v>0.25</v>
      </c>
      <c r="CN50" s="1241">
        <v>0.25</v>
      </c>
      <c r="CO50" s="1213">
        <v>0.25</v>
      </c>
      <c r="CP50" s="1244">
        <v>0.25</v>
      </c>
      <c r="CQ50" s="1244">
        <v>0.33</v>
      </c>
      <c r="CR50" s="1244">
        <v>0.33</v>
      </c>
      <c r="CS50" s="1214">
        <v>0.25</v>
      </c>
      <c r="CT50" s="1213">
        <v>0.25</v>
      </c>
      <c r="CU50" s="1213">
        <v>0.25</v>
      </c>
      <c r="CW50" s="1207" t="s">
        <v>3318</v>
      </c>
      <c r="CX50" s="1211" t="s">
        <v>2141</v>
      </c>
      <c r="CY50" s="1208" t="s">
        <v>3317</v>
      </c>
      <c r="CZ50" s="1213">
        <v>1</v>
      </c>
      <c r="DA50" s="1213">
        <v>1</v>
      </c>
      <c r="DB50" s="1213">
        <v>1</v>
      </c>
      <c r="DC50" s="1213">
        <v>1</v>
      </c>
      <c r="DD50" s="1220">
        <v>1</v>
      </c>
      <c r="DE50" s="1213">
        <v>1</v>
      </c>
      <c r="DF50" s="1213">
        <v>1</v>
      </c>
      <c r="DG50" s="1213">
        <v>1</v>
      </c>
      <c r="DH50" s="1213">
        <v>1</v>
      </c>
      <c r="DI50" s="1213">
        <v>1</v>
      </c>
      <c r="DJ50" s="1214">
        <v>1</v>
      </c>
      <c r="DK50" s="1213">
        <v>1</v>
      </c>
      <c r="DL50" s="1213">
        <v>1</v>
      </c>
      <c r="DN50" s="1207" t="s">
        <v>3318</v>
      </c>
      <c r="DO50" s="1211" t="s">
        <v>2141</v>
      </c>
      <c r="DP50" s="1208" t="s">
        <v>3317</v>
      </c>
      <c r="DQ50" s="1816">
        <v>1</v>
      </c>
      <c r="DR50" s="1816">
        <v>1</v>
      </c>
      <c r="DS50" s="1816">
        <v>1</v>
      </c>
      <c r="DT50" s="1816">
        <v>1</v>
      </c>
      <c r="DU50" s="1816">
        <v>1</v>
      </c>
      <c r="DV50" s="1816">
        <v>1</v>
      </c>
      <c r="DW50" s="1816">
        <v>1</v>
      </c>
      <c r="DX50" s="1816">
        <v>1</v>
      </c>
      <c r="DY50" s="1816">
        <v>1</v>
      </c>
      <c r="DZ50" s="1816">
        <v>1</v>
      </c>
      <c r="EA50" s="1816">
        <v>1</v>
      </c>
      <c r="EB50" s="1816">
        <v>1</v>
      </c>
      <c r="EC50" s="1816">
        <v>1</v>
      </c>
      <c r="ED50" s="1470"/>
      <c r="EF50" s="1207" t="s">
        <v>3318</v>
      </c>
      <c r="EG50" s="1211" t="s">
        <v>2141</v>
      </c>
      <c r="EH50" s="1208" t="s">
        <v>3317</v>
      </c>
      <c r="EI50" s="1689">
        <f t="shared" si="102"/>
        <v>1</v>
      </c>
      <c r="EJ50" s="1689">
        <f t="shared" si="102"/>
        <v>1</v>
      </c>
      <c r="EK50" s="1689">
        <f t="shared" si="102"/>
        <v>1</v>
      </c>
      <c r="EL50" s="1689">
        <f t="shared" si="102"/>
        <v>1</v>
      </c>
      <c r="EM50" s="1689">
        <f t="shared" si="102"/>
        <v>1</v>
      </c>
      <c r="EN50" s="1689">
        <f t="shared" si="102"/>
        <v>1</v>
      </c>
      <c r="EO50" s="1689">
        <f t="shared" si="102"/>
        <v>1</v>
      </c>
      <c r="EP50" s="1689">
        <f t="shared" si="102"/>
        <v>1</v>
      </c>
      <c r="EQ50" s="1689">
        <f t="shared" si="102"/>
        <v>1</v>
      </c>
      <c r="ER50" s="1689">
        <f t="shared" si="102"/>
        <v>1</v>
      </c>
      <c r="ES50" s="1689">
        <f t="shared" si="102"/>
        <v>1</v>
      </c>
      <c r="ET50" s="1689">
        <f t="shared" si="102"/>
        <v>1</v>
      </c>
      <c r="EU50" s="1689">
        <f t="shared" si="102"/>
        <v>1</v>
      </c>
      <c r="EW50" s="1207" t="s">
        <v>3318</v>
      </c>
      <c r="EX50" s="1211" t="s">
        <v>2141</v>
      </c>
      <c r="EY50" s="1208" t="s">
        <v>3317</v>
      </c>
      <c r="EZ50" s="1678">
        <f t="shared" si="103"/>
        <v>1</v>
      </c>
      <c r="FA50" s="1678"/>
      <c r="FB50" s="1678"/>
      <c r="FC50" s="1678"/>
      <c r="FD50" s="1678"/>
      <c r="FE50" s="1678"/>
      <c r="FF50" s="1678"/>
      <c r="FG50" s="1678"/>
      <c r="FH50" s="1678"/>
      <c r="FI50" s="1678"/>
      <c r="FJ50" s="1678"/>
      <c r="FK50" s="1678"/>
      <c r="FL50" s="1678"/>
    </row>
    <row r="51" spans="2:168" ht="14.25" hidden="1" thickBot="1">
      <c r="B51" s="2023" t="str">
        <f t="shared" si="101"/>
        <v>4.1.2</v>
      </c>
      <c r="C51" s="2239">
        <f t="shared" si="65"/>
        <v>0</v>
      </c>
      <c r="D51" s="2249" t="e">
        <f t="shared" si="106"/>
        <v>#REF!</v>
      </c>
      <c r="E51" s="2248" t="e">
        <f t="shared" si="106"/>
        <v>#REF!</v>
      </c>
      <c r="G51" s="2248" t="e">
        <f t="shared" si="67"/>
        <v>#REF!</v>
      </c>
      <c r="H51" s="2248" t="e">
        <f t="shared" si="68"/>
        <v>#REF!</v>
      </c>
      <c r="I51" s="2248"/>
      <c r="J51" s="2248"/>
      <c r="K51" s="2248" t="e">
        <f>IF(#REF!=0,0,1)</f>
        <v>#REF!</v>
      </c>
      <c r="L51" s="2248" t="e">
        <f>IF(#REF!=0,0,1)</f>
        <v>#REF!</v>
      </c>
      <c r="M51" s="2248">
        <f t="shared" si="69"/>
        <v>0</v>
      </c>
      <c r="N51" s="2248">
        <f t="shared" si="70"/>
        <v>0</v>
      </c>
      <c r="P51" s="2214"/>
      <c r="Q51" s="2019"/>
      <c r="R51" s="2218">
        <v>2</v>
      </c>
      <c r="S51" s="2217" t="s">
        <v>835</v>
      </c>
      <c r="T51" s="2216"/>
      <c r="U51" s="2017"/>
      <c r="V51" s="2016">
        <f t="shared" si="104"/>
        <v>0</v>
      </c>
      <c r="W51" s="2015">
        <f t="shared" si="105"/>
        <v>0</v>
      </c>
      <c r="Y51" s="1">
        <f t="shared" si="88"/>
        <v>0</v>
      </c>
      <c r="Z51" s="1">
        <f t="shared" si="89"/>
        <v>0</v>
      </c>
      <c r="AA51" s="1">
        <f t="shared" si="90"/>
        <v>0</v>
      </c>
      <c r="AB51" s="1">
        <f t="shared" si="91"/>
        <v>0</v>
      </c>
      <c r="AC51" s="1">
        <f t="shared" si="92"/>
        <v>0</v>
      </c>
      <c r="AD51" s="1">
        <f t="shared" si="93"/>
        <v>0</v>
      </c>
      <c r="AE51" s="1">
        <f t="shared" si="94"/>
        <v>0</v>
      </c>
      <c r="AF51" s="1">
        <f t="shared" si="95"/>
        <v>0</v>
      </c>
      <c r="AG51" s="1">
        <f t="shared" si="96"/>
        <v>0</v>
      </c>
      <c r="AH51" s="1">
        <f t="shared" si="97"/>
        <v>0</v>
      </c>
      <c r="AI51" s="1">
        <f t="shared" si="98"/>
        <v>0</v>
      </c>
      <c r="AJ51" s="1">
        <f t="shared" si="99"/>
        <v>0</v>
      </c>
      <c r="AK51" s="1">
        <f t="shared" si="100"/>
        <v>0</v>
      </c>
      <c r="AM51" s="2143" t="s">
        <v>3316</v>
      </c>
      <c r="AN51" s="2143" t="s">
        <v>3316</v>
      </c>
      <c r="AO51" s="2143" t="s">
        <v>3316</v>
      </c>
      <c r="AP51" s="2143" t="s">
        <v>3316</v>
      </c>
      <c r="AQ51" s="2143" t="s">
        <v>3316</v>
      </c>
      <c r="AR51" s="2143" t="s">
        <v>3316</v>
      </c>
      <c r="AS51" s="2143" t="s">
        <v>3316</v>
      </c>
      <c r="AT51" s="2143" t="s">
        <v>3316</v>
      </c>
      <c r="AU51" s="2143" t="s">
        <v>3316</v>
      </c>
      <c r="AV51" s="2143" t="s">
        <v>3316</v>
      </c>
      <c r="AW51" s="2143" t="s">
        <v>3316</v>
      </c>
      <c r="AX51" s="2143" t="s">
        <v>3316</v>
      </c>
      <c r="AY51" s="2143" t="s">
        <v>3316</v>
      </c>
      <c r="BA51" s="2243"/>
      <c r="BB51" s="2243" t="e">
        <f t="shared" si="71"/>
        <v>#REF!</v>
      </c>
      <c r="BC51" s="2243"/>
      <c r="BD51" s="2241" t="e">
        <f>BR51*#REF!</f>
        <v>#REF!</v>
      </c>
      <c r="BE51" s="2241" t="e">
        <f>BS51*#REF!</f>
        <v>#REF!</v>
      </c>
      <c r="BF51" s="2241" t="e">
        <f>BT51*#REF!</f>
        <v>#REF!</v>
      </c>
      <c r="BG51" s="2241" t="e">
        <f>BU51*#REF!</f>
        <v>#REF!</v>
      </c>
      <c r="BH51" s="2242" t="e">
        <f>BV51*#REF!</f>
        <v>#REF!</v>
      </c>
      <c r="BI51" s="2241" t="e">
        <f>BW51*#REF!</f>
        <v>#REF!</v>
      </c>
      <c r="BJ51" s="2241" t="e">
        <f>BX51*#REF!</f>
        <v>#REF!</v>
      </c>
      <c r="BK51" s="2241" t="e">
        <f>BY51*#REF!</f>
        <v>#REF!</v>
      </c>
      <c r="BL51" s="2241" t="e">
        <f>BZ51*#REF!</f>
        <v>#REF!</v>
      </c>
      <c r="BM51" s="2241" t="e">
        <f>CA51*#REF!</f>
        <v>#REF!</v>
      </c>
      <c r="BO51" s="2240" t="str">
        <f t="shared" si="72"/>
        <v>4.1.2</v>
      </c>
      <c r="BP51" s="2240" t="str">
        <f t="shared" si="73"/>
        <v xml:space="preserve"> Q1 4.1</v>
      </c>
      <c r="BQ51" s="2239">
        <f t="shared" si="74"/>
        <v>0</v>
      </c>
      <c r="BR51" s="2236">
        <f t="shared" si="75"/>
        <v>0</v>
      </c>
      <c r="BS51" s="2236">
        <f t="shared" si="76"/>
        <v>0</v>
      </c>
      <c r="BT51" s="2236">
        <f t="shared" si="77"/>
        <v>0</v>
      </c>
      <c r="BU51" s="2236">
        <f t="shared" si="78"/>
        <v>0</v>
      </c>
      <c r="BV51" s="2238">
        <f t="shared" si="79"/>
        <v>0</v>
      </c>
      <c r="BW51" s="2236">
        <f t="shared" si="80"/>
        <v>0</v>
      </c>
      <c r="BX51" s="2236">
        <f t="shared" si="81"/>
        <v>0</v>
      </c>
      <c r="BY51" s="2236">
        <f t="shared" si="82"/>
        <v>0</v>
      </c>
      <c r="BZ51" s="2236">
        <f t="shared" si="83"/>
        <v>0</v>
      </c>
      <c r="CA51" s="2236">
        <f t="shared" si="84"/>
        <v>0</v>
      </c>
      <c r="CB51" s="2237">
        <f t="shared" si="85"/>
        <v>0</v>
      </c>
      <c r="CC51" s="2236">
        <f t="shared" si="86"/>
        <v>0</v>
      </c>
      <c r="CD51" s="2236">
        <f t="shared" si="87"/>
        <v>0</v>
      </c>
      <c r="CF51" s="1207" t="s">
        <v>3314</v>
      </c>
      <c r="CG51" s="1211" t="s">
        <v>2141</v>
      </c>
      <c r="CH51" s="1208" t="s">
        <v>3315</v>
      </c>
      <c r="CI51" s="1241">
        <v>0.25</v>
      </c>
      <c r="CJ51" s="1241">
        <v>0.25</v>
      </c>
      <c r="CK51" s="1241">
        <v>0.25</v>
      </c>
      <c r="CL51" s="1241">
        <v>0.25</v>
      </c>
      <c r="CM51" s="1242">
        <v>0.25</v>
      </c>
      <c r="CN51" s="1241">
        <v>0.25</v>
      </c>
      <c r="CO51" s="1213">
        <v>0.25</v>
      </c>
      <c r="CP51" s="1244">
        <v>0.25</v>
      </c>
      <c r="CQ51" s="1244">
        <v>0.33</v>
      </c>
      <c r="CR51" s="1244">
        <v>0.33</v>
      </c>
      <c r="CS51" s="1214">
        <v>0.25</v>
      </c>
      <c r="CT51" s="1213">
        <v>0.25</v>
      </c>
      <c r="CU51" s="1213">
        <v>0.25</v>
      </c>
      <c r="CW51" s="1229" t="s">
        <v>3314</v>
      </c>
      <c r="CX51" s="1232" t="s">
        <v>2141</v>
      </c>
      <c r="CY51" s="1230" t="s">
        <v>3315</v>
      </c>
      <c r="CZ51" s="1233"/>
      <c r="DA51" s="1233"/>
      <c r="DB51" s="1233"/>
      <c r="DC51" s="1233"/>
      <c r="DD51" s="1234"/>
      <c r="DE51" s="1233"/>
      <c r="DF51" s="1233"/>
      <c r="DG51" s="1233"/>
      <c r="DH51" s="1233"/>
      <c r="DI51" s="1233"/>
      <c r="DJ51" s="1235"/>
      <c r="DK51" s="1233"/>
      <c r="DL51" s="1233"/>
      <c r="DN51" s="1229" t="s">
        <v>3314</v>
      </c>
      <c r="DO51" s="1232" t="s">
        <v>2141</v>
      </c>
      <c r="DP51" s="1230"/>
      <c r="DQ51" s="1236"/>
      <c r="DR51" s="1236"/>
      <c r="DS51" s="1236"/>
      <c r="DT51" s="1236"/>
      <c r="DU51" s="1572"/>
      <c r="DV51" s="1236"/>
      <c r="DW51" s="1236"/>
      <c r="DX51" s="1236"/>
      <c r="DY51" s="1236"/>
      <c r="DZ51" s="1236"/>
      <c r="EA51" s="1238"/>
      <c r="EB51" s="1236"/>
      <c r="EC51" s="1236"/>
      <c r="ED51" s="1470"/>
      <c r="EF51" s="1229" t="s">
        <v>3314</v>
      </c>
      <c r="EG51" s="1232" t="s">
        <v>2141</v>
      </c>
      <c r="EH51" s="1230"/>
      <c r="EI51" s="1696"/>
      <c r="EJ51" s="1696"/>
      <c r="EK51" s="1696"/>
      <c r="EL51" s="1696"/>
      <c r="EM51" s="1697"/>
      <c r="EN51" s="1696"/>
      <c r="EO51" s="1696"/>
      <c r="EP51" s="1696"/>
      <c r="EQ51" s="1696"/>
      <c r="ER51" s="1696"/>
      <c r="ES51" s="1698"/>
      <c r="ET51" s="1696"/>
      <c r="EU51" s="1696"/>
      <c r="EW51" s="1229"/>
      <c r="EX51" s="1232"/>
      <c r="EY51" s="1230"/>
      <c r="EZ51" s="1799"/>
      <c r="FA51" s="1799"/>
      <c r="FB51" s="1799"/>
      <c r="FC51" s="1799"/>
      <c r="FD51" s="1800"/>
      <c r="FE51" s="1799"/>
      <c r="FF51" s="1799"/>
      <c r="FG51" s="1799"/>
      <c r="FH51" s="1799"/>
      <c r="FI51" s="1799"/>
      <c r="FJ51" s="1801"/>
      <c r="FK51" s="1799"/>
      <c r="FL51" s="1799"/>
    </row>
    <row r="52" spans="2:168" ht="14.25" hidden="1" thickBot="1">
      <c r="B52" s="2023" t="str">
        <f t="shared" si="101"/>
        <v>4.1.3</v>
      </c>
      <c r="C52" s="829">
        <f t="shared" si="65"/>
        <v>0</v>
      </c>
      <c r="D52" s="2100" t="e">
        <f t="shared" si="106"/>
        <v>#REF!</v>
      </c>
      <c r="E52" s="2021" t="e">
        <f t="shared" si="106"/>
        <v>#REF!</v>
      </c>
      <c r="G52" s="2021" t="e">
        <f t="shared" si="67"/>
        <v>#REF!</v>
      </c>
      <c r="H52" s="2021" t="e">
        <f t="shared" si="68"/>
        <v>#REF!</v>
      </c>
      <c r="I52" s="2021"/>
      <c r="J52" s="2021"/>
      <c r="K52" s="2021" t="e">
        <f>IF(#REF!=0,0,1)</f>
        <v>#REF!</v>
      </c>
      <c r="L52" s="2021" t="e">
        <f>IF(#REF!=0,0,1)</f>
        <v>#REF!</v>
      </c>
      <c r="M52" s="2021">
        <f t="shared" si="69"/>
        <v>0</v>
      </c>
      <c r="N52" s="2021">
        <f t="shared" si="70"/>
        <v>0</v>
      </c>
      <c r="P52" s="2256"/>
      <c r="Q52" s="2257"/>
      <c r="R52" s="2245">
        <v>3</v>
      </c>
      <c r="S52" s="2244" t="s">
        <v>836</v>
      </c>
      <c r="T52" s="2144"/>
      <c r="U52" s="2017"/>
      <c r="V52" s="2038">
        <f t="shared" si="104"/>
        <v>0</v>
      </c>
      <c r="W52" s="2037">
        <f t="shared" si="105"/>
        <v>0</v>
      </c>
      <c r="Y52" s="1">
        <f t="shared" si="88"/>
        <v>0</v>
      </c>
      <c r="Z52" s="1">
        <f t="shared" si="89"/>
        <v>0</v>
      </c>
      <c r="AA52" s="1">
        <f t="shared" si="90"/>
        <v>0</v>
      </c>
      <c r="AB52" s="1">
        <f t="shared" si="91"/>
        <v>0</v>
      </c>
      <c r="AC52" s="1">
        <f t="shared" si="92"/>
        <v>0</v>
      </c>
      <c r="AD52" s="1">
        <f t="shared" si="93"/>
        <v>0</v>
      </c>
      <c r="AE52" s="1">
        <f t="shared" si="94"/>
        <v>0</v>
      </c>
      <c r="AF52" s="1">
        <f t="shared" si="95"/>
        <v>0</v>
      </c>
      <c r="AG52" s="1">
        <f t="shared" si="96"/>
        <v>0</v>
      </c>
      <c r="AH52" s="1">
        <f t="shared" si="97"/>
        <v>0</v>
      </c>
      <c r="AI52" s="1">
        <f t="shared" si="98"/>
        <v>0</v>
      </c>
      <c r="AJ52" s="1">
        <f t="shared" si="99"/>
        <v>0</v>
      </c>
      <c r="AK52" s="1">
        <f t="shared" si="100"/>
        <v>0</v>
      </c>
      <c r="AM52" s="2063"/>
      <c r="AN52" s="2063"/>
      <c r="AO52" s="2063"/>
      <c r="AP52" s="2063"/>
      <c r="AQ52" s="2063"/>
      <c r="AR52" s="2063"/>
      <c r="AS52" s="2063"/>
      <c r="AT52" s="2063"/>
      <c r="AU52" s="2063"/>
      <c r="AV52" s="2063"/>
      <c r="AW52" s="2063"/>
      <c r="AX52" s="2063"/>
      <c r="AY52" s="2063"/>
      <c r="BA52" s="2014"/>
      <c r="BB52" s="2014" t="e">
        <f t="shared" si="71"/>
        <v>#REF!</v>
      </c>
      <c r="BC52" s="2014"/>
      <c r="BD52" s="2013" t="e">
        <f>BR52*#REF!</f>
        <v>#REF!</v>
      </c>
      <c r="BE52" s="2013" t="e">
        <f>BS52*#REF!</f>
        <v>#REF!</v>
      </c>
      <c r="BF52" s="2013" t="e">
        <f>BT52*#REF!</f>
        <v>#REF!</v>
      </c>
      <c r="BG52" s="2013" t="e">
        <f>BU52*#REF!</f>
        <v>#REF!</v>
      </c>
      <c r="BH52" s="2094" t="e">
        <f>BV52*#REF!</f>
        <v>#REF!</v>
      </c>
      <c r="BI52" s="2013" t="e">
        <f>BW52*#REF!</f>
        <v>#REF!</v>
      </c>
      <c r="BJ52" s="2013" t="e">
        <f>BX52*#REF!</f>
        <v>#REF!</v>
      </c>
      <c r="BK52" s="2013" t="e">
        <f>BY52*#REF!</f>
        <v>#REF!</v>
      </c>
      <c r="BL52" s="2013" t="e">
        <f>BZ52*#REF!</f>
        <v>#REF!</v>
      </c>
      <c r="BM52" s="2013" t="e">
        <f>CA52*#REF!</f>
        <v>#REF!</v>
      </c>
      <c r="BO52" s="2040" t="str">
        <f t="shared" si="72"/>
        <v>4.1.3</v>
      </c>
      <c r="BP52" s="2040" t="str">
        <f t="shared" si="73"/>
        <v xml:space="preserve"> Q1 4.1</v>
      </c>
      <c r="BQ52" s="829">
        <f t="shared" si="74"/>
        <v>0</v>
      </c>
      <c r="BR52" s="2010">
        <f t="shared" si="75"/>
        <v>0</v>
      </c>
      <c r="BS52" s="2010">
        <f t="shared" si="76"/>
        <v>0</v>
      </c>
      <c r="BT52" s="2010">
        <f t="shared" si="77"/>
        <v>0</v>
      </c>
      <c r="BU52" s="2010">
        <f t="shared" si="78"/>
        <v>0</v>
      </c>
      <c r="BV52" s="2093">
        <f t="shared" si="79"/>
        <v>0</v>
      </c>
      <c r="BW52" s="2010">
        <f t="shared" si="80"/>
        <v>0</v>
      </c>
      <c r="BX52" s="2010">
        <f t="shared" si="81"/>
        <v>0</v>
      </c>
      <c r="BY52" s="2010">
        <f t="shared" si="82"/>
        <v>0</v>
      </c>
      <c r="BZ52" s="2010">
        <f t="shared" si="83"/>
        <v>0</v>
      </c>
      <c r="CA52" s="2010">
        <f t="shared" si="84"/>
        <v>0</v>
      </c>
      <c r="CB52" s="2039">
        <f t="shared" si="85"/>
        <v>0</v>
      </c>
      <c r="CC52" s="2010">
        <f t="shared" si="86"/>
        <v>0</v>
      </c>
      <c r="CD52" s="2010">
        <f t="shared" si="87"/>
        <v>0</v>
      </c>
      <c r="CF52" s="1207" t="s">
        <v>3313</v>
      </c>
      <c r="CG52" s="1211" t="s">
        <v>2141</v>
      </c>
      <c r="CH52" s="1208"/>
      <c r="CI52" s="1236">
        <v>0.25</v>
      </c>
      <c r="CJ52" s="1236">
        <v>0.25</v>
      </c>
      <c r="CK52" s="1236">
        <v>0.25</v>
      </c>
      <c r="CL52" s="1236">
        <v>0.25</v>
      </c>
      <c r="CM52" s="1237">
        <v>0.25</v>
      </c>
      <c r="CN52" s="1236">
        <v>0.25</v>
      </c>
      <c r="CO52" s="1213">
        <v>0.25</v>
      </c>
      <c r="CP52" s="1245">
        <v>0.25</v>
      </c>
      <c r="CQ52" s="1245">
        <v>0.33</v>
      </c>
      <c r="CR52" s="1245">
        <v>0.33</v>
      </c>
      <c r="CS52" s="1214">
        <v>0.25</v>
      </c>
      <c r="CT52" s="1213">
        <v>0.25</v>
      </c>
      <c r="CU52" s="1213">
        <v>0.25</v>
      </c>
      <c r="CW52" s="1207" t="s">
        <v>3313</v>
      </c>
      <c r="CX52" s="1211" t="s">
        <v>2141</v>
      </c>
      <c r="CY52" s="1208" t="s">
        <v>2143</v>
      </c>
      <c r="CZ52" s="1213"/>
      <c r="DA52" s="1213"/>
      <c r="DB52" s="1213"/>
      <c r="DC52" s="1213"/>
      <c r="DD52" s="1220"/>
      <c r="DE52" s="1213"/>
      <c r="DF52" s="1213"/>
      <c r="DG52" s="1213"/>
      <c r="DH52" s="1213"/>
      <c r="DI52" s="1213"/>
      <c r="DJ52" s="1214"/>
      <c r="DK52" s="1213"/>
      <c r="DL52" s="1213"/>
      <c r="DN52" s="1207" t="s">
        <v>3313</v>
      </c>
      <c r="DO52" s="1211" t="s">
        <v>2141</v>
      </c>
      <c r="DP52" s="1208"/>
      <c r="DQ52" s="1241"/>
      <c r="DR52" s="1241"/>
      <c r="DS52" s="1241"/>
      <c r="DT52" s="1241"/>
      <c r="DU52" s="1577"/>
      <c r="DV52" s="1241"/>
      <c r="DW52" s="1241"/>
      <c r="DX52" s="1241"/>
      <c r="DY52" s="1241"/>
      <c r="DZ52" s="1241"/>
      <c r="EA52" s="1241"/>
      <c r="EB52" s="1241"/>
      <c r="EC52" s="1241"/>
      <c r="ED52" s="1470"/>
      <c r="EF52" s="1207" t="s">
        <v>2291</v>
      </c>
      <c r="EG52" s="1211" t="s">
        <v>2141</v>
      </c>
      <c r="EH52" s="1208" t="s">
        <v>2143</v>
      </c>
      <c r="EI52" s="1689">
        <f t="shared" ref="EI52:EU57" si="107">DQ52</f>
        <v>0</v>
      </c>
      <c r="EJ52" s="1689">
        <f t="shared" si="107"/>
        <v>0</v>
      </c>
      <c r="EK52" s="1689">
        <f t="shared" si="107"/>
        <v>0</v>
      </c>
      <c r="EL52" s="1689">
        <f t="shared" si="107"/>
        <v>0</v>
      </c>
      <c r="EM52" s="1690">
        <f t="shared" si="107"/>
        <v>0</v>
      </c>
      <c r="EN52" s="1689">
        <f t="shared" si="107"/>
        <v>0</v>
      </c>
      <c r="EO52" s="1689">
        <f t="shared" si="107"/>
        <v>0</v>
      </c>
      <c r="EP52" s="1689">
        <f t="shared" si="107"/>
        <v>0</v>
      </c>
      <c r="EQ52" s="1689">
        <f t="shared" si="107"/>
        <v>0</v>
      </c>
      <c r="ER52" s="1689">
        <f t="shared" si="107"/>
        <v>0</v>
      </c>
      <c r="ES52" s="1689">
        <f t="shared" si="107"/>
        <v>0</v>
      </c>
      <c r="ET52" s="1689">
        <f t="shared" si="107"/>
        <v>0</v>
      </c>
      <c r="EU52" s="1689">
        <f t="shared" si="107"/>
        <v>0</v>
      </c>
      <c r="EW52" s="1207" t="s">
        <v>2291</v>
      </c>
      <c r="EX52" s="1211" t="s">
        <v>2141</v>
      </c>
      <c r="EY52" s="1208" t="s">
        <v>2143</v>
      </c>
      <c r="EZ52" s="1678">
        <f t="shared" ref="EZ52:EZ57" si="108">DQ52</f>
        <v>0</v>
      </c>
      <c r="FA52" s="1678"/>
      <c r="FB52" s="1678"/>
      <c r="FC52" s="1678"/>
      <c r="FD52" s="1794"/>
      <c r="FE52" s="1678"/>
      <c r="FF52" s="1678"/>
      <c r="FG52" s="1678"/>
      <c r="FH52" s="1678"/>
      <c r="FI52" s="1678"/>
      <c r="FJ52" s="1678"/>
      <c r="FK52" s="1678"/>
      <c r="FL52" s="1678"/>
    </row>
    <row r="53" spans="2:168" ht="14.25" hidden="1" thickBot="1">
      <c r="B53" s="2023" t="str">
        <f t="shared" si="101"/>
        <v>4.1.4</v>
      </c>
      <c r="C53" s="829">
        <f t="shared" si="65"/>
        <v>0</v>
      </c>
      <c r="D53" s="2100" t="e">
        <f t="shared" si="106"/>
        <v>#REF!</v>
      </c>
      <c r="E53" s="2021" t="e">
        <f t="shared" si="106"/>
        <v>#REF!</v>
      </c>
      <c r="G53" s="2021" t="e">
        <f t="shared" si="67"/>
        <v>#REF!</v>
      </c>
      <c r="H53" s="2021" t="e">
        <f t="shared" si="68"/>
        <v>#REF!</v>
      </c>
      <c r="I53" s="2021"/>
      <c r="J53" s="2021"/>
      <c r="K53" s="2021" t="e">
        <f>IF(#REF!=0,0,1)</f>
        <v>#REF!</v>
      </c>
      <c r="L53" s="2021" t="e">
        <f>IF(#REF!=0,0,1)</f>
        <v>#REF!</v>
      </c>
      <c r="M53" s="2021">
        <f t="shared" si="69"/>
        <v>0</v>
      </c>
      <c r="N53" s="2021">
        <f t="shared" si="70"/>
        <v>0</v>
      </c>
      <c r="P53" s="2256"/>
      <c r="Q53" s="2255"/>
      <c r="R53" s="2245">
        <v>4</v>
      </c>
      <c r="S53" s="2244" t="s">
        <v>837</v>
      </c>
      <c r="T53" s="2144"/>
      <c r="U53" s="2017"/>
      <c r="V53" s="2016">
        <f t="shared" si="104"/>
        <v>0</v>
      </c>
      <c r="W53" s="2015">
        <f t="shared" si="105"/>
        <v>0</v>
      </c>
      <c r="Y53" s="1">
        <f t="shared" si="88"/>
        <v>0</v>
      </c>
      <c r="Z53" s="1">
        <f t="shared" si="89"/>
        <v>0</v>
      </c>
      <c r="AA53" s="1">
        <f t="shared" si="90"/>
        <v>0</v>
      </c>
      <c r="AB53" s="1">
        <f t="shared" si="91"/>
        <v>0</v>
      </c>
      <c r="AC53" s="1">
        <f t="shared" si="92"/>
        <v>0</v>
      </c>
      <c r="AD53" s="1">
        <f t="shared" si="93"/>
        <v>0</v>
      </c>
      <c r="AE53" s="1">
        <f t="shared" si="94"/>
        <v>0</v>
      </c>
      <c r="AF53" s="1">
        <f t="shared" si="95"/>
        <v>0</v>
      </c>
      <c r="AG53" s="1">
        <f t="shared" si="96"/>
        <v>0</v>
      </c>
      <c r="AH53" s="1">
        <f t="shared" si="97"/>
        <v>0</v>
      </c>
      <c r="AI53" s="1">
        <f t="shared" si="98"/>
        <v>0</v>
      </c>
      <c r="AJ53" s="1">
        <f t="shared" si="99"/>
        <v>0</v>
      </c>
      <c r="AK53" s="1">
        <f t="shared" si="100"/>
        <v>0</v>
      </c>
      <c r="AM53" s="2063"/>
      <c r="AN53" s="2063"/>
      <c r="AO53" s="2063"/>
      <c r="AP53" s="2063"/>
      <c r="AQ53" s="2063"/>
      <c r="AR53" s="2063"/>
      <c r="AS53" s="2063"/>
      <c r="AT53" s="2063"/>
      <c r="AU53" s="2063"/>
      <c r="AV53" s="2063"/>
      <c r="AW53" s="2063"/>
      <c r="AX53" s="2063"/>
      <c r="AY53" s="2063"/>
      <c r="BA53" s="2014"/>
      <c r="BB53" s="2014" t="e">
        <f t="shared" si="71"/>
        <v>#REF!</v>
      </c>
      <c r="BC53" s="2014"/>
      <c r="BD53" s="2013" t="e">
        <f>BR53*#REF!</f>
        <v>#REF!</v>
      </c>
      <c r="BE53" s="2013" t="e">
        <f>BS53*#REF!</f>
        <v>#REF!</v>
      </c>
      <c r="BF53" s="2013" t="e">
        <f>BT53*#REF!</f>
        <v>#REF!</v>
      </c>
      <c r="BG53" s="2013" t="e">
        <f>BU53*#REF!</f>
        <v>#REF!</v>
      </c>
      <c r="BH53" s="2094" t="e">
        <f>BV53*#REF!</f>
        <v>#REF!</v>
      </c>
      <c r="BI53" s="2013" t="e">
        <f>BW53*#REF!</f>
        <v>#REF!</v>
      </c>
      <c r="BJ53" s="2013" t="e">
        <f>BX53*#REF!</f>
        <v>#REF!</v>
      </c>
      <c r="BK53" s="2013" t="e">
        <f>BY53*#REF!</f>
        <v>#REF!</v>
      </c>
      <c r="BL53" s="2013" t="e">
        <f>BZ53*#REF!</f>
        <v>#REF!</v>
      </c>
      <c r="BM53" s="2013" t="e">
        <f>CA53*#REF!</f>
        <v>#REF!</v>
      </c>
      <c r="BO53" s="2040" t="str">
        <f t="shared" si="72"/>
        <v>4.1.4</v>
      </c>
      <c r="BP53" s="2040" t="str">
        <f t="shared" si="73"/>
        <v xml:space="preserve"> Q1 4.1</v>
      </c>
      <c r="BQ53" s="829">
        <f t="shared" si="74"/>
        <v>0</v>
      </c>
      <c r="BR53" s="2010">
        <f t="shared" si="75"/>
        <v>0</v>
      </c>
      <c r="BS53" s="2010">
        <f t="shared" si="76"/>
        <v>0</v>
      </c>
      <c r="BT53" s="2010">
        <f t="shared" si="77"/>
        <v>0</v>
      </c>
      <c r="BU53" s="2010">
        <f t="shared" si="78"/>
        <v>0</v>
      </c>
      <c r="BV53" s="2093">
        <f t="shared" si="79"/>
        <v>0</v>
      </c>
      <c r="BW53" s="2010">
        <f t="shared" si="80"/>
        <v>0</v>
      </c>
      <c r="BX53" s="2010">
        <f t="shared" si="81"/>
        <v>0</v>
      </c>
      <c r="BY53" s="2010">
        <f t="shared" si="82"/>
        <v>0</v>
      </c>
      <c r="BZ53" s="2010">
        <f t="shared" si="83"/>
        <v>0</v>
      </c>
      <c r="CA53" s="2010">
        <f t="shared" si="84"/>
        <v>0</v>
      </c>
      <c r="CB53" s="2039">
        <f t="shared" si="85"/>
        <v>0</v>
      </c>
      <c r="CC53" s="2010">
        <f t="shared" si="86"/>
        <v>0</v>
      </c>
      <c r="CD53" s="2010">
        <f t="shared" si="87"/>
        <v>0</v>
      </c>
      <c r="CF53" s="1207" t="s">
        <v>3312</v>
      </c>
      <c r="CG53" s="1211" t="s">
        <v>2141</v>
      </c>
      <c r="CH53" s="1208" t="s">
        <v>2144</v>
      </c>
      <c r="CI53" s="1241">
        <v>0.25</v>
      </c>
      <c r="CJ53" s="1241">
        <v>0.25</v>
      </c>
      <c r="CK53" s="1241">
        <v>0.25</v>
      </c>
      <c r="CL53" s="1241">
        <v>0.25</v>
      </c>
      <c r="CM53" s="1242">
        <v>0.25</v>
      </c>
      <c r="CN53" s="1241">
        <v>0.25</v>
      </c>
      <c r="CO53" s="1213">
        <v>0.25</v>
      </c>
      <c r="CP53" s="1241">
        <v>0.25</v>
      </c>
      <c r="CQ53" s="1241"/>
      <c r="CR53" s="1241"/>
      <c r="CS53" s="1214">
        <v>0.25</v>
      </c>
      <c r="CT53" s="1213">
        <v>0.25</v>
      </c>
      <c r="CU53" s="1213">
        <v>0.25</v>
      </c>
      <c r="CW53" s="1207" t="s">
        <v>3311</v>
      </c>
      <c r="CX53" s="1211" t="s">
        <v>2141</v>
      </c>
      <c r="CY53" s="1208" t="s">
        <v>2144</v>
      </c>
      <c r="CZ53" s="1213"/>
      <c r="DA53" s="1213"/>
      <c r="DB53" s="1213"/>
      <c r="DC53" s="1213"/>
      <c r="DD53" s="1220"/>
      <c r="DE53" s="1213"/>
      <c r="DF53" s="1213"/>
      <c r="DG53" s="1213"/>
      <c r="DH53" s="1213"/>
      <c r="DI53" s="1213"/>
      <c r="DJ53" s="1214"/>
      <c r="DK53" s="1213"/>
      <c r="DL53" s="1213"/>
      <c r="DN53" s="1207" t="s">
        <v>2292</v>
      </c>
      <c r="DO53" s="1211" t="s">
        <v>2141</v>
      </c>
      <c r="DP53" s="1208"/>
      <c r="DQ53" s="1241"/>
      <c r="DR53" s="1241"/>
      <c r="DS53" s="1241"/>
      <c r="DT53" s="1241"/>
      <c r="DU53" s="1577"/>
      <c r="DV53" s="1241"/>
      <c r="DW53" s="1241"/>
      <c r="DX53" s="1241"/>
      <c r="DY53" s="1241"/>
      <c r="DZ53" s="1241"/>
      <c r="EA53" s="1241"/>
      <c r="EB53" s="1241"/>
      <c r="EC53" s="1241"/>
      <c r="ED53" s="1470"/>
      <c r="EF53" s="1207" t="s">
        <v>3311</v>
      </c>
      <c r="EG53" s="1211" t="s">
        <v>2141</v>
      </c>
      <c r="EH53" s="1208" t="s">
        <v>2144</v>
      </c>
      <c r="EI53" s="1689">
        <f t="shared" si="107"/>
        <v>0</v>
      </c>
      <c r="EJ53" s="1689">
        <f t="shared" si="107"/>
        <v>0</v>
      </c>
      <c r="EK53" s="1689">
        <f t="shared" si="107"/>
        <v>0</v>
      </c>
      <c r="EL53" s="1689">
        <f t="shared" si="107"/>
        <v>0</v>
      </c>
      <c r="EM53" s="1690">
        <f t="shared" si="107"/>
        <v>0</v>
      </c>
      <c r="EN53" s="1689">
        <f t="shared" si="107"/>
        <v>0</v>
      </c>
      <c r="EO53" s="1689">
        <f t="shared" si="107"/>
        <v>0</v>
      </c>
      <c r="EP53" s="1689">
        <f t="shared" si="107"/>
        <v>0</v>
      </c>
      <c r="EQ53" s="1689">
        <f t="shared" si="107"/>
        <v>0</v>
      </c>
      <c r="ER53" s="1689">
        <f t="shared" si="107"/>
        <v>0</v>
      </c>
      <c r="ES53" s="1689">
        <f t="shared" si="107"/>
        <v>0</v>
      </c>
      <c r="ET53" s="1689">
        <f t="shared" si="107"/>
        <v>0</v>
      </c>
      <c r="EU53" s="1689">
        <f t="shared" si="107"/>
        <v>0</v>
      </c>
      <c r="EW53" s="1207" t="s">
        <v>2292</v>
      </c>
      <c r="EX53" s="1211" t="s">
        <v>2141</v>
      </c>
      <c r="EY53" s="1208" t="s">
        <v>2144</v>
      </c>
      <c r="EZ53" s="1678">
        <f t="shared" si="108"/>
        <v>0</v>
      </c>
      <c r="FA53" s="1678"/>
      <c r="FB53" s="1678"/>
      <c r="FC53" s="1678"/>
      <c r="FD53" s="1794"/>
      <c r="FE53" s="1678"/>
      <c r="FF53" s="1678"/>
      <c r="FG53" s="1678"/>
      <c r="FH53" s="1678"/>
      <c r="FI53" s="1678"/>
      <c r="FJ53" s="1678"/>
      <c r="FK53" s="1678"/>
      <c r="FL53" s="1678"/>
    </row>
    <row r="54" spans="2:168" ht="14.25" thickBot="1">
      <c r="B54" s="2023">
        <f t="shared" si="101"/>
        <v>4.2</v>
      </c>
      <c r="C54" s="829" t="str">
        <f t="shared" si="65"/>
        <v>換気</v>
      </c>
      <c r="D54" s="2022" t="e">
        <f>IF(I$48=0,0,G54/I$48)</f>
        <v>#REF!</v>
      </c>
      <c r="E54" s="2021" t="e">
        <f>IF(J$48=0,0,H54/J$48)</f>
        <v>#REF!</v>
      </c>
      <c r="G54" s="2021" t="e">
        <f t="shared" si="67"/>
        <v>#REF!</v>
      </c>
      <c r="H54" s="2021" t="e">
        <f t="shared" si="68"/>
        <v>#REF!</v>
      </c>
      <c r="I54" s="2021" t="e">
        <f>SUM(G55:G58)</f>
        <v>#REF!</v>
      </c>
      <c r="J54" s="2021" t="e">
        <f>SUM(H55:H58)</f>
        <v>#REF!</v>
      </c>
      <c r="K54" s="2021" t="e">
        <f>IF(#REF!=0,0,1)</f>
        <v>#REF!</v>
      </c>
      <c r="L54" s="2021" t="e">
        <f>IF(#REF!=0,0,1)</f>
        <v>#REF!</v>
      </c>
      <c r="M54" s="2021">
        <f t="shared" si="69"/>
        <v>0.3</v>
      </c>
      <c r="N54" s="2021">
        <f t="shared" si="70"/>
        <v>0</v>
      </c>
      <c r="P54" s="2123"/>
      <c r="Q54" s="2035">
        <v>4.2</v>
      </c>
      <c r="R54" s="2129" t="s">
        <v>838</v>
      </c>
      <c r="S54" s="2106"/>
      <c r="T54" s="2036"/>
      <c r="U54" s="2017"/>
      <c r="V54" s="2254">
        <f t="shared" si="104"/>
        <v>0</v>
      </c>
      <c r="W54" s="2253">
        <f t="shared" si="105"/>
        <v>0</v>
      </c>
      <c r="Y54" s="1">
        <f t="shared" si="88"/>
        <v>0</v>
      </c>
      <c r="Z54" s="1">
        <f t="shared" si="89"/>
        <v>0</v>
      </c>
      <c r="AA54" s="1">
        <f t="shared" si="90"/>
        <v>0</v>
      </c>
      <c r="AB54" s="1">
        <f t="shared" si="91"/>
        <v>0</v>
      </c>
      <c r="AC54" s="1">
        <f t="shared" si="92"/>
        <v>0</v>
      </c>
      <c r="AD54" s="1">
        <f t="shared" si="93"/>
        <v>0</v>
      </c>
      <c r="AE54" s="1">
        <f t="shared" si="94"/>
        <v>0</v>
      </c>
      <c r="AF54" s="1">
        <f t="shared" si="95"/>
        <v>0</v>
      </c>
      <c r="AG54" s="1">
        <f t="shared" si="96"/>
        <v>0</v>
      </c>
      <c r="AH54" s="1">
        <f t="shared" si="97"/>
        <v>0</v>
      </c>
      <c r="AI54" s="1">
        <f t="shared" si="98"/>
        <v>0</v>
      </c>
      <c r="AJ54" s="1">
        <f t="shared" si="99"/>
        <v>0</v>
      </c>
      <c r="AK54" s="1">
        <f t="shared" si="100"/>
        <v>0</v>
      </c>
      <c r="AM54" s="2252" t="s">
        <v>3310</v>
      </c>
      <c r="AN54" s="2252" t="s">
        <v>3157</v>
      </c>
      <c r="AO54" s="2252" t="s">
        <v>3157</v>
      </c>
      <c r="AP54" s="2252" t="s">
        <v>3310</v>
      </c>
      <c r="AQ54" s="2252" t="s">
        <v>3157</v>
      </c>
      <c r="AR54" s="2252" t="s">
        <v>3292</v>
      </c>
      <c r="AS54" s="2252" t="s">
        <v>3310</v>
      </c>
      <c r="AT54" s="2252" t="s">
        <v>3310</v>
      </c>
      <c r="AU54" s="2252" t="s">
        <v>177</v>
      </c>
      <c r="AV54" s="2252" t="s">
        <v>3310</v>
      </c>
      <c r="AW54" s="2252" t="s">
        <v>177</v>
      </c>
      <c r="AX54" s="2252" t="s">
        <v>177</v>
      </c>
      <c r="AY54" s="2252" t="s">
        <v>177</v>
      </c>
      <c r="AZ54" s="2251"/>
      <c r="BA54" s="2250"/>
      <c r="BB54" s="2014" t="e">
        <f t="shared" si="71"/>
        <v>#REF!</v>
      </c>
      <c r="BC54" s="2014"/>
      <c r="BD54" s="2013" t="e">
        <f>BR54*#REF!</f>
        <v>#REF!</v>
      </c>
      <c r="BE54" s="2013" t="e">
        <f>BS54*#REF!</f>
        <v>#REF!</v>
      </c>
      <c r="BF54" s="2013" t="e">
        <f>BT54*#REF!</f>
        <v>#REF!</v>
      </c>
      <c r="BG54" s="2013" t="e">
        <f>BU54*#REF!</f>
        <v>#REF!</v>
      </c>
      <c r="BH54" s="2094" t="e">
        <f>BV54*#REF!</f>
        <v>#REF!</v>
      </c>
      <c r="BI54" s="2013" t="e">
        <f>BW54*#REF!</f>
        <v>#REF!</v>
      </c>
      <c r="BJ54" s="2013" t="e">
        <f>BX54*#REF!</f>
        <v>#REF!</v>
      </c>
      <c r="BK54" s="2013" t="e">
        <f>BY54*#REF!</f>
        <v>#REF!</v>
      </c>
      <c r="BL54" s="2013" t="e">
        <f>BZ54*#REF!</f>
        <v>#REF!</v>
      </c>
      <c r="BM54" s="2013" t="e">
        <f>CA54*#REF!</f>
        <v>#REF!</v>
      </c>
      <c r="BO54" s="2040">
        <f t="shared" si="72"/>
        <v>4.2</v>
      </c>
      <c r="BP54" s="2040" t="str">
        <f t="shared" si="73"/>
        <v xml:space="preserve"> Q1 4</v>
      </c>
      <c r="BQ54" s="829" t="str">
        <f t="shared" si="74"/>
        <v>換気</v>
      </c>
      <c r="BR54" s="2010">
        <f t="shared" si="75"/>
        <v>0.3</v>
      </c>
      <c r="BS54" s="2010">
        <f t="shared" si="76"/>
        <v>0.3</v>
      </c>
      <c r="BT54" s="2010">
        <f t="shared" si="77"/>
        <v>0.3</v>
      </c>
      <c r="BU54" s="2010">
        <f t="shared" si="78"/>
        <v>0.3</v>
      </c>
      <c r="BV54" s="2093">
        <f t="shared" si="79"/>
        <v>0.3</v>
      </c>
      <c r="BW54" s="2010">
        <f t="shared" si="80"/>
        <v>0.3</v>
      </c>
      <c r="BX54" s="2010">
        <f t="shared" si="81"/>
        <v>0.3</v>
      </c>
      <c r="BY54" s="2010">
        <f t="shared" si="82"/>
        <v>0.3</v>
      </c>
      <c r="BZ54" s="2010">
        <f t="shared" si="83"/>
        <v>0.3</v>
      </c>
      <c r="CA54" s="2010">
        <f t="shared" si="84"/>
        <v>0.4</v>
      </c>
      <c r="CB54" s="2039">
        <f t="shared" si="85"/>
        <v>0.375</v>
      </c>
      <c r="CC54" s="2010">
        <f t="shared" si="86"/>
        <v>0.375</v>
      </c>
      <c r="CD54" s="2010">
        <f t="shared" si="87"/>
        <v>0.375</v>
      </c>
      <c r="CF54" s="1207">
        <v>4.2</v>
      </c>
      <c r="CG54" s="1211" t="s">
        <v>2140</v>
      </c>
      <c r="CH54" s="1208" t="s">
        <v>838</v>
      </c>
      <c r="CI54" s="1241">
        <v>0.3</v>
      </c>
      <c r="CJ54" s="1241">
        <v>0.3</v>
      </c>
      <c r="CK54" s="1241">
        <v>0.3</v>
      </c>
      <c r="CL54" s="1241">
        <v>0.3</v>
      </c>
      <c r="CM54" s="1242">
        <v>0.3</v>
      </c>
      <c r="CN54" s="1241">
        <v>0.3</v>
      </c>
      <c r="CO54" s="1213">
        <v>0.3</v>
      </c>
      <c r="CP54" s="1241">
        <v>0.3</v>
      </c>
      <c r="CQ54" s="1241">
        <v>0.3</v>
      </c>
      <c r="CR54" s="1241">
        <v>0.4</v>
      </c>
      <c r="CS54" s="1214">
        <v>0.375</v>
      </c>
      <c r="CT54" s="1213">
        <v>0.375</v>
      </c>
      <c r="CU54" s="1213">
        <v>0.375</v>
      </c>
      <c r="CW54" s="1207">
        <v>4.2</v>
      </c>
      <c r="CX54" s="1211" t="s">
        <v>2140</v>
      </c>
      <c r="CY54" s="1208" t="s">
        <v>838</v>
      </c>
      <c r="CZ54" s="1213">
        <v>0.3</v>
      </c>
      <c r="DA54" s="1213">
        <v>0.3</v>
      </c>
      <c r="DB54" s="1213">
        <v>0.3</v>
      </c>
      <c r="DC54" s="1213">
        <v>0.3</v>
      </c>
      <c r="DD54" s="1220">
        <v>0.3</v>
      </c>
      <c r="DE54" s="1213">
        <v>0.3</v>
      </c>
      <c r="DF54" s="1213">
        <v>0.3</v>
      </c>
      <c r="DG54" s="1213">
        <v>0.3</v>
      </c>
      <c r="DH54" s="1213">
        <v>0.3</v>
      </c>
      <c r="DI54" s="1213">
        <v>0.4</v>
      </c>
      <c r="DJ54" s="1214">
        <v>0.375</v>
      </c>
      <c r="DK54" s="1213">
        <v>0.375</v>
      </c>
      <c r="DL54" s="1213">
        <v>0.375</v>
      </c>
      <c r="DN54" s="1207">
        <v>4.2</v>
      </c>
      <c r="DO54" s="1211" t="s">
        <v>2140</v>
      </c>
      <c r="DP54" s="1208" t="s">
        <v>838</v>
      </c>
      <c r="DQ54" s="1241">
        <v>0.3</v>
      </c>
      <c r="DR54" s="1241">
        <v>0.3</v>
      </c>
      <c r="DS54" s="1241">
        <v>0.3</v>
      </c>
      <c r="DT54" s="1241">
        <v>0.3</v>
      </c>
      <c r="DU54" s="1576">
        <v>0.3</v>
      </c>
      <c r="DV54" s="1241">
        <v>0.3</v>
      </c>
      <c r="DW54" s="1241">
        <v>0.3</v>
      </c>
      <c r="DX54" s="1241">
        <v>0.3</v>
      </c>
      <c r="DY54" s="1241">
        <v>0.3</v>
      </c>
      <c r="DZ54" s="1241">
        <v>0.4</v>
      </c>
      <c r="EA54" s="1243">
        <v>0.375</v>
      </c>
      <c r="EB54" s="1241">
        <v>0.375</v>
      </c>
      <c r="EC54" s="1241">
        <v>0.375</v>
      </c>
      <c r="ED54" s="1470"/>
      <c r="EF54" s="1207">
        <v>4.2</v>
      </c>
      <c r="EG54" s="1211" t="s">
        <v>2140</v>
      </c>
      <c r="EH54" s="1208" t="s">
        <v>838</v>
      </c>
      <c r="EI54" s="1689">
        <f t="shared" si="107"/>
        <v>0.3</v>
      </c>
      <c r="EJ54" s="1689">
        <f t="shared" si="107"/>
        <v>0.3</v>
      </c>
      <c r="EK54" s="1689">
        <f t="shared" si="107"/>
        <v>0.3</v>
      </c>
      <c r="EL54" s="1689">
        <f t="shared" si="107"/>
        <v>0.3</v>
      </c>
      <c r="EM54" s="1692">
        <f t="shared" si="107"/>
        <v>0.3</v>
      </c>
      <c r="EN54" s="1689">
        <f t="shared" si="107"/>
        <v>0.3</v>
      </c>
      <c r="EO54" s="1689">
        <f t="shared" si="107"/>
        <v>0.3</v>
      </c>
      <c r="EP54" s="1689">
        <f t="shared" si="107"/>
        <v>0.3</v>
      </c>
      <c r="EQ54" s="1689">
        <f t="shared" si="107"/>
        <v>0.3</v>
      </c>
      <c r="ER54" s="1689">
        <f t="shared" si="107"/>
        <v>0.4</v>
      </c>
      <c r="ES54" s="1691">
        <f t="shared" si="107"/>
        <v>0.375</v>
      </c>
      <c r="ET54" s="1689">
        <f t="shared" si="107"/>
        <v>0.375</v>
      </c>
      <c r="EU54" s="1689">
        <f t="shared" si="107"/>
        <v>0.375</v>
      </c>
      <c r="EW54" s="1207">
        <v>4.2</v>
      </c>
      <c r="EX54" s="1211" t="s">
        <v>2140</v>
      </c>
      <c r="EY54" s="1208" t="s">
        <v>838</v>
      </c>
      <c r="EZ54" s="1678">
        <f t="shared" si="108"/>
        <v>0.3</v>
      </c>
      <c r="FA54" s="1678"/>
      <c r="FB54" s="1678"/>
      <c r="FC54" s="1678"/>
      <c r="FD54" s="1802"/>
      <c r="FE54" s="1678"/>
      <c r="FF54" s="1678"/>
      <c r="FG54" s="1678"/>
      <c r="FH54" s="1678"/>
      <c r="FI54" s="1678"/>
      <c r="FJ54" s="1795"/>
      <c r="FK54" s="1678"/>
      <c r="FL54" s="1678"/>
    </row>
    <row r="55" spans="2:168">
      <c r="B55" s="2023" t="str">
        <f t="shared" si="101"/>
        <v>4.2.1</v>
      </c>
      <c r="C55" s="829" t="str">
        <f t="shared" si="65"/>
        <v>換気量</v>
      </c>
      <c r="D55" s="2100" t="e">
        <f t="shared" ref="D55:E58" si="109">IF(I$54&gt;0,G55/I$54,0)</f>
        <v>#REF!</v>
      </c>
      <c r="E55" s="2021" t="e">
        <f t="shared" si="109"/>
        <v>#REF!</v>
      </c>
      <c r="G55" s="2021" t="e">
        <f t="shared" si="67"/>
        <v>#REF!</v>
      </c>
      <c r="H55" s="2021" t="e">
        <f t="shared" si="68"/>
        <v>#REF!</v>
      </c>
      <c r="I55" s="2021"/>
      <c r="J55" s="2021"/>
      <c r="K55" s="2021" t="e">
        <f>IF(#REF!=0,0,1)</f>
        <v>#REF!</v>
      </c>
      <c r="L55" s="2021" t="e">
        <f>IF(#REF!=0,0,1)</f>
        <v>#REF!</v>
      </c>
      <c r="M55" s="2021">
        <f t="shared" si="69"/>
        <v>0.33333333333333331</v>
      </c>
      <c r="N55" s="2021">
        <f t="shared" si="70"/>
        <v>0</v>
      </c>
      <c r="P55" s="2123"/>
      <c r="Q55" s="2101"/>
      <c r="R55" s="993">
        <v>1</v>
      </c>
      <c r="S55" s="1655" t="s">
        <v>839</v>
      </c>
      <c r="T55" s="2032"/>
      <c r="U55" s="2017"/>
      <c r="V55" s="2025">
        <f t="shared" si="104"/>
        <v>0</v>
      </c>
      <c r="W55" s="2024">
        <f t="shared" si="105"/>
        <v>0</v>
      </c>
      <c r="Y55" s="1">
        <f t="shared" si="88"/>
        <v>0</v>
      </c>
      <c r="Z55" s="1">
        <f t="shared" si="89"/>
        <v>0</v>
      </c>
      <c r="AA55" s="1">
        <f t="shared" si="90"/>
        <v>0</v>
      </c>
      <c r="AB55" s="1">
        <f t="shared" si="91"/>
        <v>0</v>
      </c>
      <c r="AC55" s="1">
        <f t="shared" si="92"/>
        <v>0</v>
      </c>
      <c r="AD55" s="1">
        <f t="shared" si="93"/>
        <v>0</v>
      </c>
      <c r="AE55" s="1">
        <f t="shared" si="94"/>
        <v>0</v>
      </c>
      <c r="AF55" s="1">
        <f t="shared" si="95"/>
        <v>0</v>
      </c>
      <c r="AG55" s="1">
        <f t="shared" si="96"/>
        <v>0</v>
      </c>
      <c r="AH55" s="1">
        <f t="shared" si="97"/>
        <v>0</v>
      </c>
      <c r="AI55" s="1">
        <f t="shared" si="98"/>
        <v>0</v>
      </c>
      <c r="AJ55" s="1">
        <f t="shared" si="99"/>
        <v>0</v>
      </c>
      <c r="AK55" s="1">
        <f t="shared" si="100"/>
        <v>0</v>
      </c>
      <c r="AM55" s="1828"/>
      <c r="AN55" s="1828"/>
      <c r="AO55" s="1828"/>
      <c r="AP55" s="1828"/>
      <c r="AQ55" s="1828"/>
      <c r="AR55" s="1828"/>
      <c r="AS55" s="1828"/>
      <c r="AT55" s="1828"/>
      <c r="AU55" s="1828"/>
      <c r="AV55" s="1828"/>
      <c r="AW55" s="1828"/>
      <c r="AX55" s="1828"/>
      <c r="AY55" s="1828"/>
      <c r="BA55" s="2014"/>
      <c r="BB55" s="2014" t="e">
        <f t="shared" si="71"/>
        <v>#REF!</v>
      </c>
      <c r="BC55" s="2014"/>
      <c r="BD55" s="2013" t="e">
        <f>BR55*#REF!</f>
        <v>#REF!</v>
      </c>
      <c r="BE55" s="2013" t="e">
        <f>BS55*#REF!</f>
        <v>#REF!</v>
      </c>
      <c r="BF55" s="2013" t="e">
        <f>BT55*#REF!</f>
        <v>#REF!</v>
      </c>
      <c r="BG55" s="2013" t="e">
        <f>BU55*#REF!</f>
        <v>#REF!</v>
      </c>
      <c r="BH55" s="2094" t="e">
        <f>BV55*#REF!</f>
        <v>#REF!</v>
      </c>
      <c r="BI55" s="2013" t="e">
        <f>BW55*#REF!</f>
        <v>#REF!</v>
      </c>
      <c r="BJ55" s="2013" t="e">
        <f>BX55*#REF!</f>
        <v>#REF!</v>
      </c>
      <c r="BK55" s="2013" t="e">
        <f>BY55*#REF!</f>
        <v>#REF!</v>
      </c>
      <c r="BL55" s="2013" t="e">
        <f>BZ55*#REF!</f>
        <v>#REF!</v>
      </c>
      <c r="BM55" s="2013" t="e">
        <f>CA55*#REF!</f>
        <v>#REF!</v>
      </c>
      <c r="BO55" s="2040" t="str">
        <f t="shared" si="72"/>
        <v>4.2.1</v>
      </c>
      <c r="BP55" s="2040" t="str">
        <f t="shared" si="73"/>
        <v xml:space="preserve"> Q1 4.2</v>
      </c>
      <c r="BQ55" s="829" t="str">
        <f t="shared" si="74"/>
        <v>換気量</v>
      </c>
      <c r="BR55" s="2010">
        <f t="shared" si="75"/>
        <v>0.33333333333333331</v>
      </c>
      <c r="BS55" s="2010">
        <f t="shared" si="76"/>
        <v>0.33333333333333331</v>
      </c>
      <c r="BT55" s="2010">
        <f t="shared" si="77"/>
        <v>0.5</v>
      </c>
      <c r="BU55" s="2010">
        <f t="shared" si="78"/>
        <v>0.5</v>
      </c>
      <c r="BV55" s="2093">
        <f t="shared" si="79"/>
        <v>0.33333333333333331</v>
      </c>
      <c r="BW55" s="2010">
        <f t="shared" si="80"/>
        <v>0.33333333333333331</v>
      </c>
      <c r="BX55" s="2010">
        <f t="shared" si="81"/>
        <v>0.33333333333333331</v>
      </c>
      <c r="BY55" s="2010">
        <f t="shared" si="82"/>
        <v>0.5</v>
      </c>
      <c r="BZ55" s="2010">
        <f t="shared" si="83"/>
        <v>0.5</v>
      </c>
      <c r="CA55" s="2010">
        <f t="shared" si="84"/>
        <v>0.5</v>
      </c>
      <c r="CB55" s="2039">
        <f t="shared" si="85"/>
        <v>0.33333333333333331</v>
      </c>
      <c r="CC55" s="2010">
        <f t="shared" si="86"/>
        <v>0.33333333333333331</v>
      </c>
      <c r="CD55" s="2010">
        <f t="shared" si="87"/>
        <v>0.33333333333333331</v>
      </c>
      <c r="CF55" s="1207" t="s">
        <v>1337</v>
      </c>
      <c r="CG55" s="1211" t="s">
        <v>2145</v>
      </c>
      <c r="CH55" s="1208" t="s">
        <v>2146</v>
      </c>
      <c r="CI55" s="1241">
        <v>0.25</v>
      </c>
      <c r="CJ55" s="1241">
        <v>0.25</v>
      </c>
      <c r="CK55" s="1244">
        <v>0.33333333333333331</v>
      </c>
      <c r="CL55" s="1244">
        <v>0.33333333333333331</v>
      </c>
      <c r="CM55" s="1244">
        <v>0.33333333333333331</v>
      </c>
      <c r="CN55" s="1241">
        <v>0.25</v>
      </c>
      <c r="CO55" s="1213">
        <v>0.25</v>
      </c>
      <c r="CP55" s="1244">
        <v>0.33333333333333331</v>
      </c>
      <c r="CQ55" s="1244">
        <v>0.33333333333333331</v>
      </c>
      <c r="CR55" s="1241"/>
      <c r="CS55" s="1214">
        <v>0.25</v>
      </c>
      <c r="CT55" s="1213">
        <v>0.25</v>
      </c>
      <c r="CU55" s="1213"/>
      <c r="CW55" s="1207" t="s">
        <v>1337</v>
      </c>
      <c r="CX55" s="1211" t="s">
        <v>2145</v>
      </c>
      <c r="CY55" s="1208" t="s">
        <v>2146</v>
      </c>
      <c r="CZ55" s="1213">
        <v>0.33333333333333331</v>
      </c>
      <c r="DA55" s="1213">
        <v>0.33333333333333331</v>
      </c>
      <c r="DB55" s="1213">
        <v>0.5</v>
      </c>
      <c r="DC55" s="1213">
        <v>0.5</v>
      </c>
      <c r="DD55" s="1220">
        <v>0.5</v>
      </c>
      <c r="DE55" s="1213">
        <v>0.33333333333333331</v>
      </c>
      <c r="DF55" s="1213">
        <v>0.33333333333333331</v>
      </c>
      <c r="DG55" s="1213">
        <v>0.5</v>
      </c>
      <c r="DH55" s="1213">
        <v>0.5</v>
      </c>
      <c r="DI55" s="1213">
        <v>0.5</v>
      </c>
      <c r="DJ55" s="1214">
        <v>0.33333333333333331</v>
      </c>
      <c r="DK55" s="1213">
        <v>0.33333333333333331</v>
      </c>
      <c r="DL55" s="1213">
        <v>0.33333333333333331</v>
      </c>
      <c r="DN55" s="1207" t="s">
        <v>1337</v>
      </c>
      <c r="DO55" s="1211" t="s">
        <v>2145</v>
      </c>
      <c r="DP55" s="1208" t="s">
        <v>2146</v>
      </c>
      <c r="DQ55" s="1816">
        <f t="shared" ref="DQ55:DR57" si="110">0.25/(0.25+0.25+0.25)</f>
        <v>0.33333333333333331</v>
      </c>
      <c r="DR55" s="1816">
        <f t="shared" si="110"/>
        <v>0.33333333333333331</v>
      </c>
      <c r="DS55" s="1816">
        <f>0.33/(0.33+0.33)</f>
        <v>0.5</v>
      </c>
      <c r="DT55" s="1816">
        <f>0.33/(0.33+0.33)</f>
        <v>0.5</v>
      </c>
      <c r="DU55" s="1816">
        <f t="shared" ref="DU55:DW57" si="111">0.25/(0.25+0.25+0.25)</f>
        <v>0.33333333333333331</v>
      </c>
      <c r="DV55" s="1816">
        <f t="shared" si="111"/>
        <v>0.33333333333333331</v>
      </c>
      <c r="DW55" s="1816">
        <f t="shared" si="111"/>
        <v>0.33333333333333331</v>
      </c>
      <c r="DX55" s="1816">
        <f>0.33/(0.33+0.33)</f>
        <v>0.5</v>
      </c>
      <c r="DY55" s="1816">
        <f>0.33/(0.33+0.33)</f>
        <v>0.5</v>
      </c>
      <c r="DZ55" s="1241">
        <v>0.5</v>
      </c>
      <c r="EA55" s="1816">
        <f t="shared" ref="EA55:EC57" si="112">0.25/(0.25+0.25+0.25)</f>
        <v>0.33333333333333331</v>
      </c>
      <c r="EB55" s="1816">
        <f t="shared" si="112"/>
        <v>0.33333333333333331</v>
      </c>
      <c r="EC55" s="1816">
        <f t="shared" si="112"/>
        <v>0.33333333333333331</v>
      </c>
      <c r="ED55" s="1470"/>
      <c r="EF55" s="1207" t="s">
        <v>1337</v>
      </c>
      <c r="EG55" s="1211" t="s">
        <v>2145</v>
      </c>
      <c r="EH55" s="1208" t="s">
        <v>2146</v>
      </c>
      <c r="EI55" s="1689">
        <f t="shared" si="107"/>
        <v>0.33333333333333331</v>
      </c>
      <c r="EJ55" s="1689">
        <f t="shared" si="107"/>
        <v>0.33333333333333331</v>
      </c>
      <c r="EK55" s="1689">
        <f t="shared" si="107"/>
        <v>0.5</v>
      </c>
      <c r="EL55" s="1689">
        <f t="shared" si="107"/>
        <v>0.5</v>
      </c>
      <c r="EM55" s="1690">
        <f t="shared" si="107"/>
        <v>0.33333333333333331</v>
      </c>
      <c r="EN55" s="1689">
        <f t="shared" si="107"/>
        <v>0.33333333333333331</v>
      </c>
      <c r="EO55" s="1689">
        <f t="shared" si="107"/>
        <v>0.33333333333333331</v>
      </c>
      <c r="EP55" s="1689">
        <f t="shared" si="107"/>
        <v>0.5</v>
      </c>
      <c r="EQ55" s="1689">
        <f t="shared" si="107"/>
        <v>0.5</v>
      </c>
      <c r="ER55" s="1689">
        <f t="shared" si="107"/>
        <v>0.5</v>
      </c>
      <c r="ES55" s="1691">
        <f t="shared" si="107"/>
        <v>0.33333333333333331</v>
      </c>
      <c r="ET55" s="1689">
        <f t="shared" si="107"/>
        <v>0.33333333333333331</v>
      </c>
      <c r="EU55" s="1689">
        <f t="shared" si="107"/>
        <v>0.33333333333333331</v>
      </c>
      <c r="EW55" s="1207" t="s">
        <v>1337</v>
      </c>
      <c r="EX55" s="1211" t="s">
        <v>2145</v>
      </c>
      <c r="EY55" s="1208" t="s">
        <v>2146</v>
      </c>
      <c r="EZ55" s="1678">
        <f t="shared" si="108"/>
        <v>0.33333333333333331</v>
      </c>
      <c r="FA55" s="1678"/>
      <c r="FB55" s="1678"/>
      <c r="FC55" s="1678"/>
      <c r="FD55" s="1794"/>
      <c r="FE55" s="1678"/>
      <c r="FF55" s="1678"/>
      <c r="FG55" s="1678"/>
      <c r="FH55" s="1678"/>
      <c r="FI55" s="1678"/>
      <c r="FJ55" s="1795"/>
      <c r="FK55" s="1678"/>
      <c r="FL55" s="1678"/>
    </row>
    <row r="56" spans="2:168">
      <c r="B56" s="2023" t="str">
        <f t="shared" si="101"/>
        <v>4.2.2</v>
      </c>
      <c r="C56" s="829" t="str">
        <f t="shared" si="65"/>
        <v>自然換気性能</v>
      </c>
      <c r="D56" s="2100" t="e">
        <f t="shared" si="109"/>
        <v>#REF!</v>
      </c>
      <c r="E56" s="2021" t="e">
        <f t="shared" si="109"/>
        <v>#REF!</v>
      </c>
      <c r="G56" s="2021" t="e">
        <f t="shared" si="67"/>
        <v>#REF!</v>
      </c>
      <c r="H56" s="2021" t="e">
        <f t="shared" si="68"/>
        <v>#REF!</v>
      </c>
      <c r="I56" s="2021"/>
      <c r="J56" s="2021"/>
      <c r="K56" s="2021" t="e">
        <f>IF(#REF!=0,0,1)</f>
        <v>#REF!</v>
      </c>
      <c r="L56" s="2021" t="e">
        <f>IF(#REF!=0,0,1)</f>
        <v>#REF!</v>
      </c>
      <c r="M56" s="2021">
        <f t="shared" si="69"/>
        <v>0.33333333333333331</v>
      </c>
      <c r="N56" s="2021">
        <f t="shared" si="70"/>
        <v>0</v>
      </c>
      <c r="P56" s="2123"/>
      <c r="Q56" s="2101"/>
      <c r="R56" s="993">
        <v>2</v>
      </c>
      <c r="S56" s="1655" t="s">
        <v>1970</v>
      </c>
      <c r="T56" s="2036"/>
      <c r="U56" s="2017"/>
      <c r="V56" s="2038">
        <f t="shared" si="104"/>
        <v>0</v>
      </c>
      <c r="W56" s="2037">
        <f t="shared" si="105"/>
        <v>0</v>
      </c>
      <c r="Y56" s="1">
        <f t="shared" si="88"/>
        <v>0</v>
      </c>
      <c r="Z56" s="1">
        <f t="shared" si="89"/>
        <v>0</v>
      </c>
      <c r="AA56" s="1">
        <f t="shared" si="90"/>
        <v>0</v>
      </c>
      <c r="AB56" s="1">
        <f t="shared" si="91"/>
        <v>0</v>
      </c>
      <c r="AC56" s="1">
        <f t="shared" si="92"/>
        <v>0</v>
      </c>
      <c r="AD56" s="1">
        <f t="shared" si="93"/>
        <v>0</v>
      </c>
      <c r="AE56" s="1">
        <f t="shared" si="94"/>
        <v>0</v>
      </c>
      <c r="AF56" s="1">
        <f t="shared" si="95"/>
        <v>0</v>
      </c>
      <c r="AG56" s="1">
        <f t="shared" si="96"/>
        <v>0</v>
      </c>
      <c r="AH56" s="1">
        <f t="shared" si="97"/>
        <v>0</v>
      </c>
      <c r="AI56" s="1">
        <f t="shared" si="98"/>
        <v>0</v>
      </c>
      <c r="AJ56" s="1">
        <f t="shared" si="99"/>
        <v>0</v>
      </c>
      <c r="AK56" s="1">
        <f t="shared" si="100"/>
        <v>0</v>
      </c>
      <c r="AM56" s="1828"/>
      <c r="AN56" s="1828"/>
      <c r="AO56" s="1828"/>
      <c r="AP56" s="1828"/>
      <c r="AQ56" s="1828"/>
      <c r="AR56" s="1828"/>
      <c r="AS56" s="1828"/>
      <c r="AT56" s="1828"/>
      <c r="AU56" s="1828"/>
      <c r="AV56" s="1828"/>
      <c r="AW56" s="1828"/>
      <c r="AX56" s="1828"/>
      <c r="AY56" s="1828"/>
      <c r="BA56" s="2014"/>
      <c r="BB56" s="2014" t="e">
        <f t="shared" si="71"/>
        <v>#REF!</v>
      </c>
      <c r="BC56" s="2014"/>
      <c r="BD56" s="2013" t="e">
        <f>BR56*#REF!</f>
        <v>#REF!</v>
      </c>
      <c r="BE56" s="2013" t="e">
        <f>BS56*#REF!</f>
        <v>#REF!</v>
      </c>
      <c r="BF56" s="2013" t="e">
        <f>BT56*#REF!</f>
        <v>#REF!</v>
      </c>
      <c r="BG56" s="2013" t="e">
        <f>BU56*#REF!</f>
        <v>#REF!</v>
      </c>
      <c r="BH56" s="2094" t="e">
        <f>BV56*#REF!</f>
        <v>#REF!</v>
      </c>
      <c r="BI56" s="2013" t="e">
        <f>BW56*#REF!</f>
        <v>#REF!</v>
      </c>
      <c r="BJ56" s="2013" t="e">
        <f>BX56*#REF!</f>
        <v>#REF!</v>
      </c>
      <c r="BK56" s="2013" t="e">
        <f>BY56*#REF!</f>
        <v>#REF!</v>
      </c>
      <c r="BL56" s="2013" t="e">
        <f>BZ56*#REF!</f>
        <v>#REF!</v>
      </c>
      <c r="BM56" s="2013" t="e">
        <f>CA56*#REF!</f>
        <v>#REF!</v>
      </c>
      <c r="BO56" s="2040" t="str">
        <f t="shared" si="72"/>
        <v>4.2.2</v>
      </c>
      <c r="BP56" s="2040" t="str">
        <f t="shared" si="73"/>
        <v xml:space="preserve"> Q1 4.2</v>
      </c>
      <c r="BQ56" s="829" t="str">
        <f t="shared" si="74"/>
        <v>自然換気性能</v>
      </c>
      <c r="BR56" s="2010">
        <f t="shared" si="75"/>
        <v>0.33333333333333331</v>
      </c>
      <c r="BS56" s="2010">
        <f t="shared" si="76"/>
        <v>0.33333333333333331</v>
      </c>
      <c r="BT56" s="2010">
        <f t="shared" si="77"/>
        <v>0</v>
      </c>
      <c r="BU56" s="2010">
        <f t="shared" si="78"/>
        <v>0</v>
      </c>
      <c r="BV56" s="2093">
        <f t="shared" si="79"/>
        <v>0.33333333333333331</v>
      </c>
      <c r="BW56" s="2010">
        <f t="shared" si="80"/>
        <v>0.33333333333333331</v>
      </c>
      <c r="BX56" s="2010">
        <f t="shared" si="81"/>
        <v>0.33333333333333331</v>
      </c>
      <c r="BY56" s="2010">
        <f t="shared" si="82"/>
        <v>0</v>
      </c>
      <c r="BZ56" s="2010">
        <f t="shared" si="83"/>
        <v>0</v>
      </c>
      <c r="CA56" s="2010">
        <f t="shared" si="84"/>
        <v>0</v>
      </c>
      <c r="CB56" s="2039">
        <f t="shared" si="85"/>
        <v>0.33333333333333331</v>
      </c>
      <c r="CC56" s="2010">
        <f t="shared" si="86"/>
        <v>0.33333333333333331</v>
      </c>
      <c r="CD56" s="2010">
        <f t="shared" si="87"/>
        <v>0.33333333333333331</v>
      </c>
      <c r="CF56" s="1207" t="s">
        <v>3309</v>
      </c>
      <c r="CG56" s="1211" t="s">
        <v>2145</v>
      </c>
      <c r="CH56" s="1208" t="s">
        <v>2147</v>
      </c>
      <c r="CI56" s="1241">
        <v>0.25</v>
      </c>
      <c r="CJ56" s="1241">
        <v>0.25</v>
      </c>
      <c r="CK56" s="1241"/>
      <c r="CL56" s="1241"/>
      <c r="CM56" s="1242"/>
      <c r="CN56" s="1241">
        <v>0.25</v>
      </c>
      <c r="CO56" s="1213">
        <v>0.25</v>
      </c>
      <c r="CP56" s="1241"/>
      <c r="CQ56" s="1241"/>
      <c r="CR56" s="1241"/>
      <c r="CS56" s="1214">
        <v>0.25</v>
      </c>
      <c r="CT56" s="1213">
        <v>0.25</v>
      </c>
      <c r="CU56" s="1213">
        <v>0.33</v>
      </c>
      <c r="CW56" s="1207" t="s">
        <v>1338</v>
      </c>
      <c r="CX56" s="1211" t="s">
        <v>2145</v>
      </c>
      <c r="CY56" s="1208" t="s">
        <v>2147</v>
      </c>
      <c r="CZ56" s="1213">
        <v>0.33333333333333331</v>
      </c>
      <c r="DA56" s="1213">
        <v>0.33333333333333331</v>
      </c>
      <c r="DB56" s="1213"/>
      <c r="DC56" s="1213"/>
      <c r="DD56" s="1220"/>
      <c r="DE56" s="1213">
        <v>0.33333333333333331</v>
      </c>
      <c r="DF56" s="1213">
        <v>0.33333333333333331</v>
      </c>
      <c r="DG56" s="1213"/>
      <c r="DH56" s="1213"/>
      <c r="DI56" s="1213"/>
      <c r="DJ56" s="1214">
        <v>0.33333333333333331</v>
      </c>
      <c r="DK56" s="1213">
        <v>0.33333333333333331</v>
      </c>
      <c r="DL56" s="1213">
        <v>0.33333333333333331</v>
      </c>
      <c r="DN56" s="1207" t="s">
        <v>1338</v>
      </c>
      <c r="DO56" s="1211" t="s">
        <v>2145</v>
      </c>
      <c r="DP56" s="1208" t="s">
        <v>2147</v>
      </c>
      <c r="DQ56" s="1816">
        <f t="shared" si="110"/>
        <v>0.33333333333333331</v>
      </c>
      <c r="DR56" s="1816">
        <f t="shared" si="110"/>
        <v>0.33333333333333331</v>
      </c>
      <c r="DS56" s="1241"/>
      <c r="DT56" s="1241"/>
      <c r="DU56" s="1816">
        <f t="shared" si="111"/>
        <v>0.33333333333333331</v>
      </c>
      <c r="DV56" s="1816">
        <f t="shared" si="111"/>
        <v>0.33333333333333331</v>
      </c>
      <c r="DW56" s="1816">
        <f t="shared" si="111"/>
        <v>0.33333333333333331</v>
      </c>
      <c r="DX56" s="1241"/>
      <c r="DY56" s="1241"/>
      <c r="DZ56" s="1241"/>
      <c r="EA56" s="1816">
        <f t="shared" si="112"/>
        <v>0.33333333333333331</v>
      </c>
      <c r="EB56" s="1816">
        <f t="shared" si="112"/>
        <v>0.33333333333333331</v>
      </c>
      <c r="EC56" s="1816">
        <f t="shared" si="112"/>
        <v>0.33333333333333331</v>
      </c>
      <c r="ED56" s="1470"/>
      <c r="EF56" s="1207" t="s">
        <v>1338</v>
      </c>
      <c r="EG56" s="1211" t="s">
        <v>2145</v>
      </c>
      <c r="EH56" s="1208" t="s">
        <v>2147</v>
      </c>
      <c r="EI56" s="1689">
        <f t="shared" si="107"/>
        <v>0.33333333333333331</v>
      </c>
      <c r="EJ56" s="1689">
        <f t="shared" si="107"/>
        <v>0.33333333333333331</v>
      </c>
      <c r="EK56" s="1689">
        <f t="shared" si="107"/>
        <v>0</v>
      </c>
      <c r="EL56" s="1689">
        <f t="shared" si="107"/>
        <v>0</v>
      </c>
      <c r="EM56" s="1692">
        <f t="shared" si="107"/>
        <v>0.33333333333333331</v>
      </c>
      <c r="EN56" s="1689">
        <f t="shared" si="107"/>
        <v>0.33333333333333331</v>
      </c>
      <c r="EO56" s="1689">
        <f t="shared" si="107"/>
        <v>0.33333333333333331</v>
      </c>
      <c r="EP56" s="1689">
        <f t="shared" si="107"/>
        <v>0</v>
      </c>
      <c r="EQ56" s="1689">
        <f t="shared" si="107"/>
        <v>0</v>
      </c>
      <c r="ER56" s="1689">
        <f t="shared" si="107"/>
        <v>0</v>
      </c>
      <c r="ES56" s="1691">
        <f t="shared" si="107"/>
        <v>0.33333333333333331</v>
      </c>
      <c r="ET56" s="1689">
        <f t="shared" si="107"/>
        <v>0.33333333333333331</v>
      </c>
      <c r="EU56" s="1689">
        <f t="shared" si="107"/>
        <v>0.33333333333333331</v>
      </c>
      <c r="EW56" s="1207" t="s">
        <v>1338</v>
      </c>
      <c r="EX56" s="1211" t="s">
        <v>2145</v>
      </c>
      <c r="EY56" s="1208" t="s">
        <v>2147</v>
      </c>
      <c r="EZ56" s="1678">
        <f t="shared" si="108"/>
        <v>0.33333333333333331</v>
      </c>
      <c r="FA56" s="1678"/>
      <c r="FB56" s="1678"/>
      <c r="FC56" s="1678"/>
      <c r="FD56" s="1802"/>
      <c r="FE56" s="1678"/>
      <c r="FF56" s="1678"/>
      <c r="FG56" s="1678"/>
      <c r="FH56" s="1678"/>
      <c r="FI56" s="1678"/>
      <c r="FJ56" s="1795"/>
      <c r="FK56" s="1678"/>
      <c r="FL56" s="1678"/>
    </row>
    <row r="57" spans="2:168" ht="14.25" thickBot="1">
      <c r="B57" s="2023" t="str">
        <f t="shared" si="101"/>
        <v>4.2.3</v>
      </c>
      <c r="C57" s="829" t="str">
        <f t="shared" si="65"/>
        <v>取り入れ外気への配慮</v>
      </c>
      <c r="D57" s="2100" t="e">
        <f t="shared" si="109"/>
        <v>#REF!</v>
      </c>
      <c r="E57" s="2021" t="e">
        <f t="shared" si="109"/>
        <v>#REF!</v>
      </c>
      <c r="G57" s="2021" t="e">
        <f t="shared" si="67"/>
        <v>#REF!</v>
      </c>
      <c r="H57" s="2021" t="e">
        <f t="shared" si="68"/>
        <v>#REF!</v>
      </c>
      <c r="I57" s="2021"/>
      <c r="J57" s="2021"/>
      <c r="K57" s="2021" t="e">
        <f>IF(#REF!=0,0,1)</f>
        <v>#REF!</v>
      </c>
      <c r="L57" s="2021" t="e">
        <f>IF(#REF!=0,0,1)</f>
        <v>#REF!</v>
      </c>
      <c r="M57" s="2021">
        <f t="shared" si="69"/>
        <v>0.33333333333333331</v>
      </c>
      <c r="N57" s="2021">
        <f t="shared" si="70"/>
        <v>0</v>
      </c>
      <c r="P57" s="2123"/>
      <c r="Q57" s="2101"/>
      <c r="R57" s="993">
        <v>3</v>
      </c>
      <c r="S57" s="1655" t="s">
        <v>1971</v>
      </c>
      <c r="T57" s="2036"/>
      <c r="U57" s="2017"/>
      <c r="V57" s="2016">
        <f t="shared" si="104"/>
        <v>0</v>
      </c>
      <c r="W57" s="2015">
        <f t="shared" si="105"/>
        <v>0</v>
      </c>
      <c r="Y57" s="1">
        <f t="shared" si="88"/>
        <v>0</v>
      </c>
      <c r="Z57" s="1">
        <f t="shared" si="89"/>
        <v>0</v>
      </c>
      <c r="AA57" s="1">
        <f t="shared" si="90"/>
        <v>0</v>
      </c>
      <c r="AB57" s="1">
        <f t="shared" si="91"/>
        <v>0</v>
      </c>
      <c r="AC57" s="1">
        <f t="shared" si="92"/>
        <v>0</v>
      </c>
      <c r="AD57" s="1">
        <f t="shared" si="93"/>
        <v>0</v>
      </c>
      <c r="AE57" s="1">
        <f t="shared" si="94"/>
        <v>0</v>
      </c>
      <c r="AF57" s="1">
        <f t="shared" si="95"/>
        <v>0</v>
      </c>
      <c r="AG57" s="1">
        <f t="shared" si="96"/>
        <v>0</v>
      </c>
      <c r="AH57" s="1">
        <f t="shared" si="97"/>
        <v>0</v>
      </c>
      <c r="AI57" s="1">
        <f t="shared" si="98"/>
        <v>0</v>
      </c>
      <c r="AJ57" s="1">
        <f t="shared" si="99"/>
        <v>0</v>
      </c>
      <c r="AK57" s="1">
        <f t="shared" si="100"/>
        <v>0</v>
      </c>
      <c r="AM57" s="1831"/>
      <c r="AN57" s="1831"/>
      <c r="AO57" s="1831"/>
      <c r="AP57" s="1831"/>
      <c r="AQ57" s="1831"/>
      <c r="AR57" s="1831"/>
      <c r="AS57" s="1831"/>
      <c r="AT57" s="1831"/>
      <c r="AU57" s="1831"/>
      <c r="AV57" s="1831"/>
      <c r="AW57" s="1831"/>
      <c r="AX57" s="1831"/>
      <c r="AY57" s="1831"/>
      <c r="BA57" s="2014"/>
      <c r="BB57" s="2014" t="e">
        <f t="shared" si="71"/>
        <v>#REF!</v>
      </c>
      <c r="BC57" s="2014"/>
      <c r="BD57" s="2013" t="e">
        <f>BR57*#REF!</f>
        <v>#REF!</v>
      </c>
      <c r="BE57" s="2013" t="e">
        <f>BS57*#REF!</f>
        <v>#REF!</v>
      </c>
      <c r="BF57" s="2013" t="e">
        <f>BT57*#REF!</f>
        <v>#REF!</v>
      </c>
      <c r="BG57" s="2013" t="e">
        <f>BU57*#REF!</f>
        <v>#REF!</v>
      </c>
      <c r="BH57" s="2094" t="e">
        <f>BV57*#REF!</f>
        <v>#REF!</v>
      </c>
      <c r="BI57" s="2013" t="e">
        <f>BW57*#REF!</f>
        <v>#REF!</v>
      </c>
      <c r="BJ57" s="2013" t="e">
        <f>BX57*#REF!</f>
        <v>#REF!</v>
      </c>
      <c r="BK57" s="2013" t="e">
        <f>BY57*#REF!</f>
        <v>#REF!</v>
      </c>
      <c r="BL57" s="2013" t="e">
        <f>BZ57*#REF!</f>
        <v>#REF!</v>
      </c>
      <c r="BM57" s="2013" t="e">
        <f>CA57*#REF!</f>
        <v>#REF!</v>
      </c>
      <c r="BO57" s="2040" t="str">
        <f t="shared" si="72"/>
        <v>4.2.3</v>
      </c>
      <c r="BP57" s="2040" t="str">
        <f t="shared" si="73"/>
        <v xml:space="preserve"> Q1 4.2</v>
      </c>
      <c r="BQ57" s="829" t="str">
        <f t="shared" si="74"/>
        <v>取り入れ外気への配慮</v>
      </c>
      <c r="BR57" s="2010">
        <f t="shared" si="75"/>
        <v>0.33333333333333331</v>
      </c>
      <c r="BS57" s="2010">
        <f t="shared" si="76"/>
        <v>0.33333333333333331</v>
      </c>
      <c r="BT57" s="2010">
        <f t="shared" si="77"/>
        <v>0.5</v>
      </c>
      <c r="BU57" s="2010">
        <f t="shared" si="78"/>
        <v>0.5</v>
      </c>
      <c r="BV57" s="2093">
        <f t="shared" si="79"/>
        <v>0.33333333333333331</v>
      </c>
      <c r="BW57" s="2010">
        <f t="shared" si="80"/>
        <v>0.33333333333333331</v>
      </c>
      <c r="BX57" s="2010">
        <f t="shared" si="81"/>
        <v>0.33333333333333331</v>
      </c>
      <c r="BY57" s="2010">
        <f t="shared" si="82"/>
        <v>0.5</v>
      </c>
      <c r="BZ57" s="2010">
        <f t="shared" si="83"/>
        <v>0.5</v>
      </c>
      <c r="CA57" s="2010">
        <f t="shared" si="84"/>
        <v>0.5</v>
      </c>
      <c r="CB57" s="2039">
        <f t="shared" si="85"/>
        <v>0.33333333333333331</v>
      </c>
      <c r="CC57" s="2010">
        <f t="shared" si="86"/>
        <v>0.33333333333333331</v>
      </c>
      <c r="CD57" s="2010">
        <f t="shared" si="87"/>
        <v>0.33333333333333331</v>
      </c>
      <c r="CF57" s="1207" t="s">
        <v>2295</v>
      </c>
      <c r="CG57" s="1211" t="s">
        <v>2145</v>
      </c>
      <c r="CH57" s="1208" t="s">
        <v>2148</v>
      </c>
      <c r="CI57" s="1241">
        <v>0.25</v>
      </c>
      <c r="CJ57" s="1241">
        <v>0.25</v>
      </c>
      <c r="CK57" s="1244">
        <v>0.33333333333333331</v>
      </c>
      <c r="CL57" s="1244">
        <v>0.33333333333333331</v>
      </c>
      <c r="CM57" s="1244">
        <v>0.33333333333333331</v>
      </c>
      <c r="CN57" s="1241">
        <v>0.25</v>
      </c>
      <c r="CO57" s="1213">
        <v>0.25</v>
      </c>
      <c r="CP57" s="1244">
        <v>0.33333333333333331</v>
      </c>
      <c r="CQ57" s="1244">
        <v>0.33333333333333331</v>
      </c>
      <c r="CR57" s="1241">
        <v>1</v>
      </c>
      <c r="CS57" s="1214">
        <v>0.25</v>
      </c>
      <c r="CT57" s="1213">
        <v>0.25</v>
      </c>
      <c r="CU57" s="1213">
        <v>0.33</v>
      </c>
      <c r="CW57" s="1207" t="s">
        <v>3308</v>
      </c>
      <c r="CX57" s="1211" t="s">
        <v>2145</v>
      </c>
      <c r="CY57" s="1208" t="s">
        <v>2148</v>
      </c>
      <c r="CZ57" s="1213">
        <v>0.33333333333333331</v>
      </c>
      <c r="DA57" s="1213">
        <v>0.33333333333333331</v>
      </c>
      <c r="DB57" s="1213">
        <v>0.5</v>
      </c>
      <c r="DC57" s="1213">
        <v>0.5</v>
      </c>
      <c r="DD57" s="1220">
        <v>0.5</v>
      </c>
      <c r="DE57" s="1213">
        <v>0.33333333333333331</v>
      </c>
      <c r="DF57" s="1213">
        <v>0.33333333333333331</v>
      </c>
      <c r="DG57" s="1213">
        <v>0.5</v>
      </c>
      <c r="DH57" s="1213">
        <v>0.5</v>
      </c>
      <c r="DI57" s="1213">
        <v>0.5</v>
      </c>
      <c r="DJ57" s="1214">
        <v>0.33333333333333331</v>
      </c>
      <c r="DK57" s="1213">
        <v>0.33333333333333331</v>
      </c>
      <c r="DL57" s="1213">
        <v>0.33333333333333331</v>
      </c>
      <c r="DN57" s="1207" t="s">
        <v>2295</v>
      </c>
      <c r="DO57" s="1211" t="s">
        <v>2145</v>
      </c>
      <c r="DP57" s="1208" t="s">
        <v>2148</v>
      </c>
      <c r="DQ57" s="1816">
        <f t="shared" si="110"/>
        <v>0.33333333333333331</v>
      </c>
      <c r="DR57" s="1816">
        <f t="shared" si="110"/>
        <v>0.33333333333333331</v>
      </c>
      <c r="DS57" s="1816">
        <f>0.33/(0.33+0.33)</f>
        <v>0.5</v>
      </c>
      <c r="DT57" s="1816">
        <f>0.33/(0.33+0.33)</f>
        <v>0.5</v>
      </c>
      <c r="DU57" s="1816">
        <f t="shared" si="111"/>
        <v>0.33333333333333331</v>
      </c>
      <c r="DV57" s="1816">
        <f t="shared" si="111"/>
        <v>0.33333333333333331</v>
      </c>
      <c r="DW57" s="1816">
        <f t="shared" si="111"/>
        <v>0.33333333333333331</v>
      </c>
      <c r="DX57" s="1816">
        <f>0.33/(0.33+0.33)</f>
        <v>0.5</v>
      </c>
      <c r="DY57" s="1816">
        <f>0.33/(0.33+0.33)</f>
        <v>0.5</v>
      </c>
      <c r="DZ57" s="1241">
        <v>0.5</v>
      </c>
      <c r="EA57" s="1816">
        <f t="shared" si="112"/>
        <v>0.33333333333333331</v>
      </c>
      <c r="EB57" s="1816">
        <f t="shared" si="112"/>
        <v>0.33333333333333331</v>
      </c>
      <c r="EC57" s="1816">
        <f t="shared" si="112"/>
        <v>0.33333333333333331</v>
      </c>
      <c r="ED57" s="1470"/>
      <c r="EF57" s="1207" t="s">
        <v>3308</v>
      </c>
      <c r="EG57" s="1211" t="s">
        <v>2145</v>
      </c>
      <c r="EH57" s="1208" t="s">
        <v>2148</v>
      </c>
      <c r="EI57" s="1689">
        <f t="shared" si="107"/>
        <v>0.33333333333333331</v>
      </c>
      <c r="EJ57" s="1689">
        <f t="shared" si="107"/>
        <v>0.33333333333333331</v>
      </c>
      <c r="EK57" s="1689">
        <f t="shared" si="107"/>
        <v>0.5</v>
      </c>
      <c r="EL57" s="1689">
        <f t="shared" si="107"/>
        <v>0.5</v>
      </c>
      <c r="EM57" s="1690">
        <f t="shared" si="107"/>
        <v>0.33333333333333331</v>
      </c>
      <c r="EN57" s="1689">
        <f t="shared" si="107"/>
        <v>0.33333333333333331</v>
      </c>
      <c r="EO57" s="1689">
        <f t="shared" si="107"/>
        <v>0.33333333333333331</v>
      </c>
      <c r="EP57" s="1689">
        <f t="shared" si="107"/>
        <v>0.5</v>
      </c>
      <c r="EQ57" s="1689">
        <f t="shared" si="107"/>
        <v>0.5</v>
      </c>
      <c r="ER57" s="1689">
        <f t="shared" si="107"/>
        <v>0.5</v>
      </c>
      <c r="ES57" s="1691">
        <f t="shared" si="107"/>
        <v>0.33333333333333331</v>
      </c>
      <c r="ET57" s="1689">
        <f t="shared" si="107"/>
        <v>0.33333333333333331</v>
      </c>
      <c r="EU57" s="1689">
        <f t="shared" si="107"/>
        <v>0.33333333333333331</v>
      </c>
      <c r="EW57" s="1207" t="s">
        <v>2295</v>
      </c>
      <c r="EX57" s="1211" t="s">
        <v>2145</v>
      </c>
      <c r="EY57" s="1208" t="s">
        <v>2148</v>
      </c>
      <c r="EZ57" s="1678">
        <f t="shared" si="108"/>
        <v>0.33333333333333331</v>
      </c>
      <c r="FA57" s="1678"/>
      <c r="FB57" s="1678"/>
      <c r="FC57" s="1678"/>
      <c r="FD57" s="1794"/>
      <c r="FE57" s="1678"/>
      <c r="FF57" s="1678"/>
      <c r="FG57" s="1678"/>
      <c r="FH57" s="1678"/>
      <c r="FI57" s="1678"/>
      <c r="FJ57" s="1795"/>
      <c r="FK57" s="1678"/>
      <c r="FL57" s="1678"/>
    </row>
    <row r="58" spans="2:168" ht="14.25" hidden="1" thickBot="1">
      <c r="B58" s="2023" t="str">
        <f t="shared" si="101"/>
        <v>4.2.4</v>
      </c>
      <c r="C58" s="2239">
        <f t="shared" si="65"/>
        <v>0</v>
      </c>
      <c r="D58" s="2249" t="e">
        <f t="shared" si="109"/>
        <v>#REF!</v>
      </c>
      <c r="E58" s="2248" t="e">
        <f t="shared" si="109"/>
        <v>#REF!</v>
      </c>
      <c r="G58" s="2248" t="e">
        <f t="shared" si="67"/>
        <v>#REF!</v>
      </c>
      <c r="H58" s="2248" t="e">
        <f t="shared" si="68"/>
        <v>#REF!</v>
      </c>
      <c r="I58" s="2248"/>
      <c r="J58" s="2248"/>
      <c r="K58" s="2248" t="e">
        <f>IF(#REF!=0,0,1)</f>
        <v>#REF!</v>
      </c>
      <c r="L58" s="2248" t="e">
        <f>IF(#REF!=0,0,1)</f>
        <v>#REF!</v>
      </c>
      <c r="M58" s="2248">
        <f t="shared" si="69"/>
        <v>0</v>
      </c>
      <c r="N58" s="2248">
        <f t="shared" si="70"/>
        <v>0</v>
      </c>
      <c r="P58" s="2247"/>
      <c r="Q58" s="2246"/>
      <c r="R58" s="2245">
        <v>4</v>
      </c>
      <c r="S58" s="2244" t="s">
        <v>1972</v>
      </c>
      <c r="T58" s="2144"/>
      <c r="U58" s="2017"/>
      <c r="V58" s="2016">
        <f t="shared" si="104"/>
        <v>0</v>
      </c>
      <c r="W58" s="2015">
        <f t="shared" si="105"/>
        <v>0</v>
      </c>
      <c r="Y58" s="1">
        <f t="shared" si="88"/>
        <v>0</v>
      </c>
      <c r="Z58" s="1">
        <f t="shared" si="89"/>
        <v>0</v>
      </c>
      <c r="AA58" s="1">
        <f t="shared" si="90"/>
        <v>0</v>
      </c>
      <c r="AB58" s="1">
        <f t="shared" si="91"/>
        <v>0</v>
      </c>
      <c r="AC58" s="1">
        <f t="shared" si="92"/>
        <v>0</v>
      </c>
      <c r="AD58" s="1">
        <f t="shared" si="93"/>
        <v>0</v>
      </c>
      <c r="AE58" s="1">
        <f t="shared" si="94"/>
        <v>0</v>
      </c>
      <c r="AF58" s="1">
        <f t="shared" si="95"/>
        <v>0</v>
      </c>
      <c r="AG58" s="1">
        <f t="shared" si="96"/>
        <v>0</v>
      </c>
      <c r="AH58" s="1">
        <f t="shared" si="97"/>
        <v>0</v>
      </c>
      <c r="AI58" s="1">
        <f t="shared" si="98"/>
        <v>0</v>
      </c>
      <c r="AJ58" s="1">
        <f t="shared" si="99"/>
        <v>0</v>
      </c>
      <c r="AK58" s="1">
        <f t="shared" si="100"/>
        <v>0</v>
      </c>
      <c r="AM58" s="2143" t="s">
        <v>3284</v>
      </c>
      <c r="AN58" s="2143" t="s">
        <v>177</v>
      </c>
      <c r="AO58" s="2143" t="s">
        <v>177</v>
      </c>
      <c r="AP58" s="2143" t="s">
        <v>177</v>
      </c>
      <c r="AQ58" s="2143" t="s">
        <v>3284</v>
      </c>
      <c r="AR58" s="2143" t="s">
        <v>177</v>
      </c>
      <c r="AS58" s="2143" t="s">
        <v>177</v>
      </c>
      <c r="AT58" s="2143" t="s">
        <v>3284</v>
      </c>
      <c r="AU58" s="2143" t="s">
        <v>177</v>
      </c>
      <c r="AV58" s="2143" t="s">
        <v>3291</v>
      </c>
      <c r="AW58" s="2143" t="s">
        <v>177</v>
      </c>
      <c r="AX58" s="2143" t="s">
        <v>177</v>
      </c>
      <c r="AY58" s="2143" t="s">
        <v>177</v>
      </c>
      <c r="BA58" s="2243"/>
      <c r="BB58" s="2243" t="e">
        <f t="shared" si="71"/>
        <v>#REF!</v>
      </c>
      <c r="BC58" s="2243"/>
      <c r="BD58" s="2241" t="e">
        <f>BR58*#REF!</f>
        <v>#REF!</v>
      </c>
      <c r="BE58" s="2241" t="e">
        <f>BS58*#REF!</f>
        <v>#REF!</v>
      </c>
      <c r="BF58" s="2241" t="e">
        <f>BT58*#REF!</f>
        <v>#REF!</v>
      </c>
      <c r="BG58" s="2241" t="e">
        <f>BU58*#REF!</f>
        <v>#REF!</v>
      </c>
      <c r="BH58" s="2242" t="e">
        <f>BV58*#REF!</f>
        <v>#REF!</v>
      </c>
      <c r="BI58" s="2241" t="e">
        <f>BW58*#REF!</f>
        <v>#REF!</v>
      </c>
      <c r="BJ58" s="2241" t="e">
        <f>BX58*#REF!</f>
        <v>#REF!</v>
      </c>
      <c r="BK58" s="2241" t="e">
        <f>BY58*#REF!</f>
        <v>#REF!</v>
      </c>
      <c r="BL58" s="2241" t="e">
        <f>BZ58*#REF!</f>
        <v>#REF!</v>
      </c>
      <c r="BM58" s="2241" t="e">
        <f>CA58*#REF!</f>
        <v>#REF!</v>
      </c>
      <c r="BO58" s="2240" t="str">
        <f t="shared" si="72"/>
        <v>4.2.4</v>
      </c>
      <c r="BP58" s="2240" t="str">
        <f t="shared" si="73"/>
        <v xml:space="preserve"> Q1 4.2</v>
      </c>
      <c r="BQ58" s="2239">
        <f t="shared" si="74"/>
        <v>0</v>
      </c>
      <c r="BR58" s="2236">
        <f t="shared" si="75"/>
        <v>0</v>
      </c>
      <c r="BS58" s="2236">
        <f t="shared" si="76"/>
        <v>0</v>
      </c>
      <c r="BT58" s="2236">
        <f t="shared" si="77"/>
        <v>0</v>
      </c>
      <c r="BU58" s="2236">
        <f t="shared" si="78"/>
        <v>0</v>
      </c>
      <c r="BV58" s="2238">
        <f t="shared" si="79"/>
        <v>0</v>
      </c>
      <c r="BW58" s="2236">
        <f t="shared" si="80"/>
        <v>0</v>
      </c>
      <c r="BX58" s="2236">
        <f t="shared" si="81"/>
        <v>0</v>
      </c>
      <c r="BY58" s="2236">
        <f t="shared" si="82"/>
        <v>0</v>
      </c>
      <c r="BZ58" s="2236">
        <f t="shared" si="83"/>
        <v>0</v>
      </c>
      <c r="CA58" s="2236">
        <f t="shared" si="84"/>
        <v>0</v>
      </c>
      <c r="CB58" s="2237">
        <f t="shared" si="85"/>
        <v>0</v>
      </c>
      <c r="CC58" s="2236">
        <f t="shared" si="86"/>
        <v>0</v>
      </c>
      <c r="CD58" s="2236">
        <f t="shared" si="87"/>
        <v>0</v>
      </c>
      <c r="CF58" s="1207" t="s">
        <v>3305</v>
      </c>
      <c r="CG58" s="1211" t="s">
        <v>2145</v>
      </c>
      <c r="CH58" s="1208" t="s">
        <v>3307</v>
      </c>
      <c r="CI58" s="1236">
        <v>0.25</v>
      </c>
      <c r="CJ58" s="1236">
        <v>0.25</v>
      </c>
      <c r="CK58" s="1245">
        <v>0.33333333333333331</v>
      </c>
      <c r="CL58" s="1245">
        <v>0.33333333333333331</v>
      </c>
      <c r="CM58" s="1245">
        <v>0.33333333333333331</v>
      </c>
      <c r="CN58" s="1236">
        <v>0.25</v>
      </c>
      <c r="CO58" s="1213">
        <v>0.25</v>
      </c>
      <c r="CP58" s="1245">
        <v>0.33333333333333331</v>
      </c>
      <c r="CQ58" s="1245">
        <v>0.33333333333333331</v>
      </c>
      <c r="CR58" s="1236"/>
      <c r="CS58" s="1214">
        <v>0.25</v>
      </c>
      <c r="CT58" s="1213">
        <v>0.25</v>
      </c>
      <c r="CU58" s="1213">
        <v>0.33</v>
      </c>
      <c r="CW58" s="1207" t="s">
        <v>3306</v>
      </c>
      <c r="CX58" s="1211" t="s">
        <v>2145</v>
      </c>
      <c r="CY58" s="1208" t="s">
        <v>2297</v>
      </c>
      <c r="CZ58" s="1213"/>
      <c r="DA58" s="1213"/>
      <c r="DB58" s="1213"/>
      <c r="DC58" s="1213"/>
      <c r="DD58" s="1220"/>
      <c r="DE58" s="1213"/>
      <c r="DF58" s="1213"/>
      <c r="DG58" s="1213"/>
      <c r="DH58" s="1213"/>
      <c r="DI58" s="1213"/>
      <c r="DJ58" s="1214"/>
      <c r="DK58" s="1213"/>
      <c r="DL58" s="1213"/>
      <c r="DN58" s="1229" t="s">
        <v>3305</v>
      </c>
      <c r="DO58" s="1232" t="s">
        <v>2145</v>
      </c>
      <c r="DP58" s="1230"/>
      <c r="DQ58" s="1236"/>
      <c r="DR58" s="1236"/>
      <c r="DS58" s="1236"/>
      <c r="DT58" s="1236"/>
      <c r="DU58" s="1236"/>
      <c r="DV58" s="1236"/>
      <c r="DW58" s="1236"/>
      <c r="DX58" s="1236"/>
      <c r="DY58" s="1236"/>
      <c r="DZ58" s="1236"/>
      <c r="EA58" s="1238"/>
      <c r="EB58" s="1236"/>
      <c r="EC58" s="1236"/>
      <c r="ED58" s="1470"/>
      <c r="EF58" s="1229" t="s">
        <v>2296</v>
      </c>
      <c r="EG58" s="1232" t="s">
        <v>2145</v>
      </c>
      <c r="EH58" s="1230"/>
      <c r="EI58" s="1696"/>
      <c r="EJ58" s="1696"/>
      <c r="EK58" s="1696"/>
      <c r="EL58" s="1696"/>
      <c r="EM58" s="1696"/>
      <c r="EN58" s="1696"/>
      <c r="EO58" s="1696"/>
      <c r="EP58" s="1696"/>
      <c r="EQ58" s="1696"/>
      <c r="ER58" s="1696"/>
      <c r="ES58" s="1698"/>
      <c r="ET58" s="1696"/>
      <c r="EU58" s="1696"/>
      <c r="EW58" s="1229"/>
      <c r="EX58" s="1232"/>
      <c r="EY58" s="1230"/>
      <c r="EZ58" s="1799"/>
      <c r="FA58" s="1799"/>
      <c r="FB58" s="1799"/>
      <c r="FC58" s="1799"/>
      <c r="FD58" s="1799"/>
      <c r="FE58" s="1799"/>
      <c r="FF58" s="1799"/>
      <c r="FG58" s="1799"/>
      <c r="FH58" s="1799"/>
      <c r="FI58" s="1799"/>
      <c r="FJ58" s="1801"/>
      <c r="FK58" s="1799"/>
      <c r="FL58" s="1799"/>
    </row>
    <row r="59" spans="2:168" ht="14.25" thickBot="1">
      <c r="B59" s="2023">
        <f t="shared" si="101"/>
        <v>4.3</v>
      </c>
      <c r="C59" s="829" t="str">
        <f t="shared" si="65"/>
        <v>運用管理</v>
      </c>
      <c r="D59" s="2022" t="e">
        <f>IF(I$48=0,0,G59/I$48)</f>
        <v>#REF!</v>
      </c>
      <c r="E59" s="2021" t="e">
        <f>IF(J$48=0,0,H59/J$48)</f>
        <v>#REF!</v>
      </c>
      <c r="G59" s="2021" t="e">
        <f t="shared" si="67"/>
        <v>#REF!</v>
      </c>
      <c r="H59" s="2021" t="e">
        <f t="shared" si="68"/>
        <v>#REF!</v>
      </c>
      <c r="I59" s="2021" t="e">
        <f>G60+G61</f>
        <v>#REF!</v>
      </c>
      <c r="J59" s="2021" t="e">
        <f>H60+H61</f>
        <v>#REF!</v>
      </c>
      <c r="K59" s="2021" t="e">
        <f>IF(#REF!=0,0,1)</f>
        <v>#REF!</v>
      </c>
      <c r="L59" s="2021" t="e">
        <f>IF(#REF!=0,0,1)</f>
        <v>#REF!</v>
      </c>
      <c r="M59" s="2021">
        <f t="shared" si="69"/>
        <v>0.2</v>
      </c>
      <c r="N59" s="2021">
        <f t="shared" si="70"/>
        <v>0</v>
      </c>
      <c r="P59" s="2123"/>
      <c r="Q59" s="2035">
        <v>4.3</v>
      </c>
      <c r="R59" s="2129" t="s">
        <v>1973</v>
      </c>
      <c r="S59" s="2106"/>
      <c r="T59" s="2106"/>
      <c r="U59" s="2017"/>
      <c r="V59" s="2105">
        <f t="shared" si="104"/>
        <v>0</v>
      </c>
      <c r="W59" s="2104">
        <f t="shared" si="105"/>
        <v>0</v>
      </c>
      <c r="Y59" s="1">
        <f t="shared" si="88"/>
        <v>0</v>
      </c>
      <c r="Z59" s="1">
        <f t="shared" si="89"/>
        <v>0</v>
      </c>
      <c r="AA59" s="1">
        <f t="shared" si="90"/>
        <v>0</v>
      </c>
      <c r="AB59" s="1">
        <f t="shared" si="91"/>
        <v>0</v>
      </c>
      <c r="AC59" s="1">
        <f t="shared" si="92"/>
        <v>0</v>
      </c>
      <c r="AD59" s="1">
        <f t="shared" si="93"/>
        <v>0</v>
      </c>
      <c r="AE59" s="1">
        <f t="shared" si="94"/>
        <v>0</v>
      </c>
      <c r="AF59" s="1">
        <f t="shared" si="95"/>
        <v>0</v>
      </c>
      <c r="AG59" s="1">
        <f t="shared" si="96"/>
        <v>0</v>
      </c>
      <c r="AH59" s="1">
        <f t="shared" si="97"/>
        <v>0</v>
      </c>
      <c r="AI59" s="1">
        <f t="shared" si="98"/>
        <v>0</v>
      </c>
      <c r="AJ59" s="1">
        <f t="shared" si="99"/>
        <v>0</v>
      </c>
      <c r="AK59" s="1">
        <f t="shared" si="100"/>
        <v>0</v>
      </c>
      <c r="AM59" s="2103" t="s">
        <v>177</v>
      </c>
      <c r="AN59" s="2103" t="s">
        <v>177</v>
      </c>
      <c r="AO59" s="2103" t="s">
        <v>3284</v>
      </c>
      <c r="AP59" s="2103" t="s">
        <v>177</v>
      </c>
      <c r="AQ59" s="2103" t="s">
        <v>177</v>
      </c>
      <c r="AR59" s="2103" t="s">
        <v>3284</v>
      </c>
      <c r="AS59" s="2103" t="s">
        <v>177</v>
      </c>
      <c r="AT59" s="2103" t="s">
        <v>3291</v>
      </c>
      <c r="AU59" s="2103" t="s">
        <v>177</v>
      </c>
      <c r="AV59" s="2103" t="s">
        <v>177</v>
      </c>
      <c r="AW59" s="2103" t="s">
        <v>177</v>
      </c>
      <c r="AX59" s="2103" t="s">
        <v>3291</v>
      </c>
      <c r="AY59" s="2103" t="s">
        <v>3157</v>
      </c>
      <c r="BA59" s="2014"/>
      <c r="BB59" s="2014" t="e">
        <f t="shared" si="71"/>
        <v>#REF!</v>
      </c>
      <c r="BC59" s="2014"/>
      <c r="BD59" s="2013" t="e">
        <f>BR59*#REF!</f>
        <v>#REF!</v>
      </c>
      <c r="BE59" s="2013" t="e">
        <f>BS59*#REF!</f>
        <v>#REF!</v>
      </c>
      <c r="BF59" s="2013" t="e">
        <f>BT59*#REF!</f>
        <v>#REF!</v>
      </c>
      <c r="BG59" s="2013" t="e">
        <f>BU59*#REF!</f>
        <v>#REF!</v>
      </c>
      <c r="BH59" s="2094" t="e">
        <f>BV59*#REF!</f>
        <v>#REF!</v>
      </c>
      <c r="BI59" s="2013" t="e">
        <f>BW59*#REF!</f>
        <v>#REF!</v>
      </c>
      <c r="BJ59" s="2013" t="e">
        <f>BX59*#REF!</f>
        <v>#REF!</v>
      </c>
      <c r="BK59" s="2013" t="e">
        <f>BY59*#REF!</f>
        <v>#REF!</v>
      </c>
      <c r="BL59" s="2013" t="e">
        <f>BZ59*#REF!</f>
        <v>#REF!</v>
      </c>
      <c r="BM59" s="2013" t="e">
        <f>CA59*#REF!</f>
        <v>#REF!</v>
      </c>
      <c r="BO59" s="2040">
        <f t="shared" si="72"/>
        <v>4.3</v>
      </c>
      <c r="BP59" s="2040" t="str">
        <f t="shared" si="73"/>
        <v xml:space="preserve"> Q1 4</v>
      </c>
      <c r="BQ59" s="829" t="str">
        <f t="shared" si="74"/>
        <v>運用管理</v>
      </c>
      <c r="BR59" s="2010">
        <f t="shared" si="75"/>
        <v>0.2</v>
      </c>
      <c r="BS59" s="2010">
        <f t="shared" si="76"/>
        <v>0.2</v>
      </c>
      <c r="BT59" s="2010">
        <f t="shared" si="77"/>
        <v>0.2</v>
      </c>
      <c r="BU59" s="2010">
        <f t="shared" si="78"/>
        <v>0.2</v>
      </c>
      <c r="BV59" s="2093">
        <f t="shared" si="79"/>
        <v>0.2</v>
      </c>
      <c r="BW59" s="2010">
        <f t="shared" si="80"/>
        <v>0.2</v>
      </c>
      <c r="BX59" s="2010">
        <f t="shared" si="81"/>
        <v>0.2</v>
      </c>
      <c r="BY59" s="2010">
        <f t="shared" si="82"/>
        <v>0.2</v>
      </c>
      <c r="BZ59" s="2010">
        <f t="shared" si="83"/>
        <v>0.2</v>
      </c>
      <c r="CA59" s="2010">
        <f t="shared" si="84"/>
        <v>0</v>
      </c>
      <c r="CB59" s="2039">
        <f t="shared" si="85"/>
        <v>0</v>
      </c>
      <c r="CC59" s="2010">
        <f t="shared" si="86"/>
        <v>0</v>
      </c>
      <c r="CD59" s="2010">
        <f t="shared" si="87"/>
        <v>0</v>
      </c>
      <c r="CF59" s="1207">
        <v>4.3</v>
      </c>
      <c r="CG59" s="1211" t="s">
        <v>2140</v>
      </c>
      <c r="CH59" s="1208" t="s">
        <v>1973</v>
      </c>
      <c r="CI59" s="1241">
        <v>0.2</v>
      </c>
      <c r="CJ59" s="1241">
        <v>0.2</v>
      </c>
      <c r="CK59" s="1241">
        <v>0.2</v>
      </c>
      <c r="CL59" s="1241">
        <v>0.2</v>
      </c>
      <c r="CM59" s="1242">
        <v>0.2</v>
      </c>
      <c r="CN59" s="1241">
        <v>0.2</v>
      </c>
      <c r="CO59" s="1213">
        <v>0.2</v>
      </c>
      <c r="CP59" s="1241">
        <v>0.2</v>
      </c>
      <c r="CQ59" s="1241">
        <v>0.2</v>
      </c>
      <c r="CR59" s="1241"/>
      <c r="CS59" s="1214"/>
      <c r="CT59" s="1213"/>
      <c r="CU59" s="1213"/>
      <c r="CW59" s="1207">
        <v>4.3</v>
      </c>
      <c r="CX59" s="1211" t="s">
        <v>2140</v>
      </c>
      <c r="CY59" s="1208" t="s">
        <v>1973</v>
      </c>
      <c r="CZ59" s="1213">
        <v>0.2</v>
      </c>
      <c r="DA59" s="1213">
        <v>0.2</v>
      </c>
      <c r="DB59" s="1213">
        <v>0.2</v>
      </c>
      <c r="DC59" s="1213">
        <v>0.2</v>
      </c>
      <c r="DD59" s="1220">
        <v>0.2</v>
      </c>
      <c r="DE59" s="1213">
        <v>0.2</v>
      </c>
      <c r="DF59" s="1213">
        <v>0.2</v>
      </c>
      <c r="DG59" s="1213">
        <v>0.2</v>
      </c>
      <c r="DH59" s="1213">
        <v>0.2</v>
      </c>
      <c r="DI59" s="1213"/>
      <c r="DJ59" s="1214"/>
      <c r="DK59" s="1213"/>
      <c r="DL59" s="1213"/>
      <c r="DN59" s="1207">
        <v>4.3</v>
      </c>
      <c r="DO59" s="1211" t="s">
        <v>2140</v>
      </c>
      <c r="DP59" s="1208" t="s">
        <v>1973</v>
      </c>
      <c r="DQ59" s="1241">
        <v>0.2</v>
      </c>
      <c r="DR59" s="1241">
        <v>0.2</v>
      </c>
      <c r="DS59" s="1241">
        <v>0.2</v>
      </c>
      <c r="DT59" s="1241">
        <v>0.2</v>
      </c>
      <c r="DU59" s="1576">
        <v>0.2</v>
      </c>
      <c r="DV59" s="1241">
        <v>0.2</v>
      </c>
      <c r="DW59" s="1241">
        <v>0.2</v>
      </c>
      <c r="DX59" s="1241">
        <v>0.2</v>
      </c>
      <c r="DY59" s="1241">
        <v>0.2</v>
      </c>
      <c r="DZ59" s="1241"/>
      <c r="EA59" s="1243"/>
      <c r="EB59" s="1241"/>
      <c r="EC59" s="1241"/>
      <c r="ED59" s="1470"/>
      <c r="EF59" s="1207">
        <v>4.3</v>
      </c>
      <c r="EG59" s="1211" t="s">
        <v>2140</v>
      </c>
      <c r="EH59" s="1208" t="s">
        <v>1973</v>
      </c>
      <c r="EI59" s="1689">
        <f t="shared" ref="EI59:EU61" si="113">DQ59</f>
        <v>0.2</v>
      </c>
      <c r="EJ59" s="1689">
        <f t="shared" si="113"/>
        <v>0.2</v>
      </c>
      <c r="EK59" s="1689">
        <f t="shared" si="113"/>
        <v>0.2</v>
      </c>
      <c r="EL59" s="1689">
        <f t="shared" si="113"/>
        <v>0.2</v>
      </c>
      <c r="EM59" s="1692">
        <f t="shared" si="113"/>
        <v>0.2</v>
      </c>
      <c r="EN59" s="1689">
        <f t="shared" si="113"/>
        <v>0.2</v>
      </c>
      <c r="EO59" s="1689">
        <f t="shared" si="113"/>
        <v>0.2</v>
      </c>
      <c r="EP59" s="1689">
        <f t="shared" si="113"/>
        <v>0.2</v>
      </c>
      <c r="EQ59" s="1689">
        <f t="shared" si="113"/>
        <v>0.2</v>
      </c>
      <c r="ER59" s="1689">
        <f t="shared" si="113"/>
        <v>0</v>
      </c>
      <c r="ES59" s="1691">
        <f t="shared" si="113"/>
        <v>0</v>
      </c>
      <c r="ET59" s="1689">
        <f t="shared" si="113"/>
        <v>0</v>
      </c>
      <c r="EU59" s="1689">
        <f t="shared" si="113"/>
        <v>0</v>
      </c>
      <c r="EW59" s="1207">
        <v>4.3</v>
      </c>
      <c r="EX59" s="1211" t="s">
        <v>2140</v>
      </c>
      <c r="EY59" s="1208" t="s">
        <v>1973</v>
      </c>
      <c r="EZ59" s="1678">
        <f>DQ59</f>
        <v>0.2</v>
      </c>
      <c r="FA59" s="1678"/>
      <c r="FB59" s="1678"/>
      <c r="FC59" s="1678"/>
      <c r="FD59" s="1802"/>
      <c r="FE59" s="1678"/>
      <c r="FF59" s="1678"/>
      <c r="FG59" s="1678"/>
      <c r="FH59" s="1678"/>
      <c r="FI59" s="1678"/>
      <c r="FJ59" s="1795"/>
      <c r="FK59" s="1678"/>
      <c r="FL59" s="1678"/>
    </row>
    <row r="60" spans="2:168">
      <c r="B60" s="2023" t="str">
        <f t="shared" si="101"/>
        <v>4.3.1</v>
      </c>
      <c r="C60" s="829" t="str">
        <f t="shared" si="65"/>
        <v>CO2の監視</v>
      </c>
      <c r="D60" s="2100" t="e">
        <f>IF(I$59&gt;0,G60/I$59,0)</f>
        <v>#REF!</v>
      </c>
      <c r="E60" s="2021" t="e">
        <f>IF(J$59&gt;0,H60/J$59,0)</f>
        <v>#REF!</v>
      </c>
      <c r="G60" s="2021" t="e">
        <f t="shared" si="67"/>
        <v>#REF!</v>
      </c>
      <c r="H60" s="2021" t="e">
        <f t="shared" si="68"/>
        <v>#REF!</v>
      </c>
      <c r="I60" s="2021"/>
      <c r="J60" s="2021"/>
      <c r="K60" s="2021" t="e">
        <f>IF(#REF!=0,0,1)</f>
        <v>#REF!</v>
      </c>
      <c r="L60" s="2021" t="e">
        <f>IF(#REF!=0,0,1)</f>
        <v>#REF!</v>
      </c>
      <c r="M60" s="2021">
        <f t="shared" si="69"/>
        <v>0.5</v>
      </c>
      <c r="N60" s="2021">
        <f t="shared" si="70"/>
        <v>0</v>
      </c>
      <c r="P60" s="2123"/>
      <c r="Q60" s="2101"/>
      <c r="R60" s="993">
        <v>1</v>
      </c>
      <c r="S60" s="1655" t="s">
        <v>1974</v>
      </c>
      <c r="T60" s="2036"/>
      <c r="U60" s="2017"/>
      <c r="V60" s="2025">
        <f t="shared" si="104"/>
        <v>0</v>
      </c>
      <c r="W60" s="2024">
        <f t="shared" si="105"/>
        <v>0</v>
      </c>
      <c r="Y60" s="1">
        <f t="shared" si="88"/>
        <v>0</v>
      </c>
      <c r="Z60" s="1">
        <f t="shared" si="89"/>
        <v>0</v>
      </c>
      <c r="AA60" s="1">
        <f t="shared" si="90"/>
        <v>0</v>
      </c>
      <c r="AB60" s="1">
        <f t="shared" si="91"/>
        <v>0</v>
      </c>
      <c r="AC60" s="1">
        <f t="shared" si="92"/>
        <v>0</v>
      </c>
      <c r="AD60" s="1">
        <f t="shared" si="93"/>
        <v>0</v>
      </c>
      <c r="AE60" s="1">
        <f t="shared" si="94"/>
        <v>0</v>
      </c>
      <c r="AF60" s="1">
        <f t="shared" si="95"/>
        <v>0</v>
      </c>
      <c r="AG60" s="1">
        <f t="shared" si="96"/>
        <v>0</v>
      </c>
      <c r="AH60" s="1">
        <f t="shared" si="97"/>
        <v>0</v>
      </c>
      <c r="AI60" s="1">
        <f t="shared" si="98"/>
        <v>0</v>
      </c>
      <c r="AJ60" s="1">
        <f t="shared" si="99"/>
        <v>0</v>
      </c>
      <c r="AK60" s="1">
        <f t="shared" si="100"/>
        <v>0</v>
      </c>
      <c r="AM60" s="1827"/>
      <c r="AN60" s="1827"/>
      <c r="AO60" s="1827"/>
      <c r="AP60" s="1827"/>
      <c r="AQ60" s="1827"/>
      <c r="AR60" s="1827"/>
      <c r="AS60" s="1827"/>
      <c r="AT60" s="1827"/>
      <c r="AU60" s="1827"/>
      <c r="AV60" s="1827"/>
      <c r="AW60" s="1827"/>
      <c r="AX60" s="1827"/>
      <c r="AY60" s="1827"/>
      <c r="BA60" s="2014"/>
      <c r="BB60" s="2014" t="e">
        <f t="shared" si="71"/>
        <v>#REF!</v>
      </c>
      <c r="BC60" s="2014"/>
      <c r="BD60" s="2013" t="e">
        <f>BR60*#REF!</f>
        <v>#REF!</v>
      </c>
      <c r="BE60" s="2013" t="e">
        <f>BS60*#REF!</f>
        <v>#REF!</v>
      </c>
      <c r="BF60" s="2013" t="e">
        <f>BT60*#REF!</f>
        <v>#REF!</v>
      </c>
      <c r="BG60" s="2013" t="e">
        <f>BU60*#REF!</f>
        <v>#REF!</v>
      </c>
      <c r="BH60" s="2094" t="e">
        <f>BV60*#REF!</f>
        <v>#REF!</v>
      </c>
      <c r="BI60" s="2013" t="e">
        <f>BW60*#REF!</f>
        <v>#REF!</v>
      </c>
      <c r="BJ60" s="2013" t="e">
        <f>BX60*#REF!</f>
        <v>#REF!</v>
      </c>
      <c r="BK60" s="2013" t="e">
        <f>BY60*#REF!</f>
        <v>#REF!</v>
      </c>
      <c r="BL60" s="2013" t="e">
        <f>BZ60*#REF!</f>
        <v>#REF!</v>
      </c>
      <c r="BM60" s="2013" t="e">
        <f>CA60*#REF!</f>
        <v>#REF!</v>
      </c>
      <c r="BO60" s="2040" t="str">
        <f t="shared" si="72"/>
        <v>4.3.1</v>
      </c>
      <c r="BP60" s="2040" t="str">
        <f t="shared" si="73"/>
        <v xml:space="preserve"> Q1 4.3</v>
      </c>
      <c r="BQ60" s="829" t="str">
        <f t="shared" si="74"/>
        <v>CO2の監視</v>
      </c>
      <c r="BR60" s="2010">
        <f t="shared" si="75"/>
        <v>0.5</v>
      </c>
      <c r="BS60" s="2010">
        <f t="shared" si="76"/>
        <v>0.5</v>
      </c>
      <c r="BT60" s="2010">
        <f t="shared" si="77"/>
        <v>0.5</v>
      </c>
      <c r="BU60" s="2010">
        <f t="shared" si="78"/>
        <v>0.5</v>
      </c>
      <c r="BV60" s="2093">
        <f t="shared" si="79"/>
        <v>0.5</v>
      </c>
      <c r="BW60" s="2010">
        <f t="shared" si="80"/>
        <v>0.5</v>
      </c>
      <c r="BX60" s="2010">
        <f t="shared" si="81"/>
        <v>0.5</v>
      </c>
      <c r="BY60" s="2010">
        <f t="shared" si="82"/>
        <v>0</v>
      </c>
      <c r="BZ60" s="2010">
        <f t="shared" si="83"/>
        <v>0</v>
      </c>
      <c r="CA60" s="2010">
        <f t="shared" si="84"/>
        <v>0</v>
      </c>
      <c r="CB60" s="2039">
        <f t="shared" si="85"/>
        <v>0</v>
      </c>
      <c r="CC60" s="2010">
        <f t="shared" si="86"/>
        <v>0</v>
      </c>
      <c r="CD60" s="2010">
        <f t="shared" si="87"/>
        <v>0</v>
      </c>
      <c r="CF60" s="1207" t="s">
        <v>2298</v>
      </c>
      <c r="CG60" s="1211" t="s">
        <v>2149</v>
      </c>
      <c r="CH60" s="1208" t="s">
        <v>2299</v>
      </c>
      <c r="CI60" s="1241">
        <v>0.5</v>
      </c>
      <c r="CJ60" s="1241">
        <v>0.5</v>
      </c>
      <c r="CK60" s="1241">
        <v>0.5</v>
      </c>
      <c r="CL60" s="1241">
        <v>0.5</v>
      </c>
      <c r="CM60" s="1242">
        <v>0.5</v>
      </c>
      <c r="CN60" s="1241">
        <v>0.5</v>
      </c>
      <c r="CO60" s="1213">
        <v>0.5</v>
      </c>
      <c r="CP60" s="1241"/>
      <c r="CQ60" s="1241"/>
      <c r="CR60" s="1241"/>
      <c r="CS60" s="1214"/>
      <c r="CT60" s="1213"/>
      <c r="CU60" s="1213"/>
      <c r="CW60" s="1207" t="s">
        <v>2298</v>
      </c>
      <c r="CX60" s="1211" t="s">
        <v>2149</v>
      </c>
      <c r="CY60" s="1208" t="s">
        <v>2299</v>
      </c>
      <c r="CZ60" s="1213">
        <v>0.5</v>
      </c>
      <c r="DA60" s="1213">
        <v>0.5</v>
      </c>
      <c r="DB60" s="1213">
        <v>0.5</v>
      </c>
      <c r="DC60" s="1213">
        <v>0.5</v>
      </c>
      <c r="DD60" s="1220">
        <v>0.5</v>
      </c>
      <c r="DE60" s="1213">
        <v>0.5</v>
      </c>
      <c r="DF60" s="1213">
        <v>0.5</v>
      </c>
      <c r="DG60" s="1213"/>
      <c r="DH60" s="1213"/>
      <c r="DI60" s="1213"/>
      <c r="DJ60" s="1214"/>
      <c r="DK60" s="1213"/>
      <c r="DL60" s="1213"/>
      <c r="DN60" s="1207" t="s">
        <v>3304</v>
      </c>
      <c r="DO60" s="1211" t="s">
        <v>2149</v>
      </c>
      <c r="DP60" s="1208" t="s">
        <v>3301</v>
      </c>
      <c r="DQ60" s="1241">
        <v>0.5</v>
      </c>
      <c r="DR60" s="1241">
        <v>0.5</v>
      </c>
      <c r="DS60" s="1241">
        <v>0.5</v>
      </c>
      <c r="DT60" s="1241">
        <v>0.5</v>
      </c>
      <c r="DU60" s="1576">
        <v>0.5</v>
      </c>
      <c r="DV60" s="1241">
        <v>0.5</v>
      </c>
      <c r="DW60" s="1241">
        <v>0.5</v>
      </c>
      <c r="DX60" s="1241"/>
      <c r="DY60" s="1241"/>
      <c r="DZ60" s="1241"/>
      <c r="EA60" s="1243"/>
      <c r="EB60" s="1241"/>
      <c r="EC60" s="1241"/>
      <c r="ED60" s="1470"/>
      <c r="EF60" s="1207" t="s">
        <v>3303</v>
      </c>
      <c r="EG60" s="1211" t="s">
        <v>2149</v>
      </c>
      <c r="EH60" s="1208" t="s">
        <v>3302</v>
      </c>
      <c r="EI60" s="1689">
        <f t="shared" si="113"/>
        <v>0.5</v>
      </c>
      <c r="EJ60" s="1689">
        <f t="shared" si="113"/>
        <v>0.5</v>
      </c>
      <c r="EK60" s="1689">
        <f t="shared" si="113"/>
        <v>0.5</v>
      </c>
      <c r="EL60" s="1689">
        <f t="shared" si="113"/>
        <v>0.5</v>
      </c>
      <c r="EM60" s="1692">
        <f t="shared" si="113"/>
        <v>0.5</v>
      </c>
      <c r="EN60" s="1689">
        <f t="shared" si="113"/>
        <v>0.5</v>
      </c>
      <c r="EO60" s="1689">
        <f t="shared" si="113"/>
        <v>0.5</v>
      </c>
      <c r="EP60" s="1689">
        <f t="shared" si="113"/>
        <v>0</v>
      </c>
      <c r="EQ60" s="1689">
        <f t="shared" si="113"/>
        <v>0</v>
      </c>
      <c r="ER60" s="1689">
        <f t="shared" si="113"/>
        <v>0</v>
      </c>
      <c r="ES60" s="1691">
        <f t="shared" si="113"/>
        <v>0</v>
      </c>
      <c r="ET60" s="1689">
        <f t="shared" si="113"/>
        <v>0</v>
      </c>
      <c r="EU60" s="1689">
        <f t="shared" si="113"/>
        <v>0</v>
      </c>
      <c r="EW60" s="1207" t="s">
        <v>2298</v>
      </c>
      <c r="EX60" s="1211" t="s">
        <v>2149</v>
      </c>
      <c r="EY60" s="1208" t="s">
        <v>3301</v>
      </c>
      <c r="EZ60" s="1678">
        <f>DQ60</f>
        <v>0.5</v>
      </c>
      <c r="FA60" s="1678"/>
      <c r="FB60" s="1678"/>
      <c r="FC60" s="1678"/>
      <c r="FD60" s="1802"/>
      <c r="FE60" s="1678"/>
      <c r="FF60" s="1678"/>
      <c r="FG60" s="1678"/>
      <c r="FH60" s="1678"/>
      <c r="FI60" s="1678"/>
      <c r="FJ60" s="1795"/>
      <c r="FK60" s="1678"/>
      <c r="FL60" s="1678"/>
    </row>
    <row r="61" spans="2:168" ht="14.25" thickBot="1">
      <c r="B61" s="2023" t="str">
        <f t="shared" si="101"/>
        <v>4.3.2</v>
      </c>
      <c r="C61" s="829" t="str">
        <f t="shared" si="65"/>
        <v>喫煙の制御</v>
      </c>
      <c r="D61" s="2100" t="e">
        <f>IF(I$59&gt;0,G61/I$59,0)</f>
        <v>#REF!</v>
      </c>
      <c r="E61" s="2021" t="e">
        <f>IF(J$59&gt;0,H61/J$59,0)</f>
        <v>#REF!</v>
      </c>
      <c r="G61" s="2021" t="e">
        <f t="shared" si="67"/>
        <v>#REF!</v>
      </c>
      <c r="H61" s="2021" t="e">
        <f t="shared" si="68"/>
        <v>#REF!</v>
      </c>
      <c r="I61" s="2021"/>
      <c r="J61" s="2021"/>
      <c r="K61" s="2021" t="e">
        <f>IF(#REF!=0,0,1)</f>
        <v>#REF!</v>
      </c>
      <c r="L61" s="2021" t="e">
        <f>IF(#REF!=0,0,1)</f>
        <v>#REF!</v>
      </c>
      <c r="M61" s="2021">
        <f t="shared" si="69"/>
        <v>0.5</v>
      </c>
      <c r="N61" s="2021">
        <f t="shared" si="70"/>
        <v>0</v>
      </c>
      <c r="P61" s="2123"/>
      <c r="Q61" s="2101"/>
      <c r="R61" s="2018">
        <v>2</v>
      </c>
      <c r="S61" s="2107" t="s">
        <v>1975</v>
      </c>
      <c r="T61" s="2106"/>
      <c r="U61" s="2017"/>
      <c r="V61" s="2016">
        <f t="shared" si="104"/>
        <v>0</v>
      </c>
      <c r="W61" s="2015">
        <f t="shared" si="105"/>
        <v>0</v>
      </c>
      <c r="Y61" s="1">
        <f t="shared" si="88"/>
        <v>0</v>
      </c>
      <c r="Z61" s="1">
        <f t="shared" si="89"/>
        <v>0</v>
      </c>
      <c r="AA61" s="1">
        <f t="shared" si="90"/>
        <v>0</v>
      </c>
      <c r="AB61" s="1">
        <f t="shared" si="91"/>
        <v>0</v>
      </c>
      <c r="AC61" s="1">
        <f t="shared" si="92"/>
        <v>0</v>
      </c>
      <c r="AD61" s="1">
        <f t="shared" si="93"/>
        <v>0</v>
      </c>
      <c r="AE61" s="1">
        <f t="shared" si="94"/>
        <v>0</v>
      </c>
      <c r="AF61" s="1">
        <f t="shared" si="95"/>
        <v>0</v>
      </c>
      <c r="AG61" s="1">
        <f t="shared" si="96"/>
        <v>0</v>
      </c>
      <c r="AH61" s="1">
        <f t="shared" si="97"/>
        <v>0</v>
      </c>
      <c r="AI61" s="1">
        <f t="shared" si="98"/>
        <v>0</v>
      </c>
      <c r="AJ61" s="1">
        <f t="shared" si="99"/>
        <v>0</v>
      </c>
      <c r="AK61" s="1">
        <f t="shared" si="100"/>
        <v>0</v>
      </c>
      <c r="AM61" s="1828"/>
      <c r="AN61" s="1828"/>
      <c r="AO61" s="1828"/>
      <c r="AP61" s="1828"/>
      <c r="AQ61" s="1828"/>
      <c r="AR61" s="1828"/>
      <c r="AS61" s="1828"/>
      <c r="AT61" s="1828"/>
      <c r="AU61" s="1828"/>
      <c r="AV61" s="1828"/>
      <c r="AW61" s="1828"/>
      <c r="AX61" s="1828"/>
      <c r="AY61" s="1828"/>
      <c r="BA61" s="2014"/>
      <c r="BB61" s="2014" t="e">
        <f t="shared" si="71"/>
        <v>#REF!</v>
      </c>
      <c r="BC61" s="2014"/>
      <c r="BD61" s="2013" t="e">
        <f>BR61*#REF!</f>
        <v>#REF!</v>
      </c>
      <c r="BE61" s="2013" t="e">
        <f>BS61*#REF!</f>
        <v>#REF!</v>
      </c>
      <c r="BF61" s="2013" t="e">
        <f>BT61*#REF!</f>
        <v>#REF!</v>
      </c>
      <c r="BG61" s="2013" t="e">
        <f>BU61*#REF!</f>
        <v>#REF!</v>
      </c>
      <c r="BH61" s="2094" t="e">
        <f>BV61*#REF!</f>
        <v>#REF!</v>
      </c>
      <c r="BI61" s="2013" t="e">
        <f>BW61*#REF!</f>
        <v>#REF!</v>
      </c>
      <c r="BJ61" s="2013" t="e">
        <f>BX61*#REF!</f>
        <v>#REF!</v>
      </c>
      <c r="BK61" s="2013" t="e">
        <f>BY61*#REF!</f>
        <v>#REF!</v>
      </c>
      <c r="BL61" s="2013" t="e">
        <f>BZ61*#REF!</f>
        <v>#REF!</v>
      </c>
      <c r="BM61" s="2013" t="e">
        <f>CA61*#REF!</f>
        <v>#REF!</v>
      </c>
      <c r="BO61" s="2040" t="str">
        <f t="shared" si="72"/>
        <v>4.3.2</v>
      </c>
      <c r="BP61" s="2040" t="str">
        <f t="shared" si="73"/>
        <v xml:space="preserve"> Q1 4.3</v>
      </c>
      <c r="BQ61" s="829" t="str">
        <f t="shared" si="74"/>
        <v>喫煙の制御</v>
      </c>
      <c r="BR61" s="2010">
        <f t="shared" si="75"/>
        <v>0.5</v>
      </c>
      <c r="BS61" s="2010">
        <f t="shared" si="76"/>
        <v>0.5</v>
      </c>
      <c r="BT61" s="2010">
        <f t="shared" si="77"/>
        <v>0.5</v>
      </c>
      <c r="BU61" s="2010">
        <f t="shared" si="78"/>
        <v>0.5</v>
      </c>
      <c r="BV61" s="2093">
        <f t="shared" si="79"/>
        <v>0.5</v>
      </c>
      <c r="BW61" s="2010">
        <f t="shared" si="80"/>
        <v>0.5</v>
      </c>
      <c r="BX61" s="2010">
        <f t="shared" si="81"/>
        <v>0.5</v>
      </c>
      <c r="BY61" s="2010">
        <f t="shared" si="82"/>
        <v>1</v>
      </c>
      <c r="BZ61" s="2010">
        <f t="shared" si="83"/>
        <v>1</v>
      </c>
      <c r="CA61" s="2010">
        <f t="shared" si="84"/>
        <v>0</v>
      </c>
      <c r="CB61" s="2039">
        <f t="shared" si="85"/>
        <v>0</v>
      </c>
      <c r="CC61" s="2010">
        <f t="shared" si="86"/>
        <v>0</v>
      </c>
      <c r="CD61" s="2010">
        <f t="shared" si="87"/>
        <v>0</v>
      </c>
      <c r="CF61" s="1207" t="s">
        <v>2300</v>
      </c>
      <c r="CG61" s="1211" t="s">
        <v>2149</v>
      </c>
      <c r="CH61" s="1208" t="s">
        <v>2301</v>
      </c>
      <c r="CI61" s="1241">
        <v>0.5</v>
      </c>
      <c r="CJ61" s="1241">
        <v>0.5</v>
      </c>
      <c r="CK61" s="1241">
        <v>0.5</v>
      </c>
      <c r="CL61" s="1241">
        <v>0.5</v>
      </c>
      <c r="CM61" s="1242">
        <v>0.5</v>
      </c>
      <c r="CN61" s="1241">
        <v>0.5</v>
      </c>
      <c r="CO61" s="1213">
        <v>0.5</v>
      </c>
      <c r="CP61" s="1241">
        <v>1</v>
      </c>
      <c r="CQ61" s="1241">
        <v>1</v>
      </c>
      <c r="CR61" s="1241"/>
      <c r="CS61" s="1214"/>
      <c r="CT61" s="1213"/>
      <c r="CU61" s="1213"/>
      <c r="CW61" s="1207" t="s">
        <v>2300</v>
      </c>
      <c r="CX61" s="1211" t="s">
        <v>2149</v>
      </c>
      <c r="CY61" s="1208" t="s">
        <v>2301</v>
      </c>
      <c r="CZ61" s="1213">
        <v>0.5</v>
      </c>
      <c r="DA61" s="1213">
        <v>0.5</v>
      </c>
      <c r="DB61" s="1213">
        <v>0.5</v>
      </c>
      <c r="DC61" s="1213">
        <v>0.5</v>
      </c>
      <c r="DD61" s="1220">
        <v>0.5</v>
      </c>
      <c r="DE61" s="1213">
        <v>0.5</v>
      </c>
      <c r="DF61" s="1213">
        <v>0.5</v>
      </c>
      <c r="DG61" s="1213">
        <v>1</v>
      </c>
      <c r="DH61" s="1213">
        <v>1</v>
      </c>
      <c r="DI61" s="1213"/>
      <c r="DJ61" s="1214"/>
      <c r="DK61" s="1213"/>
      <c r="DL61" s="1213"/>
      <c r="DN61" s="1207" t="s">
        <v>3300</v>
      </c>
      <c r="DO61" s="1211" t="s">
        <v>2149</v>
      </c>
      <c r="DP61" s="1208" t="s">
        <v>2301</v>
      </c>
      <c r="DQ61" s="1241">
        <v>0.5</v>
      </c>
      <c r="DR61" s="1241">
        <v>0.5</v>
      </c>
      <c r="DS61" s="1241">
        <v>0.5</v>
      </c>
      <c r="DT61" s="1241">
        <v>0.5</v>
      </c>
      <c r="DU61" s="1576">
        <v>0.5</v>
      </c>
      <c r="DV61" s="1241">
        <v>0.5</v>
      </c>
      <c r="DW61" s="1241">
        <v>0.5</v>
      </c>
      <c r="DX61" s="1241">
        <v>1</v>
      </c>
      <c r="DY61" s="1241">
        <v>1</v>
      </c>
      <c r="DZ61" s="1241"/>
      <c r="EA61" s="1243"/>
      <c r="EB61" s="1241"/>
      <c r="EC61" s="1241"/>
      <c r="ED61" s="1470"/>
      <c r="EF61" s="1207" t="s">
        <v>2300</v>
      </c>
      <c r="EG61" s="1211" t="s">
        <v>2149</v>
      </c>
      <c r="EH61" s="1208" t="s">
        <v>2301</v>
      </c>
      <c r="EI61" s="1689">
        <f t="shared" si="113"/>
        <v>0.5</v>
      </c>
      <c r="EJ61" s="1689">
        <f t="shared" si="113"/>
        <v>0.5</v>
      </c>
      <c r="EK61" s="1689">
        <f t="shared" si="113"/>
        <v>0.5</v>
      </c>
      <c r="EL61" s="1689">
        <f t="shared" si="113"/>
        <v>0.5</v>
      </c>
      <c r="EM61" s="1692">
        <f t="shared" si="113"/>
        <v>0.5</v>
      </c>
      <c r="EN61" s="1689">
        <f t="shared" si="113"/>
        <v>0.5</v>
      </c>
      <c r="EO61" s="1689">
        <f t="shared" si="113"/>
        <v>0.5</v>
      </c>
      <c r="EP61" s="1689">
        <f t="shared" si="113"/>
        <v>1</v>
      </c>
      <c r="EQ61" s="1689">
        <f t="shared" si="113"/>
        <v>1</v>
      </c>
      <c r="ER61" s="1689">
        <f t="shared" si="113"/>
        <v>0</v>
      </c>
      <c r="ES61" s="1691">
        <f t="shared" si="113"/>
        <v>0</v>
      </c>
      <c r="ET61" s="1689">
        <f t="shared" si="113"/>
        <v>0</v>
      </c>
      <c r="EU61" s="1689">
        <f t="shared" si="113"/>
        <v>0</v>
      </c>
      <c r="EW61" s="1207" t="s">
        <v>3299</v>
      </c>
      <c r="EX61" s="1211" t="s">
        <v>2149</v>
      </c>
      <c r="EY61" s="1208" t="s">
        <v>3298</v>
      </c>
      <c r="EZ61" s="1678">
        <f>DQ61</f>
        <v>0.5</v>
      </c>
      <c r="FA61" s="1678"/>
      <c r="FB61" s="1678"/>
      <c r="FC61" s="1678"/>
      <c r="FD61" s="1802"/>
      <c r="FE61" s="1678"/>
      <c r="FF61" s="1678"/>
      <c r="FG61" s="1678"/>
      <c r="FH61" s="1678"/>
      <c r="FI61" s="1678"/>
      <c r="FJ61" s="1795"/>
      <c r="FK61" s="1678"/>
      <c r="FL61" s="1678"/>
    </row>
    <row r="62" spans="2:168" ht="14.25" thickBot="1">
      <c r="B62" s="2023" t="str">
        <f t="shared" si="101"/>
        <v>Q2</v>
      </c>
      <c r="C62" s="2079" t="str">
        <f t="shared" si="65"/>
        <v>サービス性能</v>
      </c>
      <c r="D62" s="2207" t="e">
        <f>IF(I$8=0,0,G62/I$8)</f>
        <v>#REF!</v>
      </c>
      <c r="E62" s="2089" t="e">
        <f>IF(J$8=0,0,H62/J$8)</f>
        <v>#REF!</v>
      </c>
      <c r="G62" s="2089" t="e">
        <f t="shared" si="67"/>
        <v>#REF!</v>
      </c>
      <c r="H62" s="2089" t="e">
        <f t="shared" si="68"/>
        <v>#REF!</v>
      </c>
      <c r="I62" s="2089" t="e">
        <f>G63+G78+G100</f>
        <v>#REF!</v>
      </c>
      <c r="J62" s="2089" t="e">
        <f>H63+H78+H100</f>
        <v>#REF!</v>
      </c>
      <c r="K62" s="2089" t="e">
        <f>IF(#REF!=0,0,1)</f>
        <v>#REF!</v>
      </c>
      <c r="L62" s="2089" t="e">
        <f>IF(#REF!=0,0,1)</f>
        <v>#REF!</v>
      </c>
      <c r="M62" s="2089">
        <f t="shared" si="69"/>
        <v>0.3</v>
      </c>
      <c r="N62" s="2089">
        <f t="shared" si="70"/>
        <v>0</v>
      </c>
      <c r="P62" s="2088" t="s">
        <v>1601</v>
      </c>
      <c r="Q62" s="2087" t="s">
        <v>1602</v>
      </c>
      <c r="R62" s="2235"/>
      <c r="S62" s="2235"/>
      <c r="T62" s="2234"/>
      <c r="U62" s="2017"/>
      <c r="V62" s="2085">
        <f t="shared" si="104"/>
        <v>0</v>
      </c>
      <c r="W62" s="2084">
        <f t="shared" si="105"/>
        <v>0</v>
      </c>
      <c r="Y62" s="1">
        <f t="shared" si="88"/>
        <v>1</v>
      </c>
      <c r="Z62" s="1">
        <f t="shared" si="89"/>
        <v>1</v>
      </c>
      <c r="AA62" s="1">
        <f t="shared" si="90"/>
        <v>1</v>
      </c>
      <c r="AB62" s="1">
        <f t="shared" si="91"/>
        <v>1</v>
      </c>
      <c r="AC62" s="1">
        <f t="shared" si="92"/>
        <v>1</v>
      </c>
      <c r="AD62" s="1">
        <f t="shared" si="93"/>
        <v>1</v>
      </c>
      <c r="AE62" s="1">
        <f t="shared" si="94"/>
        <v>1</v>
      </c>
      <c r="AF62" s="1">
        <f t="shared" si="95"/>
        <v>1</v>
      </c>
      <c r="AG62" s="1">
        <f t="shared" si="96"/>
        <v>1</v>
      </c>
      <c r="AH62" s="1">
        <f t="shared" si="97"/>
        <v>1</v>
      </c>
      <c r="AI62" s="1">
        <f t="shared" si="98"/>
        <v>1</v>
      </c>
      <c r="AJ62" s="1">
        <f t="shared" si="99"/>
        <v>1</v>
      </c>
      <c r="AK62" s="1">
        <f t="shared" si="100"/>
        <v>1</v>
      </c>
      <c r="AM62" s="2083" t="str">
        <f t="shared" ref="AM62:AY62" si="114">AM$6</f>
        <v>事務所</v>
      </c>
      <c r="AN62" s="2083" t="str">
        <f t="shared" si="114"/>
        <v>学校</v>
      </c>
      <c r="AO62" s="2083" t="str">
        <f t="shared" si="114"/>
        <v>物販店</v>
      </c>
      <c r="AP62" s="2083" t="str">
        <f t="shared" si="114"/>
        <v>飲食店</v>
      </c>
      <c r="AQ62" s="2083" t="str">
        <f t="shared" si="114"/>
        <v>集会所</v>
      </c>
      <c r="AR62" s="2083" t="str">
        <f t="shared" si="114"/>
        <v>工場</v>
      </c>
      <c r="AS62" s="2083" t="str">
        <f t="shared" si="114"/>
        <v>小中高</v>
      </c>
      <c r="AT62" s="2083" t="str">
        <f t="shared" si="114"/>
        <v>病院</v>
      </c>
      <c r="AU62" s="2083" t="str">
        <f t="shared" si="114"/>
        <v>ホテル</v>
      </c>
      <c r="AV62" s="2083" t="str">
        <f t="shared" si="114"/>
        <v>集合住宅</v>
      </c>
      <c r="AW62" s="2083" t="str">
        <f t="shared" si="114"/>
        <v>病院o</v>
      </c>
      <c r="AX62" s="2083" t="str">
        <f t="shared" si="114"/>
        <v>ホテルo</v>
      </c>
      <c r="AY62" s="2083" t="str">
        <f t="shared" si="114"/>
        <v>集合住宅o</v>
      </c>
      <c r="BA62" s="2082" t="e">
        <f>BB62/$BC$8</f>
        <v>#REF!</v>
      </c>
      <c r="BB62" s="2082" t="e">
        <f t="shared" si="71"/>
        <v>#REF!</v>
      </c>
      <c r="BC62" s="2082" t="e">
        <f>BB63+BB78+BB100</f>
        <v>#REF!</v>
      </c>
      <c r="BD62" s="2081" t="e">
        <f>BR62*#REF!</f>
        <v>#REF!</v>
      </c>
      <c r="BE62" s="2081" t="e">
        <f>BS62*#REF!</f>
        <v>#REF!</v>
      </c>
      <c r="BF62" s="2081" t="e">
        <f>BT62*#REF!</f>
        <v>#REF!</v>
      </c>
      <c r="BG62" s="2081" t="e">
        <f>BU62*#REF!</f>
        <v>#REF!</v>
      </c>
      <c r="BH62" s="2081" t="e">
        <f>BV62*#REF!</f>
        <v>#REF!</v>
      </c>
      <c r="BI62" s="2081" t="e">
        <f>BW62*#REF!</f>
        <v>#REF!</v>
      </c>
      <c r="BJ62" s="2081" t="e">
        <f>BX62*#REF!</f>
        <v>#REF!</v>
      </c>
      <c r="BK62" s="2081" t="e">
        <f>BY62*#REF!</f>
        <v>#REF!</v>
      </c>
      <c r="BL62" s="2081" t="e">
        <f>BZ62*#REF!</f>
        <v>#REF!</v>
      </c>
      <c r="BM62" s="2081" t="e">
        <f>CA62*#REF!</f>
        <v>#REF!</v>
      </c>
      <c r="BO62" s="2023" t="str">
        <f t="shared" si="72"/>
        <v>Q2</v>
      </c>
      <c r="BP62" s="2023" t="str">
        <f t="shared" si="73"/>
        <v xml:space="preserve"> Q</v>
      </c>
      <c r="BQ62" s="2079" t="str">
        <f t="shared" si="74"/>
        <v>サービス性能</v>
      </c>
      <c r="BR62" s="2078">
        <f t="shared" si="75"/>
        <v>0.3</v>
      </c>
      <c r="BS62" s="2078">
        <f t="shared" si="76"/>
        <v>0.3</v>
      </c>
      <c r="BT62" s="2078">
        <f t="shared" si="77"/>
        <v>0.3</v>
      </c>
      <c r="BU62" s="2078">
        <f t="shared" si="78"/>
        <v>0.3</v>
      </c>
      <c r="BV62" s="2078">
        <f t="shared" si="79"/>
        <v>0.3</v>
      </c>
      <c r="BW62" s="2078">
        <f t="shared" si="80"/>
        <v>0.3</v>
      </c>
      <c r="BX62" s="2078">
        <f t="shared" si="81"/>
        <v>0.3</v>
      </c>
      <c r="BY62" s="2078">
        <f t="shared" si="82"/>
        <v>0.3</v>
      </c>
      <c r="BZ62" s="2078">
        <f t="shared" si="83"/>
        <v>0.3</v>
      </c>
      <c r="CA62" s="2078">
        <f t="shared" si="84"/>
        <v>0.3</v>
      </c>
      <c r="CB62" s="2168">
        <f t="shared" si="85"/>
        <v>0</v>
      </c>
      <c r="CC62" s="2078">
        <f t="shared" si="86"/>
        <v>0</v>
      </c>
      <c r="CD62" s="2078">
        <f t="shared" si="87"/>
        <v>0</v>
      </c>
      <c r="CF62" s="1186" t="s">
        <v>2034</v>
      </c>
      <c r="CG62" s="1191" t="s">
        <v>792</v>
      </c>
      <c r="CH62" s="1189" t="s">
        <v>1602</v>
      </c>
      <c r="CI62" s="1190">
        <v>0.3</v>
      </c>
      <c r="CJ62" s="1190">
        <v>0.3</v>
      </c>
      <c r="CK62" s="1190">
        <v>0.3</v>
      </c>
      <c r="CL62" s="1190">
        <v>0.3</v>
      </c>
      <c r="CM62" s="1190">
        <v>0.3</v>
      </c>
      <c r="CN62" s="1190">
        <v>0.3</v>
      </c>
      <c r="CO62" s="1192">
        <v>0.3</v>
      </c>
      <c r="CP62" s="1190">
        <v>0.3</v>
      </c>
      <c r="CQ62" s="1190">
        <v>0.3</v>
      </c>
      <c r="CR62" s="1190">
        <v>0.3</v>
      </c>
      <c r="CS62" s="1193">
        <v>0</v>
      </c>
      <c r="CT62" s="1192">
        <v>0</v>
      </c>
      <c r="CU62" s="1192">
        <v>0</v>
      </c>
      <c r="CW62" s="1186" t="s">
        <v>3297</v>
      </c>
      <c r="CX62" s="1191" t="s">
        <v>792</v>
      </c>
      <c r="CY62" s="1189" t="s">
        <v>3296</v>
      </c>
      <c r="CZ62" s="1192">
        <v>0.3</v>
      </c>
      <c r="DA62" s="1192">
        <v>0.3</v>
      </c>
      <c r="DB62" s="1192">
        <v>0.3</v>
      </c>
      <c r="DC62" s="1192">
        <v>0.3</v>
      </c>
      <c r="DD62" s="1192">
        <v>0.3</v>
      </c>
      <c r="DE62" s="1192">
        <v>0.3</v>
      </c>
      <c r="DF62" s="1192">
        <v>0.3</v>
      </c>
      <c r="DG62" s="1192">
        <v>0.3</v>
      </c>
      <c r="DH62" s="1192">
        <v>0.3</v>
      </c>
      <c r="DI62" s="1192">
        <v>0.3</v>
      </c>
      <c r="DJ62" s="1193"/>
      <c r="DK62" s="1192"/>
      <c r="DL62" s="1192"/>
      <c r="DN62" s="1186" t="s">
        <v>2034</v>
      </c>
      <c r="DO62" s="1191" t="s">
        <v>792</v>
      </c>
      <c r="DP62" s="1189" t="s">
        <v>3295</v>
      </c>
      <c r="DQ62" s="1192">
        <v>0.3</v>
      </c>
      <c r="DR62" s="1192">
        <v>0.3</v>
      </c>
      <c r="DS62" s="1192">
        <v>0.3</v>
      </c>
      <c r="DT62" s="1192">
        <v>0.3</v>
      </c>
      <c r="DU62" s="1192">
        <v>0.3</v>
      </c>
      <c r="DV62" s="1192">
        <v>0.3</v>
      </c>
      <c r="DW62" s="1192">
        <v>0.3</v>
      </c>
      <c r="DX62" s="1192">
        <v>0.3</v>
      </c>
      <c r="DY62" s="1192">
        <v>0.3</v>
      </c>
      <c r="DZ62" s="1192">
        <v>0.3</v>
      </c>
      <c r="EA62" s="1193"/>
      <c r="EB62" s="1192"/>
      <c r="EC62" s="1192"/>
      <c r="ED62" s="1467"/>
      <c r="EF62" s="1186" t="s">
        <v>3294</v>
      </c>
      <c r="EG62" s="1191" t="s">
        <v>792</v>
      </c>
      <c r="EH62" s="1189" t="s">
        <v>1602</v>
      </c>
      <c r="EI62" s="1674">
        <v>0.15</v>
      </c>
      <c r="EJ62" s="1674">
        <v>0.15</v>
      </c>
      <c r="EK62" s="1674">
        <v>0.15</v>
      </c>
      <c r="EL62" s="1674">
        <v>0.15</v>
      </c>
      <c r="EM62" s="1674">
        <v>0.15</v>
      </c>
      <c r="EN62" s="1674">
        <v>0.15</v>
      </c>
      <c r="EO62" s="1674">
        <v>0.15</v>
      </c>
      <c r="EP62" s="1674">
        <v>0.15</v>
      </c>
      <c r="EQ62" s="1674">
        <v>0.15</v>
      </c>
      <c r="ER62" s="1674">
        <v>0.15</v>
      </c>
      <c r="ES62" s="1675">
        <f t="shared" ref="ES62:EU69" si="115">EA62</f>
        <v>0</v>
      </c>
      <c r="ET62" s="1674">
        <f t="shared" si="115"/>
        <v>0</v>
      </c>
      <c r="EU62" s="1674">
        <f t="shared" si="115"/>
        <v>0</v>
      </c>
      <c r="EW62" s="1186" t="s">
        <v>2034</v>
      </c>
      <c r="EX62" s="1191" t="s">
        <v>792</v>
      </c>
      <c r="EY62" s="1189" t="s">
        <v>1602</v>
      </c>
      <c r="EZ62" s="1813">
        <v>0.4</v>
      </c>
      <c r="FA62" s="1674"/>
      <c r="FB62" s="1674"/>
      <c r="FC62" s="1674"/>
      <c r="FD62" s="1674"/>
      <c r="FE62" s="1674"/>
      <c r="FF62" s="1674"/>
      <c r="FG62" s="1674"/>
      <c r="FH62" s="1674"/>
      <c r="FI62" s="1674"/>
      <c r="FJ62" s="1675"/>
      <c r="FK62" s="1674"/>
      <c r="FL62" s="1674"/>
    </row>
    <row r="63" spans="2:168">
      <c r="B63" s="2023">
        <f t="shared" si="101"/>
        <v>1</v>
      </c>
      <c r="C63" s="2050" t="str">
        <f t="shared" si="65"/>
        <v>機能性</v>
      </c>
      <c r="D63" s="2061" t="e">
        <f>IF(I$62=0,0,G63/I$62)</f>
        <v>#REF!</v>
      </c>
      <c r="E63" s="2060" t="e">
        <f>IF(J$62=0,0,H63/J$62)</f>
        <v>#REF!</v>
      </c>
      <c r="G63" s="2060" t="e">
        <f t="shared" si="67"/>
        <v>#REF!</v>
      </c>
      <c r="H63" s="2060" t="e">
        <f t="shared" si="68"/>
        <v>#REF!</v>
      </c>
      <c r="I63" s="2060" t="e">
        <f>G64+G68+G74</f>
        <v>#REF!</v>
      </c>
      <c r="J63" s="2060" t="e">
        <f>H64+H68+H74</f>
        <v>#REF!</v>
      </c>
      <c r="K63" s="2060" t="e">
        <f>IF(L63&gt;0,1,IF(#REF!=0,0,1))</f>
        <v>#REF!</v>
      </c>
      <c r="L63" s="2060" t="e">
        <f>IF(#REF!=0,0,1)</f>
        <v>#REF!</v>
      </c>
      <c r="M63" s="2060">
        <f t="shared" si="69"/>
        <v>0.4</v>
      </c>
      <c r="N63" s="2060">
        <f t="shared" si="70"/>
        <v>0</v>
      </c>
      <c r="P63" s="2066">
        <v>1</v>
      </c>
      <c r="Q63" s="2233" t="s">
        <v>1976</v>
      </c>
      <c r="R63" s="2045"/>
      <c r="S63" s="2044"/>
      <c r="T63" s="2044"/>
      <c r="U63" s="2017"/>
      <c r="V63" s="2057">
        <f t="shared" si="104"/>
        <v>0</v>
      </c>
      <c r="W63" s="2056">
        <f t="shared" si="105"/>
        <v>0</v>
      </c>
      <c r="Y63" s="1">
        <f t="shared" si="88"/>
        <v>0</v>
      </c>
      <c r="Z63" s="1">
        <f t="shared" si="89"/>
        <v>0</v>
      </c>
      <c r="AA63" s="1">
        <f t="shared" si="90"/>
        <v>0</v>
      </c>
      <c r="AB63" s="1">
        <f t="shared" si="91"/>
        <v>0</v>
      </c>
      <c r="AC63" s="1">
        <f t="shared" si="92"/>
        <v>0</v>
      </c>
      <c r="AD63" s="1">
        <f t="shared" si="93"/>
        <v>0</v>
      </c>
      <c r="AE63" s="1">
        <f t="shared" si="94"/>
        <v>0</v>
      </c>
      <c r="AF63" s="1">
        <f t="shared" si="95"/>
        <v>0</v>
      </c>
      <c r="AG63" s="1">
        <f t="shared" si="96"/>
        <v>0</v>
      </c>
      <c r="AH63" s="1">
        <f t="shared" si="97"/>
        <v>0</v>
      </c>
      <c r="AI63" s="1">
        <f t="shared" si="98"/>
        <v>0</v>
      </c>
      <c r="AJ63" s="1">
        <f t="shared" si="99"/>
        <v>0</v>
      </c>
      <c r="AK63" s="1">
        <f t="shared" si="100"/>
        <v>0</v>
      </c>
      <c r="AM63" s="2055" t="s">
        <v>177</v>
      </c>
      <c r="AN63" s="2055" t="s">
        <v>3292</v>
      </c>
      <c r="AO63" s="2055" t="s">
        <v>177</v>
      </c>
      <c r="AP63" s="2055" t="s">
        <v>3292</v>
      </c>
      <c r="AQ63" s="2055" t="s">
        <v>177</v>
      </c>
      <c r="AR63" s="2055" t="s">
        <v>3293</v>
      </c>
      <c r="AS63" s="2055" t="s">
        <v>3284</v>
      </c>
      <c r="AT63" s="2055" t="s">
        <v>3291</v>
      </c>
      <c r="AU63" s="2055" t="s">
        <v>3284</v>
      </c>
      <c r="AV63" s="2055" t="s">
        <v>3291</v>
      </c>
      <c r="AW63" s="2055" t="s">
        <v>177</v>
      </c>
      <c r="AX63" s="2055" t="s">
        <v>3291</v>
      </c>
      <c r="AY63" s="2055" t="s">
        <v>177</v>
      </c>
      <c r="BA63" s="2054" t="e">
        <f>BB63/$BC$62</f>
        <v>#REF!</v>
      </c>
      <c r="BB63" s="2139" t="e">
        <f t="shared" si="71"/>
        <v>#REF!</v>
      </c>
      <c r="BC63" s="2139"/>
      <c r="BD63" s="2137" t="e">
        <f>BR63*#REF!</f>
        <v>#REF!</v>
      </c>
      <c r="BE63" s="2137" t="e">
        <f>BS63*#REF!</f>
        <v>#REF!</v>
      </c>
      <c r="BF63" s="2137" t="e">
        <f>BT63*#REF!</f>
        <v>#REF!</v>
      </c>
      <c r="BG63" s="2137" t="e">
        <f>BU63*#REF!</f>
        <v>#REF!</v>
      </c>
      <c r="BH63" s="2232" t="e">
        <f>BV63*#REF!</f>
        <v>#REF!</v>
      </c>
      <c r="BI63" s="2232" t="e">
        <f>BW63*#REF!</f>
        <v>#REF!</v>
      </c>
      <c r="BJ63" s="2137" t="e">
        <f>BX63*#REF!</f>
        <v>#REF!</v>
      </c>
      <c r="BK63" s="2137" t="e">
        <f>BY63*#REF!</f>
        <v>#REF!</v>
      </c>
      <c r="BL63" s="2137" t="e">
        <f>BZ63*#REF!</f>
        <v>#REF!</v>
      </c>
      <c r="BM63" s="2137" t="e">
        <f>CA63*#REF!</f>
        <v>#REF!</v>
      </c>
      <c r="BO63" s="2114">
        <f t="shared" si="72"/>
        <v>1</v>
      </c>
      <c r="BP63" s="2114" t="str">
        <f t="shared" si="73"/>
        <v xml:space="preserve"> Q2</v>
      </c>
      <c r="BQ63" s="2050" t="str">
        <f t="shared" si="74"/>
        <v>機能性</v>
      </c>
      <c r="BR63" s="2135">
        <f t="shared" si="75"/>
        <v>0.4</v>
      </c>
      <c r="BS63" s="2135">
        <f t="shared" si="76"/>
        <v>0.4</v>
      </c>
      <c r="BT63" s="2135">
        <f t="shared" si="77"/>
        <v>0.4</v>
      </c>
      <c r="BU63" s="2135">
        <f t="shared" si="78"/>
        <v>0.4</v>
      </c>
      <c r="BV63" s="2231">
        <f t="shared" si="79"/>
        <v>0.4</v>
      </c>
      <c r="BW63" s="2231">
        <f t="shared" si="80"/>
        <v>0.4</v>
      </c>
      <c r="BX63" s="2135">
        <f t="shared" si="81"/>
        <v>0.4</v>
      </c>
      <c r="BY63" s="2135">
        <f t="shared" si="82"/>
        <v>0.4</v>
      </c>
      <c r="BZ63" s="2135">
        <f t="shared" si="83"/>
        <v>0.4</v>
      </c>
      <c r="CA63" s="2135">
        <f t="shared" si="84"/>
        <v>0.4</v>
      </c>
      <c r="CB63" s="2230">
        <f t="shared" si="85"/>
        <v>0</v>
      </c>
      <c r="CC63" s="2135">
        <f t="shared" si="86"/>
        <v>0</v>
      </c>
      <c r="CD63" s="2135">
        <f t="shared" si="87"/>
        <v>0</v>
      </c>
      <c r="CF63" s="1197">
        <v>1</v>
      </c>
      <c r="CG63" s="1201" t="s">
        <v>2150</v>
      </c>
      <c r="CH63" s="1198" t="s">
        <v>2151</v>
      </c>
      <c r="CI63" s="1246">
        <v>0.4</v>
      </c>
      <c r="CJ63" s="1246">
        <v>0.4</v>
      </c>
      <c r="CK63" s="1246">
        <v>0.4</v>
      </c>
      <c r="CL63" s="1246">
        <v>0.4</v>
      </c>
      <c r="CM63" s="1221">
        <v>0.4</v>
      </c>
      <c r="CN63" s="1246">
        <v>0.4</v>
      </c>
      <c r="CO63" s="1247">
        <v>0.4</v>
      </c>
      <c r="CP63" s="1246">
        <v>0.4</v>
      </c>
      <c r="CQ63" s="1246">
        <v>0.4</v>
      </c>
      <c r="CR63" s="1246">
        <v>0.4</v>
      </c>
      <c r="CS63" s="1248"/>
      <c r="CT63" s="1247"/>
      <c r="CU63" s="1247"/>
      <c r="CW63" s="1197">
        <v>1</v>
      </c>
      <c r="CX63" s="1201" t="s">
        <v>2150</v>
      </c>
      <c r="CY63" s="1198" t="s">
        <v>2151</v>
      </c>
      <c r="CZ63" s="1247">
        <v>0.4</v>
      </c>
      <c r="DA63" s="1247">
        <v>0.4</v>
      </c>
      <c r="DB63" s="1247">
        <v>0.4</v>
      </c>
      <c r="DC63" s="1247">
        <v>0.4</v>
      </c>
      <c r="DD63" s="1249">
        <v>0.4</v>
      </c>
      <c r="DE63" s="1247">
        <v>0.4</v>
      </c>
      <c r="DF63" s="1247">
        <v>0.4</v>
      </c>
      <c r="DG63" s="1247">
        <v>0.4</v>
      </c>
      <c r="DH63" s="1247">
        <v>0.4</v>
      </c>
      <c r="DI63" s="1247">
        <v>0.4</v>
      </c>
      <c r="DJ63" s="1248"/>
      <c r="DK63" s="1247"/>
      <c r="DL63" s="1247"/>
      <c r="DN63" s="1197">
        <v>1</v>
      </c>
      <c r="DO63" s="1201" t="s">
        <v>2150</v>
      </c>
      <c r="DP63" s="1198" t="s">
        <v>2151</v>
      </c>
      <c r="DQ63" s="1247">
        <v>0.4</v>
      </c>
      <c r="DR63" s="1247">
        <v>0.4</v>
      </c>
      <c r="DS63" s="1247">
        <v>0.4</v>
      </c>
      <c r="DT63" s="1247">
        <v>0.4</v>
      </c>
      <c r="DU63" s="1249">
        <v>0.4</v>
      </c>
      <c r="DV63" s="1247">
        <v>0.4</v>
      </c>
      <c r="DW63" s="1247">
        <v>0.4</v>
      </c>
      <c r="DX63" s="1247">
        <v>0.4</v>
      </c>
      <c r="DY63" s="1247">
        <v>0.4</v>
      </c>
      <c r="DZ63" s="1247">
        <v>0.4</v>
      </c>
      <c r="EA63" s="1248"/>
      <c r="EB63" s="1247"/>
      <c r="EC63" s="1247"/>
      <c r="ED63" s="1467"/>
      <c r="EF63" s="1197">
        <v>1</v>
      </c>
      <c r="EG63" s="1201" t="s">
        <v>2150</v>
      </c>
      <c r="EH63" s="1198" t="s">
        <v>2151</v>
      </c>
      <c r="EI63" s="1679">
        <v>0.75</v>
      </c>
      <c r="EJ63" s="1679">
        <v>0.75</v>
      </c>
      <c r="EK63" s="1679">
        <v>0.75</v>
      </c>
      <c r="EL63" s="1679">
        <v>0.75</v>
      </c>
      <c r="EM63" s="1679">
        <v>0.75</v>
      </c>
      <c r="EN63" s="1679">
        <v>0.75</v>
      </c>
      <c r="EO63" s="1679">
        <v>0.75</v>
      </c>
      <c r="EP63" s="1679">
        <v>0.75</v>
      </c>
      <c r="EQ63" s="1679">
        <v>0.75</v>
      </c>
      <c r="ER63" s="1679">
        <v>0.75</v>
      </c>
      <c r="ES63" s="1680">
        <f t="shared" si="115"/>
        <v>0</v>
      </c>
      <c r="ET63" s="1679">
        <f t="shared" si="115"/>
        <v>0</v>
      </c>
      <c r="EU63" s="1679">
        <f t="shared" si="115"/>
        <v>0</v>
      </c>
      <c r="EW63" s="1197">
        <v>1</v>
      </c>
      <c r="EX63" s="1201" t="s">
        <v>2150</v>
      </c>
      <c r="EY63" s="1198" t="s">
        <v>2151</v>
      </c>
      <c r="EZ63" s="1817">
        <v>0.6</v>
      </c>
      <c r="FA63" s="1679"/>
      <c r="FB63" s="1679"/>
      <c r="FC63" s="1679"/>
      <c r="FD63" s="1679"/>
      <c r="FE63" s="1679"/>
      <c r="FF63" s="1679"/>
      <c r="FG63" s="1679"/>
      <c r="FH63" s="1679"/>
      <c r="FI63" s="1679"/>
      <c r="FJ63" s="1680"/>
      <c r="FK63" s="1679"/>
      <c r="FL63" s="1679"/>
    </row>
    <row r="64" spans="2:168" ht="14.25" thickBot="1">
      <c r="B64" s="2023">
        <f t="shared" si="101"/>
        <v>1.1000000000000001</v>
      </c>
      <c r="C64" s="829" t="str">
        <f t="shared" si="65"/>
        <v>機能性・使いやすさ</v>
      </c>
      <c r="D64" s="2022" t="e">
        <f>IF(I$63=0,0,G64/I$63)</f>
        <v>#REF!</v>
      </c>
      <c r="E64" s="2021" t="e">
        <f>IF(J$63=0,0,H64/J$63)</f>
        <v>#REF!</v>
      </c>
      <c r="G64" s="2021" t="e">
        <f t="shared" si="67"/>
        <v>#REF!</v>
      </c>
      <c r="H64" s="2021" t="e">
        <f t="shared" si="68"/>
        <v>#REF!</v>
      </c>
      <c r="I64" s="2021" t="e">
        <f>SUM(G65:G67)</f>
        <v>#REF!</v>
      </c>
      <c r="J64" s="2021" t="e">
        <f>SUM(H65:H67)</f>
        <v>#REF!</v>
      </c>
      <c r="K64" s="2021" t="e">
        <f>IF(#REF!=0,0,1)</f>
        <v>#REF!</v>
      </c>
      <c r="L64" s="2021" t="e">
        <f>IF(#REF!=0,0,1)</f>
        <v>#REF!</v>
      </c>
      <c r="M64" s="2021">
        <f t="shared" si="69"/>
        <v>0.4</v>
      </c>
      <c r="N64" s="2021">
        <f t="shared" si="70"/>
        <v>0</v>
      </c>
      <c r="P64" s="2123"/>
      <c r="Q64" s="2068">
        <v>1.1000000000000001</v>
      </c>
      <c r="R64" s="2107" t="s">
        <v>1977</v>
      </c>
      <c r="S64" s="2106"/>
      <c r="T64" s="2106"/>
      <c r="U64" s="2017"/>
      <c r="V64" s="2105">
        <f t="shared" si="104"/>
        <v>0</v>
      </c>
      <c r="W64" s="2104">
        <f t="shared" si="105"/>
        <v>0</v>
      </c>
      <c r="Y64" s="1">
        <f t="shared" si="88"/>
        <v>0</v>
      </c>
      <c r="Z64" s="1">
        <f t="shared" si="89"/>
        <v>0</v>
      </c>
      <c r="AA64" s="1">
        <f t="shared" si="90"/>
        <v>0</v>
      </c>
      <c r="AB64" s="1">
        <f t="shared" si="91"/>
        <v>0</v>
      </c>
      <c r="AC64" s="1">
        <f t="shared" si="92"/>
        <v>0</v>
      </c>
      <c r="AD64" s="1">
        <f t="shared" si="93"/>
        <v>0</v>
      </c>
      <c r="AE64" s="1">
        <f t="shared" si="94"/>
        <v>0</v>
      </c>
      <c r="AF64" s="1">
        <f t="shared" si="95"/>
        <v>0</v>
      </c>
      <c r="AG64" s="1">
        <f t="shared" si="96"/>
        <v>0</v>
      </c>
      <c r="AH64" s="1">
        <f t="shared" si="97"/>
        <v>0</v>
      </c>
      <c r="AI64" s="1">
        <f t="shared" si="98"/>
        <v>0</v>
      </c>
      <c r="AJ64" s="1">
        <f t="shared" si="99"/>
        <v>0</v>
      </c>
      <c r="AK64" s="1">
        <f t="shared" si="100"/>
        <v>0</v>
      </c>
      <c r="AM64" s="2103" t="s">
        <v>3291</v>
      </c>
      <c r="AN64" s="2103" t="s">
        <v>177</v>
      </c>
      <c r="AO64" s="2103" t="s">
        <v>3292</v>
      </c>
      <c r="AP64" s="2103" t="s">
        <v>3292</v>
      </c>
      <c r="AQ64" s="2103" t="s">
        <v>177</v>
      </c>
      <c r="AR64" s="2103" t="s">
        <v>177</v>
      </c>
      <c r="AS64" s="2103" t="s">
        <v>177</v>
      </c>
      <c r="AT64" s="2103" t="s">
        <v>3284</v>
      </c>
      <c r="AU64" s="2103" t="s">
        <v>3291</v>
      </c>
      <c r="AV64" s="2103" t="s">
        <v>3292</v>
      </c>
      <c r="AW64" s="2103" t="s">
        <v>3292</v>
      </c>
      <c r="AX64" s="2103" t="s">
        <v>3292</v>
      </c>
      <c r="AY64" s="2103" t="s">
        <v>3291</v>
      </c>
      <c r="BA64" s="2014"/>
      <c r="BB64" s="2014" t="e">
        <f t="shared" si="71"/>
        <v>#REF!</v>
      </c>
      <c r="BC64" s="2014"/>
      <c r="BD64" s="2013" t="e">
        <f>BR64*#REF!</f>
        <v>#REF!</v>
      </c>
      <c r="BE64" s="2013" t="e">
        <f>BS64*#REF!</f>
        <v>#REF!</v>
      </c>
      <c r="BF64" s="2013" t="e">
        <f>BT64*#REF!</f>
        <v>#REF!</v>
      </c>
      <c r="BG64" s="2013" t="e">
        <f>BU64*#REF!</f>
        <v>#REF!</v>
      </c>
      <c r="BH64" s="2226" t="e">
        <f>BV64*#REF!</f>
        <v>#REF!</v>
      </c>
      <c r="BI64" s="2013" t="e">
        <f>BW64*#REF!</f>
        <v>#REF!</v>
      </c>
      <c r="BJ64" s="2013" t="e">
        <f>BX64*#REF!</f>
        <v>#REF!</v>
      </c>
      <c r="BK64" s="2013" t="e">
        <f>BY64*#REF!</f>
        <v>#REF!</v>
      </c>
      <c r="BL64" s="2013" t="e">
        <f>BZ64*#REF!</f>
        <v>#REF!</v>
      </c>
      <c r="BM64" s="2013" t="e">
        <f>CA64*#REF!</f>
        <v>#REF!</v>
      </c>
      <c r="BO64" s="2040">
        <f t="shared" si="72"/>
        <v>1.1000000000000001</v>
      </c>
      <c r="BP64" s="2040" t="str">
        <f t="shared" si="73"/>
        <v xml:space="preserve"> Q2 1</v>
      </c>
      <c r="BQ64" s="829" t="str">
        <f t="shared" si="74"/>
        <v>機能性・使いやすさ</v>
      </c>
      <c r="BR64" s="2010">
        <f t="shared" si="75"/>
        <v>0.4</v>
      </c>
      <c r="BS64" s="2010">
        <f t="shared" si="76"/>
        <v>0.4</v>
      </c>
      <c r="BT64" s="2010">
        <f t="shared" si="77"/>
        <v>0.4</v>
      </c>
      <c r="BU64" s="2010">
        <f t="shared" si="78"/>
        <v>0.4</v>
      </c>
      <c r="BV64" s="2225">
        <f t="shared" si="79"/>
        <v>0.4</v>
      </c>
      <c r="BW64" s="2010">
        <f t="shared" si="80"/>
        <v>0.4</v>
      </c>
      <c r="BX64" s="2010">
        <f t="shared" si="81"/>
        <v>0.4</v>
      </c>
      <c r="BY64" s="2010">
        <f t="shared" si="82"/>
        <v>0.4</v>
      </c>
      <c r="BZ64" s="2010">
        <f t="shared" si="83"/>
        <v>0.4</v>
      </c>
      <c r="CA64" s="2010">
        <f t="shared" si="84"/>
        <v>0.4</v>
      </c>
      <c r="CB64" s="2039">
        <f t="shared" si="85"/>
        <v>0.6</v>
      </c>
      <c r="CC64" s="2010">
        <f t="shared" si="86"/>
        <v>0.6</v>
      </c>
      <c r="CD64" s="2010">
        <f t="shared" si="87"/>
        <v>0.6</v>
      </c>
      <c r="CF64" s="1207">
        <v>1.1000000000000001</v>
      </c>
      <c r="CG64" s="1211" t="s">
        <v>2152</v>
      </c>
      <c r="CH64" s="1208" t="s">
        <v>2153</v>
      </c>
      <c r="CI64" s="1209">
        <v>0.4</v>
      </c>
      <c r="CJ64" s="1209">
        <v>0.4</v>
      </c>
      <c r="CK64" s="1209">
        <v>0.4</v>
      </c>
      <c r="CL64" s="1212">
        <v>0.4</v>
      </c>
      <c r="CM64" s="1209">
        <v>0.4</v>
      </c>
      <c r="CN64" s="1212">
        <v>0.4</v>
      </c>
      <c r="CO64" s="1213">
        <v>0.4</v>
      </c>
      <c r="CP64" s="1212">
        <v>0.4</v>
      </c>
      <c r="CQ64" s="1209">
        <v>0.4</v>
      </c>
      <c r="CR64" s="1212">
        <v>0.4</v>
      </c>
      <c r="CS64" s="1213">
        <v>0.6</v>
      </c>
      <c r="CT64" s="1213">
        <v>0.6</v>
      </c>
      <c r="CU64" s="1213">
        <v>0.6</v>
      </c>
      <c r="CW64" s="1207">
        <v>1.1000000000000001</v>
      </c>
      <c r="CX64" s="1211" t="s">
        <v>2152</v>
      </c>
      <c r="CY64" s="1208" t="s">
        <v>2153</v>
      </c>
      <c r="CZ64" s="1213">
        <v>0.4</v>
      </c>
      <c r="DA64" s="1213">
        <v>0.4</v>
      </c>
      <c r="DB64" s="1213">
        <v>0.4</v>
      </c>
      <c r="DC64" s="1213">
        <v>0.4</v>
      </c>
      <c r="DD64" s="1220">
        <v>0.4</v>
      </c>
      <c r="DE64" s="1213">
        <v>0.4</v>
      </c>
      <c r="DF64" s="1213">
        <v>0.4</v>
      </c>
      <c r="DG64" s="1213">
        <v>0.4</v>
      </c>
      <c r="DH64" s="1213">
        <v>0.4</v>
      </c>
      <c r="DI64" s="1213">
        <v>0.4</v>
      </c>
      <c r="DJ64" s="1213">
        <v>0.6</v>
      </c>
      <c r="DK64" s="1213">
        <v>0.6</v>
      </c>
      <c r="DL64" s="1213">
        <v>0.6</v>
      </c>
      <c r="DN64" s="1207">
        <v>1.1000000000000001</v>
      </c>
      <c r="DO64" s="1211" t="s">
        <v>2152</v>
      </c>
      <c r="DP64" s="1208" t="s">
        <v>2153</v>
      </c>
      <c r="DQ64" s="1213">
        <v>0.4</v>
      </c>
      <c r="DR64" s="1213">
        <v>0.4</v>
      </c>
      <c r="DS64" s="1213">
        <v>0.4</v>
      </c>
      <c r="DT64" s="1213">
        <v>0.4</v>
      </c>
      <c r="DU64" s="1220">
        <v>0.4</v>
      </c>
      <c r="DV64" s="1213">
        <v>0.4</v>
      </c>
      <c r="DW64" s="1213">
        <v>0.4</v>
      </c>
      <c r="DX64" s="1213">
        <v>0.4</v>
      </c>
      <c r="DY64" s="1213">
        <v>0.4</v>
      </c>
      <c r="DZ64" s="1213">
        <v>0.4</v>
      </c>
      <c r="EA64" s="1213">
        <v>0.6</v>
      </c>
      <c r="EB64" s="1213">
        <v>0.6</v>
      </c>
      <c r="EC64" s="1213">
        <v>0.6</v>
      </c>
      <c r="ED64" s="1469"/>
      <c r="EF64" s="1207">
        <v>1.1000000000000001</v>
      </c>
      <c r="EG64" s="1211" t="s">
        <v>2152</v>
      </c>
      <c r="EH64" s="1208" t="s">
        <v>2153</v>
      </c>
      <c r="EI64" s="1689">
        <f t="shared" ref="EI64:ER69" si="116">DQ64</f>
        <v>0.4</v>
      </c>
      <c r="EJ64" s="1689">
        <f t="shared" si="116"/>
        <v>0.4</v>
      </c>
      <c r="EK64" s="1689">
        <f t="shared" si="116"/>
        <v>0.4</v>
      </c>
      <c r="EL64" s="1689">
        <f t="shared" si="116"/>
        <v>0.4</v>
      </c>
      <c r="EM64" s="1701">
        <f t="shared" si="116"/>
        <v>0.4</v>
      </c>
      <c r="EN64" s="1689">
        <f t="shared" si="116"/>
        <v>0.4</v>
      </c>
      <c r="EO64" s="1689">
        <f t="shared" si="116"/>
        <v>0.4</v>
      </c>
      <c r="EP64" s="1689">
        <f t="shared" si="116"/>
        <v>0.4</v>
      </c>
      <c r="EQ64" s="1689">
        <f t="shared" si="116"/>
        <v>0.4</v>
      </c>
      <c r="ER64" s="1689">
        <f t="shared" si="116"/>
        <v>0.4</v>
      </c>
      <c r="ES64" s="1689">
        <f t="shared" si="115"/>
        <v>0.6</v>
      </c>
      <c r="ET64" s="1689">
        <f t="shared" si="115"/>
        <v>0.6</v>
      </c>
      <c r="EU64" s="1689">
        <f t="shared" si="115"/>
        <v>0.6</v>
      </c>
      <c r="EW64" s="1207">
        <v>1.1000000000000001</v>
      </c>
      <c r="EX64" s="1211" t="s">
        <v>2152</v>
      </c>
      <c r="EY64" s="1208" t="s">
        <v>2153</v>
      </c>
      <c r="EZ64" s="1678">
        <f>DQ64</f>
        <v>0.4</v>
      </c>
      <c r="FA64" s="1678"/>
      <c r="FB64" s="1678"/>
      <c r="FC64" s="1678"/>
      <c r="FD64" s="1738"/>
      <c r="FE64" s="1678"/>
      <c r="FF64" s="1678"/>
      <c r="FG64" s="1678"/>
      <c r="FH64" s="1678"/>
      <c r="FI64" s="1678"/>
      <c r="FJ64" s="1678"/>
      <c r="FK64" s="1678"/>
      <c r="FL64" s="1678"/>
    </row>
    <row r="65" spans="2:168">
      <c r="B65" s="2023" t="str">
        <f t="shared" si="101"/>
        <v>1.1.1</v>
      </c>
      <c r="C65" s="829" t="str">
        <f t="shared" si="65"/>
        <v>広さ・収納性</v>
      </c>
      <c r="D65" s="2100" t="e">
        <f t="shared" ref="D65:E67" si="117">IF(I$64&gt;0,G65/I$64,0)</f>
        <v>#REF!</v>
      </c>
      <c r="E65" s="2021" t="e">
        <f t="shared" si="117"/>
        <v>#REF!</v>
      </c>
      <c r="G65" s="2021" t="e">
        <f t="shared" si="67"/>
        <v>#REF!</v>
      </c>
      <c r="H65" s="2021" t="e">
        <f t="shared" si="68"/>
        <v>#REF!</v>
      </c>
      <c r="I65" s="2021"/>
      <c r="J65" s="2021"/>
      <c r="K65" s="2021" t="e">
        <f>IF(#REF!=0,0,1)</f>
        <v>#REF!</v>
      </c>
      <c r="L65" s="2021" t="e">
        <f>IF(#REF!=0,0,1)</f>
        <v>#REF!</v>
      </c>
      <c r="M65" s="2021">
        <f t="shared" si="69"/>
        <v>0.33333333333333331</v>
      </c>
      <c r="N65" s="2021">
        <f t="shared" si="70"/>
        <v>0</v>
      </c>
      <c r="P65" s="2123"/>
      <c r="Q65" s="2101"/>
      <c r="R65" s="993">
        <v>1</v>
      </c>
      <c r="S65" s="1655" t="s">
        <v>1807</v>
      </c>
      <c r="T65" s="2036"/>
      <c r="U65" s="2017"/>
      <c r="V65" s="2025">
        <f t="shared" si="104"/>
        <v>0</v>
      </c>
      <c r="W65" s="2024">
        <f t="shared" si="105"/>
        <v>0</v>
      </c>
      <c r="Y65" s="1">
        <f t="shared" si="88"/>
        <v>0</v>
      </c>
      <c r="Z65" s="1">
        <f t="shared" si="89"/>
        <v>0</v>
      </c>
      <c r="AA65" s="1">
        <f t="shared" si="90"/>
        <v>0</v>
      </c>
      <c r="AB65" s="1">
        <f t="shared" si="91"/>
        <v>0</v>
      </c>
      <c r="AC65" s="1">
        <f t="shared" si="92"/>
        <v>0</v>
      </c>
      <c r="AD65" s="1">
        <f t="shared" si="93"/>
        <v>0</v>
      </c>
      <c r="AE65" s="1">
        <f t="shared" si="94"/>
        <v>0</v>
      </c>
      <c r="AF65" s="1">
        <f t="shared" si="95"/>
        <v>0</v>
      </c>
      <c r="AG65" s="1">
        <f t="shared" si="96"/>
        <v>0</v>
      </c>
      <c r="AH65" s="1">
        <f t="shared" si="97"/>
        <v>0</v>
      </c>
      <c r="AI65" s="1">
        <f t="shared" si="98"/>
        <v>0</v>
      </c>
      <c r="AJ65" s="1">
        <f t="shared" si="99"/>
        <v>0</v>
      </c>
      <c r="AK65" s="1">
        <f t="shared" si="100"/>
        <v>0</v>
      </c>
      <c r="AM65" s="1827"/>
      <c r="AN65" s="1827"/>
      <c r="AO65" s="1827"/>
      <c r="AP65" s="1827"/>
      <c r="AQ65" s="1827"/>
      <c r="AR65" s="1827"/>
      <c r="AS65" s="1827"/>
      <c r="AT65" s="1827"/>
      <c r="AU65" s="1827"/>
      <c r="AV65" s="1827"/>
      <c r="AW65" s="1827"/>
      <c r="AX65" s="1827"/>
      <c r="AY65" s="1827"/>
      <c r="BA65" s="2014"/>
      <c r="BB65" s="2014" t="e">
        <f t="shared" si="71"/>
        <v>#REF!</v>
      </c>
      <c r="BC65" s="2014"/>
      <c r="BD65" s="2013" t="e">
        <f>BR65*#REF!</f>
        <v>#REF!</v>
      </c>
      <c r="BE65" s="2013" t="e">
        <f>BS65*#REF!</f>
        <v>#REF!</v>
      </c>
      <c r="BF65" s="2013" t="e">
        <f>BT65*#REF!</f>
        <v>#REF!</v>
      </c>
      <c r="BG65" s="2013" t="e">
        <f>BU65*#REF!</f>
        <v>#REF!</v>
      </c>
      <c r="BH65" s="2226" t="e">
        <f>BV65*#REF!</f>
        <v>#REF!</v>
      </c>
      <c r="BI65" s="2013" t="e">
        <f>BW65*#REF!</f>
        <v>#REF!</v>
      </c>
      <c r="BJ65" s="2013" t="e">
        <f>BX65*#REF!</f>
        <v>#REF!</v>
      </c>
      <c r="BK65" s="2013" t="e">
        <f>BY65*#REF!</f>
        <v>#REF!</v>
      </c>
      <c r="BL65" s="2013" t="e">
        <f>BZ65*#REF!</f>
        <v>#REF!</v>
      </c>
      <c r="BM65" s="2013" t="e">
        <f>CA65*#REF!</f>
        <v>#REF!</v>
      </c>
      <c r="BO65" s="2040" t="str">
        <f t="shared" si="72"/>
        <v>1.1.1</v>
      </c>
      <c r="BP65" s="2040" t="str">
        <f t="shared" si="73"/>
        <v xml:space="preserve"> Q2 1.1</v>
      </c>
      <c r="BQ65" s="829" t="str">
        <f t="shared" si="74"/>
        <v>広さ・収納性</v>
      </c>
      <c r="BR65" s="2010">
        <f t="shared" si="75"/>
        <v>0.33333333333333331</v>
      </c>
      <c r="BS65" s="2010">
        <f t="shared" si="76"/>
        <v>0</v>
      </c>
      <c r="BT65" s="2010">
        <f t="shared" si="77"/>
        <v>0</v>
      </c>
      <c r="BU65" s="2010">
        <f t="shared" si="78"/>
        <v>0</v>
      </c>
      <c r="BV65" s="2225">
        <f t="shared" si="79"/>
        <v>0</v>
      </c>
      <c r="BW65" s="2010">
        <f t="shared" si="80"/>
        <v>0.33333333333333331</v>
      </c>
      <c r="BX65" s="2010">
        <f t="shared" si="81"/>
        <v>0</v>
      </c>
      <c r="BY65" s="2010">
        <f t="shared" si="82"/>
        <v>0</v>
      </c>
      <c r="BZ65" s="2010">
        <f t="shared" si="83"/>
        <v>0</v>
      </c>
      <c r="CA65" s="2010">
        <f t="shared" si="84"/>
        <v>0</v>
      </c>
      <c r="CB65" s="2039">
        <f t="shared" si="85"/>
        <v>1</v>
      </c>
      <c r="CC65" s="2010">
        <f t="shared" si="86"/>
        <v>0.5</v>
      </c>
      <c r="CD65" s="2010">
        <f t="shared" si="87"/>
        <v>0</v>
      </c>
      <c r="CF65" s="1207" t="s">
        <v>2304</v>
      </c>
      <c r="CG65" s="1211" t="s">
        <v>2154</v>
      </c>
      <c r="CH65" s="1208" t="s">
        <v>2155</v>
      </c>
      <c r="CI65" s="1244">
        <v>0.33333333333333331</v>
      </c>
      <c r="CJ65" s="1209"/>
      <c r="CK65" s="1209"/>
      <c r="CL65" s="1209"/>
      <c r="CM65" s="1223"/>
      <c r="CN65" s="1244">
        <v>0.33333333333333331</v>
      </c>
      <c r="CO65" s="1226">
        <v>0.5</v>
      </c>
      <c r="CP65" s="1209"/>
      <c r="CQ65" s="1209"/>
      <c r="CR65" s="1209"/>
      <c r="CS65" s="1214">
        <v>1</v>
      </c>
      <c r="CT65" s="1213">
        <v>0.5</v>
      </c>
      <c r="CU65" s="1213"/>
      <c r="CW65" s="1207" t="s">
        <v>3290</v>
      </c>
      <c r="CX65" s="1211" t="s">
        <v>2154</v>
      </c>
      <c r="CY65" s="1208" t="s">
        <v>2155</v>
      </c>
      <c r="CZ65" s="1213">
        <v>0.33333333333333331</v>
      </c>
      <c r="DA65" s="1213"/>
      <c r="DB65" s="1213"/>
      <c r="DC65" s="1213"/>
      <c r="DD65" s="1220"/>
      <c r="DE65" s="1213">
        <v>0.33333333333333331</v>
      </c>
      <c r="DF65" s="1213">
        <v>0.5</v>
      </c>
      <c r="DG65" s="1213"/>
      <c r="DH65" s="1213"/>
      <c r="DI65" s="1213"/>
      <c r="DJ65" s="1214">
        <v>1</v>
      </c>
      <c r="DK65" s="1213">
        <v>0.5</v>
      </c>
      <c r="DL65" s="1213"/>
      <c r="DN65" s="1207" t="s">
        <v>3289</v>
      </c>
      <c r="DO65" s="1211" t="s">
        <v>2154</v>
      </c>
      <c r="DP65" s="1208" t="s">
        <v>2155</v>
      </c>
      <c r="DQ65" s="1213">
        <v>0.33333333333333331</v>
      </c>
      <c r="DR65" s="1213"/>
      <c r="DS65" s="1213"/>
      <c r="DT65" s="1213"/>
      <c r="DU65" s="1220"/>
      <c r="DV65" s="1213">
        <v>0.33333333333333331</v>
      </c>
      <c r="DW65" s="1213"/>
      <c r="DX65" s="1213"/>
      <c r="DY65" s="1213"/>
      <c r="DZ65" s="1213"/>
      <c r="EA65" s="1214">
        <v>1</v>
      </c>
      <c r="EB65" s="1213">
        <v>0.5</v>
      </c>
      <c r="EC65" s="1213"/>
      <c r="ED65" s="1469"/>
      <c r="EF65" s="1207" t="s">
        <v>2304</v>
      </c>
      <c r="EG65" s="1211" t="s">
        <v>2154</v>
      </c>
      <c r="EH65" s="1208" t="s">
        <v>2155</v>
      </c>
      <c r="EI65" s="1689">
        <f t="shared" si="116"/>
        <v>0.33333333333333331</v>
      </c>
      <c r="EJ65" s="1689">
        <f t="shared" si="116"/>
        <v>0</v>
      </c>
      <c r="EK65" s="1689">
        <f t="shared" si="116"/>
        <v>0</v>
      </c>
      <c r="EL65" s="1689">
        <f t="shared" si="116"/>
        <v>0</v>
      </c>
      <c r="EM65" s="1701">
        <f t="shared" si="116"/>
        <v>0</v>
      </c>
      <c r="EN65" s="1689">
        <f t="shared" si="116"/>
        <v>0.33333333333333331</v>
      </c>
      <c r="EO65" s="1689">
        <f t="shared" si="116"/>
        <v>0</v>
      </c>
      <c r="EP65" s="1689">
        <f t="shared" si="116"/>
        <v>0</v>
      </c>
      <c r="EQ65" s="1689">
        <f t="shared" si="116"/>
        <v>0</v>
      </c>
      <c r="ER65" s="1689">
        <f t="shared" si="116"/>
        <v>0</v>
      </c>
      <c r="ES65" s="1691">
        <f t="shared" si="115"/>
        <v>1</v>
      </c>
      <c r="ET65" s="1689">
        <f t="shared" si="115"/>
        <v>0.5</v>
      </c>
      <c r="EU65" s="1689">
        <f t="shared" si="115"/>
        <v>0</v>
      </c>
      <c r="EW65" s="1207" t="s">
        <v>2304</v>
      </c>
      <c r="EX65" s="1211" t="s">
        <v>2154</v>
      </c>
      <c r="EY65" s="1208" t="s">
        <v>2155</v>
      </c>
      <c r="EZ65" s="1678">
        <f>DQ65</f>
        <v>0.33333333333333331</v>
      </c>
      <c r="FA65" s="1678"/>
      <c r="FB65" s="1678"/>
      <c r="FC65" s="1678"/>
      <c r="FD65" s="1738"/>
      <c r="FE65" s="1678"/>
      <c r="FF65" s="1678"/>
      <c r="FG65" s="1678"/>
      <c r="FH65" s="1678"/>
      <c r="FI65" s="1678"/>
      <c r="FJ65" s="1795"/>
      <c r="FK65" s="1678"/>
      <c r="FL65" s="1678"/>
    </row>
    <row r="66" spans="2:168">
      <c r="B66" s="2023" t="str">
        <f t="shared" si="101"/>
        <v>1.1.2</v>
      </c>
      <c r="C66" s="829" t="str">
        <f t="shared" si="65"/>
        <v>高度情報通信設備対応</v>
      </c>
      <c r="D66" s="2100" t="e">
        <f t="shared" si="117"/>
        <v>#REF!</v>
      </c>
      <c r="E66" s="2021" t="e">
        <f t="shared" si="117"/>
        <v>#REF!</v>
      </c>
      <c r="G66" s="2021" t="e">
        <f t="shared" si="67"/>
        <v>#REF!</v>
      </c>
      <c r="H66" s="2021" t="e">
        <f t="shared" si="68"/>
        <v>#REF!</v>
      </c>
      <c r="I66" s="2021"/>
      <c r="J66" s="2021"/>
      <c r="K66" s="2021" t="e">
        <f>IF(#REF!=0,0,1)</f>
        <v>#REF!</v>
      </c>
      <c r="L66" s="2021" t="e">
        <f>IF(#REF!=0,0,1)</f>
        <v>#REF!</v>
      </c>
      <c r="M66" s="2021">
        <f t="shared" si="69"/>
        <v>0.33333333333333331</v>
      </c>
      <c r="N66" s="2021">
        <f t="shared" si="70"/>
        <v>0</v>
      </c>
      <c r="P66" s="2123"/>
      <c r="Q66" s="2101"/>
      <c r="R66" s="993">
        <v>2</v>
      </c>
      <c r="S66" s="1655" t="s">
        <v>1808</v>
      </c>
      <c r="T66" s="2036"/>
      <c r="U66" s="2017"/>
      <c r="V66" s="2038">
        <f t="shared" si="104"/>
        <v>0</v>
      </c>
      <c r="W66" s="2037">
        <f t="shared" si="105"/>
        <v>0</v>
      </c>
      <c r="Y66" s="1">
        <f t="shared" si="88"/>
        <v>0</v>
      </c>
      <c r="Z66" s="1">
        <f t="shared" si="89"/>
        <v>0</v>
      </c>
      <c r="AA66" s="1">
        <f t="shared" si="90"/>
        <v>0</v>
      </c>
      <c r="AB66" s="1">
        <f t="shared" si="91"/>
        <v>0</v>
      </c>
      <c r="AC66" s="1">
        <f t="shared" si="92"/>
        <v>0</v>
      </c>
      <c r="AD66" s="1">
        <f t="shared" si="93"/>
        <v>0</v>
      </c>
      <c r="AE66" s="1">
        <f t="shared" si="94"/>
        <v>0</v>
      </c>
      <c r="AF66" s="1">
        <f t="shared" si="95"/>
        <v>0</v>
      </c>
      <c r="AG66" s="1">
        <f t="shared" si="96"/>
        <v>0</v>
      </c>
      <c r="AH66" s="1">
        <f t="shared" si="97"/>
        <v>0</v>
      </c>
      <c r="AI66" s="1">
        <f t="shared" si="98"/>
        <v>0</v>
      </c>
      <c r="AJ66" s="1">
        <f t="shared" si="99"/>
        <v>0</v>
      </c>
      <c r="AK66" s="1">
        <f t="shared" si="100"/>
        <v>0</v>
      </c>
      <c r="AM66" s="1828"/>
      <c r="AN66" s="1828"/>
      <c r="AO66" s="1828"/>
      <c r="AP66" s="1828"/>
      <c r="AQ66" s="1828"/>
      <c r="AR66" s="1828"/>
      <c r="AS66" s="1828"/>
      <c r="AT66" s="1828"/>
      <c r="AU66" s="1828"/>
      <c r="AV66" s="1828"/>
      <c r="AW66" s="1828"/>
      <c r="AX66" s="1828"/>
      <c r="AY66" s="1828"/>
      <c r="BA66" s="2014"/>
      <c r="BB66" s="2014" t="e">
        <f t="shared" si="71"/>
        <v>#REF!</v>
      </c>
      <c r="BC66" s="2014"/>
      <c r="BD66" s="2013" t="e">
        <f>BR66*#REF!</f>
        <v>#REF!</v>
      </c>
      <c r="BE66" s="2013" t="e">
        <f>BS66*#REF!</f>
        <v>#REF!</v>
      </c>
      <c r="BF66" s="2013" t="e">
        <f>BT66*#REF!</f>
        <v>#REF!</v>
      </c>
      <c r="BG66" s="2013" t="e">
        <f>BU66*#REF!</f>
        <v>#REF!</v>
      </c>
      <c r="BH66" s="2226" t="e">
        <f>BV66*#REF!</f>
        <v>#REF!</v>
      </c>
      <c r="BI66" s="2013" t="e">
        <f>BW66*#REF!</f>
        <v>#REF!</v>
      </c>
      <c r="BJ66" s="2013" t="e">
        <f>BX66*#REF!</f>
        <v>#REF!</v>
      </c>
      <c r="BK66" s="2013" t="e">
        <f>BY66*#REF!</f>
        <v>#REF!</v>
      </c>
      <c r="BL66" s="2013" t="e">
        <f>BZ66*#REF!</f>
        <v>#REF!</v>
      </c>
      <c r="BM66" s="2013" t="e">
        <f>CA66*#REF!</f>
        <v>#REF!</v>
      </c>
      <c r="BO66" s="2040" t="str">
        <f t="shared" si="72"/>
        <v>1.1.2</v>
      </c>
      <c r="BP66" s="2040" t="str">
        <f t="shared" si="73"/>
        <v xml:space="preserve"> Q2 1.1</v>
      </c>
      <c r="BQ66" s="829" t="str">
        <f t="shared" si="74"/>
        <v>高度情報通信設備対応</v>
      </c>
      <c r="BR66" s="2010">
        <f t="shared" si="75"/>
        <v>0.33333333333333331</v>
      </c>
      <c r="BS66" s="2010">
        <f t="shared" si="76"/>
        <v>0</v>
      </c>
      <c r="BT66" s="2010">
        <f t="shared" si="77"/>
        <v>0</v>
      </c>
      <c r="BU66" s="2010">
        <f t="shared" si="78"/>
        <v>0</v>
      </c>
      <c r="BV66" s="2225">
        <f t="shared" si="79"/>
        <v>0</v>
      </c>
      <c r="BW66" s="2010">
        <f t="shared" si="80"/>
        <v>0.33333333333333331</v>
      </c>
      <c r="BX66" s="2010">
        <f t="shared" si="81"/>
        <v>0</v>
      </c>
      <c r="BY66" s="2010">
        <f t="shared" si="82"/>
        <v>0</v>
      </c>
      <c r="BZ66" s="2010">
        <f t="shared" si="83"/>
        <v>0</v>
      </c>
      <c r="CA66" s="2010">
        <f t="shared" si="84"/>
        <v>0</v>
      </c>
      <c r="CB66" s="2039">
        <f t="shared" si="85"/>
        <v>0</v>
      </c>
      <c r="CC66" s="2010">
        <f t="shared" si="86"/>
        <v>0.5</v>
      </c>
      <c r="CD66" s="2010">
        <f t="shared" si="87"/>
        <v>1</v>
      </c>
      <c r="CF66" s="1207" t="s">
        <v>3288</v>
      </c>
      <c r="CG66" s="1211" t="s">
        <v>2154</v>
      </c>
      <c r="CH66" s="1208" t="s">
        <v>2306</v>
      </c>
      <c r="CI66" s="1244">
        <v>0.33333333333333331</v>
      </c>
      <c r="CJ66" s="1209"/>
      <c r="CK66" s="1209"/>
      <c r="CL66" s="1209"/>
      <c r="CM66" s="1223"/>
      <c r="CN66" s="1244">
        <v>0.33333333333333331</v>
      </c>
      <c r="CO66" s="1226"/>
      <c r="CP66" s="1209"/>
      <c r="CQ66" s="1209"/>
      <c r="CR66" s="1209"/>
      <c r="CS66" s="1214"/>
      <c r="CT66" s="1213">
        <v>0.5</v>
      </c>
      <c r="CU66" s="1213">
        <v>1</v>
      </c>
      <c r="CW66" s="1207" t="s">
        <v>3288</v>
      </c>
      <c r="CX66" s="1211" t="s">
        <v>2154</v>
      </c>
      <c r="CY66" s="1208" t="s">
        <v>2306</v>
      </c>
      <c r="CZ66" s="1213">
        <v>0.33333333333333331</v>
      </c>
      <c r="DA66" s="1213"/>
      <c r="DB66" s="1213"/>
      <c r="DC66" s="1213"/>
      <c r="DD66" s="1220"/>
      <c r="DE66" s="1213">
        <v>0.33333333333333331</v>
      </c>
      <c r="DF66" s="1213"/>
      <c r="DG66" s="1213"/>
      <c r="DH66" s="1213"/>
      <c r="DI66" s="1213"/>
      <c r="DJ66" s="1214"/>
      <c r="DK66" s="1213">
        <v>0.5</v>
      </c>
      <c r="DL66" s="1213">
        <v>1</v>
      </c>
      <c r="DN66" s="1207" t="s">
        <v>2305</v>
      </c>
      <c r="DO66" s="1211" t="s">
        <v>2154</v>
      </c>
      <c r="DP66" s="1208" t="s">
        <v>3287</v>
      </c>
      <c r="DQ66" s="1213">
        <v>0.33333333333333331</v>
      </c>
      <c r="DR66" s="1213"/>
      <c r="DS66" s="1213"/>
      <c r="DT66" s="1213"/>
      <c r="DU66" s="1220"/>
      <c r="DV66" s="1213">
        <v>0.33333333333333331</v>
      </c>
      <c r="DW66" s="1213"/>
      <c r="DX66" s="1213"/>
      <c r="DY66" s="1213"/>
      <c r="DZ66" s="1213"/>
      <c r="EA66" s="1214"/>
      <c r="EB66" s="1213">
        <v>0.5</v>
      </c>
      <c r="EC66" s="1213">
        <v>1</v>
      </c>
      <c r="ED66" s="1469"/>
      <c r="EF66" s="1207" t="s">
        <v>2305</v>
      </c>
      <c r="EG66" s="1211" t="s">
        <v>2154</v>
      </c>
      <c r="EH66" s="1208" t="s">
        <v>3287</v>
      </c>
      <c r="EI66" s="1689">
        <f t="shared" si="116"/>
        <v>0.33333333333333331</v>
      </c>
      <c r="EJ66" s="1689">
        <f t="shared" si="116"/>
        <v>0</v>
      </c>
      <c r="EK66" s="1689">
        <f t="shared" si="116"/>
        <v>0</v>
      </c>
      <c r="EL66" s="1689">
        <f t="shared" si="116"/>
        <v>0</v>
      </c>
      <c r="EM66" s="1701">
        <f t="shared" si="116"/>
        <v>0</v>
      </c>
      <c r="EN66" s="1689">
        <f t="shared" si="116"/>
        <v>0.33333333333333331</v>
      </c>
      <c r="EO66" s="1689">
        <f t="shared" si="116"/>
        <v>0</v>
      </c>
      <c r="EP66" s="1689">
        <f t="shared" si="116"/>
        <v>0</v>
      </c>
      <c r="EQ66" s="1689">
        <f t="shared" si="116"/>
        <v>0</v>
      </c>
      <c r="ER66" s="1689">
        <f t="shared" si="116"/>
        <v>0</v>
      </c>
      <c r="ES66" s="1691">
        <f t="shared" si="115"/>
        <v>0</v>
      </c>
      <c r="ET66" s="1689">
        <f t="shared" si="115"/>
        <v>0.5</v>
      </c>
      <c r="EU66" s="1689">
        <f t="shared" si="115"/>
        <v>1</v>
      </c>
      <c r="EW66" s="1207" t="s">
        <v>2305</v>
      </c>
      <c r="EX66" s="1211" t="s">
        <v>2154</v>
      </c>
      <c r="EY66" s="1208" t="s">
        <v>2306</v>
      </c>
      <c r="EZ66" s="1678">
        <f>DQ66</f>
        <v>0.33333333333333331</v>
      </c>
      <c r="FA66" s="1678"/>
      <c r="FB66" s="1678"/>
      <c r="FC66" s="1678"/>
      <c r="FD66" s="1738"/>
      <c r="FE66" s="1678"/>
      <c r="FF66" s="1678"/>
      <c r="FG66" s="1678"/>
      <c r="FH66" s="1678"/>
      <c r="FI66" s="1678"/>
      <c r="FJ66" s="1795"/>
      <c r="FK66" s="1678"/>
      <c r="FL66" s="1678"/>
    </row>
    <row r="67" spans="2:168" ht="14.25" thickBot="1">
      <c r="B67" s="2023" t="str">
        <f t="shared" si="101"/>
        <v>1.1.3</v>
      </c>
      <c r="C67" s="829" t="str">
        <f t="shared" si="65"/>
        <v>バリアフリー計画</v>
      </c>
      <c r="D67" s="2100" t="e">
        <f t="shared" si="117"/>
        <v>#REF!</v>
      </c>
      <c r="E67" s="2021" t="e">
        <f t="shared" si="117"/>
        <v>#REF!</v>
      </c>
      <c r="G67" s="2021" t="e">
        <f t="shared" si="67"/>
        <v>#REF!</v>
      </c>
      <c r="H67" s="2021" t="e">
        <f t="shared" si="68"/>
        <v>#REF!</v>
      </c>
      <c r="I67" s="2021"/>
      <c r="J67" s="2021"/>
      <c r="K67" s="2021" t="e">
        <f>IF(#REF!=0,0,1)</f>
        <v>#REF!</v>
      </c>
      <c r="L67" s="2021" t="e">
        <f>IF(#REF!=0,0,1)</f>
        <v>#REF!</v>
      </c>
      <c r="M67" s="2021">
        <f t="shared" si="69"/>
        <v>0.33333333333333331</v>
      </c>
      <c r="N67" s="2021">
        <f t="shared" si="70"/>
        <v>0</v>
      </c>
      <c r="P67" s="2123"/>
      <c r="Q67" s="2227"/>
      <c r="R67" s="993">
        <v>3</v>
      </c>
      <c r="S67" s="1655" t="s">
        <v>1809</v>
      </c>
      <c r="T67" s="2036"/>
      <c r="U67" s="2017"/>
      <c r="V67" s="2016">
        <f t="shared" si="104"/>
        <v>0</v>
      </c>
      <c r="W67" s="2015">
        <f t="shared" si="105"/>
        <v>0</v>
      </c>
      <c r="Y67" s="1">
        <f t="shared" si="88"/>
        <v>0</v>
      </c>
      <c r="Z67" s="1">
        <f t="shared" si="89"/>
        <v>0</v>
      </c>
      <c r="AA67" s="1">
        <f t="shared" si="90"/>
        <v>0</v>
      </c>
      <c r="AB67" s="1">
        <f t="shared" si="91"/>
        <v>0</v>
      </c>
      <c r="AC67" s="1">
        <f t="shared" si="92"/>
        <v>0</v>
      </c>
      <c r="AD67" s="1">
        <f t="shared" si="93"/>
        <v>0</v>
      </c>
      <c r="AE67" s="1">
        <f t="shared" si="94"/>
        <v>0</v>
      </c>
      <c r="AF67" s="1">
        <f t="shared" si="95"/>
        <v>0</v>
      </c>
      <c r="AG67" s="1">
        <f t="shared" si="96"/>
        <v>0</v>
      </c>
      <c r="AH67" s="1">
        <f t="shared" si="97"/>
        <v>0</v>
      </c>
      <c r="AI67" s="1">
        <f t="shared" si="98"/>
        <v>0</v>
      </c>
      <c r="AJ67" s="1">
        <f t="shared" si="99"/>
        <v>0</v>
      </c>
      <c r="AK67" s="1">
        <f t="shared" si="100"/>
        <v>0</v>
      </c>
      <c r="AM67" s="1831"/>
      <c r="AN67" s="1831"/>
      <c r="AO67" s="1831"/>
      <c r="AP67" s="1831"/>
      <c r="AQ67" s="1831"/>
      <c r="AR67" s="1831"/>
      <c r="AS67" s="1831"/>
      <c r="AT67" s="1831"/>
      <c r="AU67" s="1831"/>
      <c r="AV67" s="1831"/>
      <c r="AW67" s="1831"/>
      <c r="AX67" s="1831"/>
      <c r="AY67" s="1831"/>
      <c r="BA67" s="2014"/>
      <c r="BB67" s="2014" t="e">
        <f t="shared" si="71"/>
        <v>#REF!</v>
      </c>
      <c r="BC67" s="2014"/>
      <c r="BD67" s="2013" t="e">
        <f>BR67*#REF!</f>
        <v>#REF!</v>
      </c>
      <c r="BE67" s="2013" t="e">
        <f>BS67*#REF!</f>
        <v>#REF!</v>
      </c>
      <c r="BF67" s="2013" t="e">
        <f>BT67*#REF!</f>
        <v>#REF!</v>
      </c>
      <c r="BG67" s="2013" t="e">
        <f>BU67*#REF!</f>
        <v>#REF!</v>
      </c>
      <c r="BH67" s="2226" t="e">
        <f>BV67*#REF!</f>
        <v>#REF!</v>
      </c>
      <c r="BI67" s="2013" t="e">
        <f>BW67*#REF!</f>
        <v>#REF!</v>
      </c>
      <c r="BJ67" s="2013" t="e">
        <f>BX67*#REF!</f>
        <v>#REF!</v>
      </c>
      <c r="BK67" s="2013" t="e">
        <f>BY67*#REF!</f>
        <v>#REF!</v>
      </c>
      <c r="BL67" s="2013" t="e">
        <f>BZ67*#REF!</f>
        <v>#REF!</v>
      </c>
      <c r="BM67" s="2013" t="e">
        <f>CA67*#REF!</f>
        <v>#REF!</v>
      </c>
      <c r="BO67" s="2040" t="str">
        <f t="shared" si="72"/>
        <v>1.1.3</v>
      </c>
      <c r="BP67" s="2040" t="str">
        <f t="shared" si="73"/>
        <v xml:space="preserve"> Q2 1.1</v>
      </c>
      <c r="BQ67" s="829" t="str">
        <f t="shared" si="74"/>
        <v>バリアフリー計画</v>
      </c>
      <c r="BR67" s="2010">
        <f t="shared" si="75"/>
        <v>0.33333333333333331</v>
      </c>
      <c r="BS67" s="2010">
        <f t="shared" si="76"/>
        <v>1</v>
      </c>
      <c r="BT67" s="2010">
        <f t="shared" si="77"/>
        <v>1</v>
      </c>
      <c r="BU67" s="2010">
        <f t="shared" si="78"/>
        <v>1</v>
      </c>
      <c r="BV67" s="2225">
        <f t="shared" si="79"/>
        <v>1</v>
      </c>
      <c r="BW67" s="2010">
        <f t="shared" si="80"/>
        <v>0.33333333333333331</v>
      </c>
      <c r="BX67" s="2010">
        <f t="shared" si="81"/>
        <v>1</v>
      </c>
      <c r="BY67" s="2010">
        <f t="shared" si="82"/>
        <v>1</v>
      </c>
      <c r="BZ67" s="2010">
        <f t="shared" si="83"/>
        <v>1</v>
      </c>
      <c r="CA67" s="2010">
        <f t="shared" si="84"/>
        <v>1</v>
      </c>
      <c r="CB67" s="2039">
        <f t="shared" si="85"/>
        <v>0</v>
      </c>
      <c r="CC67" s="2010">
        <f t="shared" si="86"/>
        <v>0</v>
      </c>
      <c r="CD67" s="2010">
        <f t="shared" si="87"/>
        <v>0</v>
      </c>
      <c r="CF67" s="1207" t="s">
        <v>3286</v>
      </c>
      <c r="CG67" s="1211" t="s">
        <v>2154</v>
      </c>
      <c r="CH67" s="1208" t="s">
        <v>2156</v>
      </c>
      <c r="CI67" s="1244">
        <v>0.33333333333333331</v>
      </c>
      <c r="CJ67" s="1209">
        <v>1</v>
      </c>
      <c r="CK67" s="1209">
        <v>1</v>
      </c>
      <c r="CL67" s="1209">
        <v>1</v>
      </c>
      <c r="CM67" s="1223">
        <v>1</v>
      </c>
      <c r="CN67" s="1244">
        <v>0.33333333333333331</v>
      </c>
      <c r="CO67" s="1226">
        <v>0.5</v>
      </c>
      <c r="CP67" s="1209">
        <v>1</v>
      </c>
      <c r="CQ67" s="1209">
        <v>1</v>
      </c>
      <c r="CR67" s="1209">
        <v>1</v>
      </c>
      <c r="CS67" s="1214"/>
      <c r="CT67" s="1213"/>
      <c r="CU67" s="1213"/>
      <c r="CW67" s="1207" t="s">
        <v>3286</v>
      </c>
      <c r="CX67" s="1211" t="s">
        <v>2154</v>
      </c>
      <c r="CY67" s="1208" t="s">
        <v>2156</v>
      </c>
      <c r="CZ67" s="1213">
        <v>0.33333333333333331</v>
      </c>
      <c r="DA67" s="1213">
        <v>1</v>
      </c>
      <c r="DB67" s="1213">
        <v>1</v>
      </c>
      <c r="DC67" s="1213">
        <v>1</v>
      </c>
      <c r="DD67" s="1220">
        <v>1</v>
      </c>
      <c r="DE67" s="1213">
        <v>0.33333333333333331</v>
      </c>
      <c r="DF67" s="1213">
        <v>0.5</v>
      </c>
      <c r="DG67" s="1213">
        <v>1</v>
      </c>
      <c r="DH67" s="1213">
        <v>1</v>
      </c>
      <c r="DI67" s="1213">
        <v>1</v>
      </c>
      <c r="DJ67" s="1214"/>
      <c r="DK67" s="1213"/>
      <c r="DL67" s="1213"/>
      <c r="DN67" s="1207" t="s">
        <v>2307</v>
      </c>
      <c r="DO67" s="1211" t="s">
        <v>2154</v>
      </c>
      <c r="DP67" s="1208" t="s">
        <v>2156</v>
      </c>
      <c r="DQ67" s="1213">
        <v>0.33333333333333331</v>
      </c>
      <c r="DR67" s="1213">
        <v>1</v>
      </c>
      <c r="DS67" s="1213">
        <v>1</v>
      </c>
      <c r="DT67" s="1213">
        <v>1</v>
      </c>
      <c r="DU67" s="1220">
        <v>1</v>
      </c>
      <c r="DV67" s="1213">
        <v>0.33333333333333331</v>
      </c>
      <c r="DW67" s="1213">
        <v>1</v>
      </c>
      <c r="DX67" s="1213">
        <v>1</v>
      </c>
      <c r="DY67" s="1213">
        <v>1</v>
      </c>
      <c r="DZ67" s="1213">
        <v>1</v>
      </c>
      <c r="EA67" s="1214"/>
      <c r="EB67" s="1213"/>
      <c r="EC67" s="1213"/>
      <c r="ED67" s="1469"/>
      <c r="EF67" s="1207" t="s">
        <v>3286</v>
      </c>
      <c r="EG67" s="1211" t="s">
        <v>2154</v>
      </c>
      <c r="EH67" s="1208" t="s">
        <v>2156</v>
      </c>
      <c r="EI67" s="1689">
        <f t="shared" si="116"/>
        <v>0.33333333333333331</v>
      </c>
      <c r="EJ67" s="1689">
        <f t="shared" si="116"/>
        <v>1</v>
      </c>
      <c r="EK67" s="1689">
        <f t="shared" si="116"/>
        <v>1</v>
      </c>
      <c r="EL67" s="1689">
        <f t="shared" si="116"/>
        <v>1</v>
      </c>
      <c r="EM67" s="1701">
        <f t="shared" si="116"/>
        <v>1</v>
      </c>
      <c r="EN67" s="1689">
        <f t="shared" si="116"/>
        <v>0.33333333333333331</v>
      </c>
      <c r="EO67" s="1689">
        <f t="shared" si="116"/>
        <v>1</v>
      </c>
      <c r="EP67" s="1689">
        <f t="shared" si="116"/>
        <v>1</v>
      </c>
      <c r="EQ67" s="1689">
        <f t="shared" si="116"/>
        <v>1</v>
      </c>
      <c r="ER67" s="1689">
        <f t="shared" si="116"/>
        <v>1</v>
      </c>
      <c r="ES67" s="1691">
        <f t="shared" si="115"/>
        <v>0</v>
      </c>
      <c r="ET67" s="1689">
        <f t="shared" si="115"/>
        <v>0</v>
      </c>
      <c r="EU67" s="1689">
        <f t="shared" si="115"/>
        <v>0</v>
      </c>
      <c r="EW67" s="1207" t="s">
        <v>3286</v>
      </c>
      <c r="EX67" s="1211" t="s">
        <v>2154</v>
      </c>
      <c r="EY67" s="1208" t="s">
        <v>2156</v>
      </c>
      <c r="EZ67" s="1678">
        <f>DQ67</f>
        <v>0.33333333333333331</v>
      </c>
      <c r="FA67" s="1678"/>
      <c r="FB67" s="1678"/>
      <c r="FC67" s="1678"/>
      <c r="FD67" s="1738"/>
      <c r="FE67" s="1678"/>
      <c r="FF67" s="1678"/>
      <c r="FG67" s="1678"/>
      <c r="FH67" s="1678"/>
      <c r="FI67" s="1678"/>
      <c r="FJ67" s="1795"/>
      <c r="FK67" s="1678"/>
      <c r="FL67" s="1678"/>
    </row>
    <row r="68" spans="2:168" ht="14.25" thickBot="1">
      <c r="B68" s="2023">
        <f t="shared" si="101"/>
        <v>1.2</v>
      </c>
      <c r="C68" s="829" t="str">
        <f t="shared" si="65"/>
        <v>心理性・快適性</v>
      </c>
      <c r="D68" s="2022" t="e">
        <f>IF(I$63=0,0,G68/I$63)</f>
        <v>#REF!</v>
      </c>
      <c r="E68" s="2021" t="e">
        <f>IF(J$63=0,0,H68/J$63)</f>
        <v>#REF!</v>
      </c>
      <c r="G68" s="2021" t="e">
        <f t="shared" si="67"/>
        <v>#REF!</v>
      </c>
      <c r="H68" s="2021" t="e">
        <f t="shared" si="68"/>
        <v>#REF!</v>
      </c>
      <c r="I68" s="2021" t="e">
        <f>SUM(G69:G73)</f>
        <v>#REF!</v>
      </c>
      <c r="J68" s="2021" t="e">
        <f>SUM(H69:H73)</f>
        <v>#REF!</v>
      </c>
      <c r="K68" s="2021" t="e">
        <f>IF(#REF!=0,0,1)</f>
        <v>#REF!</v>
      </c>
      <c r="L68" s="2021" t="e">
        <f>IF(#REF!=0,0,1)</f>
        <v>#REF!</v>
      </c>
      <c r="M68" s="2021">
        <f t="shared" si="69"/>
        <v>0.3</v>
      </c>
      <c r="N68" s="2021">
        <f t="shared" si="70"/>
        <v>0</v>
      </c>
      <c r="P68" s="2123"/>
      <c r="Q68" s="2035">
        <v>1.2</v>
      </c>
      <c r="R68" s="2107" t="s">
        <v>2225</v>
      </c>
      <c r="S68" s="2106"/>
      <c r="T68" s="2106"/>
      <c r="U68" s="2017"/>
      <c r="V68" s="2105">
        <f t="shared" si="104"/>
        <v>0</v>
      </c>
      <c r="W68" s="2104">
        <f t="shared" si="105"/>
        <v>0</v>
      </c>
      <c r="Y68" s="1">
        <f t="shared" si="88"/>
        <v>0</v>
      </c>
      <c r="Z68" s="1">
        <f t="shared" si="89"/>
        <v>0</v>
      </c>
      <c r="AA68" s="1">
        <f t="shared" si="90"/>
        <v>0</v>
      </c>
      <c r="AB68" s="1">
        <f t="shared" si="91"/>
        <v>0</v>
      </c>
      <c r="AC68" s="1">
        <f t="shared" si="92"/>
        <v>0</v>
      </c>
      <c r="AD68" s="1">
        <f t="shared" si="93"/>
        <v>0</v>
      </c>
      <c r="AE68" s="1">
        <f t="shared" si="94"/>
        <v>0</v>
      </c>
      <c r="AF68" s="1">
        <f t="shared" si="95"/>
        <v>0</v>
      </c>
      <c r="AG68" s="1">
        <f t="shared" si="96"/>
        <v>0</v>
      </c>
      <c r="AH68" s="1">
        <f t="shared" si="97"/>
        <v>0</v>
      </c>
      <c r="AI68" s="1">
        <f t="shared" si="98"/>
        <v>0</v>
      </c>
      <c r="AJ68" s="1">
        <f t="shared" si="99"/>
        <v>0</v>
      </c>
      <c r="AK68" s="1">
        <f t="shared" si="100"/>
        <v>0</v>
      </c>
      <c r="AM68" s="2103" t="s">
        <v>3284</v>
      </c>
      <c r="AN68" s="2103" t="s">
        <v>3284</v>
      </c>
      <c r="AO68" s="2103" t="s">
        <v>3284</v>
      </c>
      <c r="AP68" s="2103" t="s">
        <v>3284</v>
      </c>
      <c r="AQ68" s="2103" t="s">
        <v>3157</v>
      </c>
      <c r="AR68" s="2103" t="s">
        <v>3284</v>
      </c>
      <c r="AS68" s="2103" t="s">
        <v>3285</v>
      </c>
      <c r="AT68" s="2103" t="s">
        <v>3284</v>
      </c>
      <c r="AU68" s="2103" t="s">
        <v>3284</v>
      </c>
      <c r="AV68" s="2103" t="s">
        <v>177</v>
      </c>
      <c r="AW68" s="2103" t="s">
        <v>3284</v>
      </c>
      <c r="AX68" s="2103" t="s">
        <v>3284</v>
      </c>
      <c r="AY68" s="2103" t="s">
        <v>177</v>
      </c>
      <c r="BA68" s="2014"/>
      <c r="BB68" s="2014" t="e">
        <f t="shared" si="71"/>
        <v>#REF!</v>
      </c>
      <c r="BC68" s="2014"/>
      <c r="BD68" s="2013" t="e">
        <f>BR68*#REF!</f>
        <v>#REF!</v>
      </c>
      <c r="BE68" s="2013" t="e">
        <f>BS68*#REF!</f>
        <v>#REF!</v>
      </c>
      <c r="BF68" s="2013" t="e">
        <f>BT68*#REF!</f>
        <v>#REF!</v>
      </c>
      <c r="BG68" s="2013" t="e">
        <f>BU68*#REF!</f>
        <v>#REF!</v>
      </c>
      <c r="BH68" s="2226" t="e">
        <f>BV68*#REF!</f>
        <v>#REF!</v>
      </c>
      <c r="BI68" s="2013" t="e">
        <f>BW68*#REF!</f>
        <v>#REF!</v>
      </c>
      <c r="BJ68" s="2013" t="e">
        <f>BX68*#REF!</f>
        <v>#REF!</v>
      </c>
      <c r="BK68" s="2013" t="e">
        <f>BY68*#REF!</f>
        <v>#REF!</v>
      </c>
      <c r="BL68" s="2013" t="e">
        <f>BZ68*#REF!</f>
        <v>#REF!</v>
      </c>
      <c r="BM68" s="2013" t="e">
        <f>CA68*#REF!</f>
        <v>#REF!</v>
      </c>
      <c r="BO68" s="2040">
        <f t="shared" si="72"/>
        <v>1.2</v>
      </c>
      <c r="BP68" s="2040" t="str">
        <f t="shared" si="73"/>
        <v xml:space="preserve"> Q2 1</v>
      </c>
      <c r="BQ68" s="829" t="str">
        <f t="shared" si="74"/>
        <v>心理性・快適性</v>
      </c>
      <c r="BR68" s="2010">
        <f t="shared" si="75"/>
        <v>0.3</v>
      </c>
      <c r="BS68" s="2010">
        <f t="shared" si="76"/>
        <v>0.3</v>
      </c>
      <c r="BT68" s="2010">
        <f t="shared" si="77"/>
        <v>0.3</v>
      </c>
      <c r="BU68" s="2010">
        <f t="shared" si="78"/>
        <v>0.3</v>
      </c>
      <c r="BV68" s="2225">
        <f t="shared" si="79"/>
        <v>0.3</v>
      </c>
      <c r="BW68" s="2010">
        <f t="shared" si="80"/>
        <v>0.3</v>
      </c>
      <c r="BX68" s="2010">
        <f t="shared" si="81"/>
        <v>0.3</v>
      </c>
      <c r="BY68" s="2010">
        <f t="shared" si="82"/>
        <v>0.3</v>
      </c>
      <c r="BZ68" s="2010">
        <f t="shared" si="83"/>
        <v>0.3</v>
      </c>
      <c r="CA68" s="2010">
        <f t="shared" si="84"/>
        <v>0.3</v>
      </c>
      <c r="CB68" s="2039">
        <f t="shared" si="85"/>
        <v>0.4</v>
      </c>
      <c r="CC68" s="2010">
        <f t="shared" si="86"/>
        <v>0.4</v>
      </c>
      <c r="CD68" s="2010">
        <f t="shared" si="87"/>
        <v>0.4</v>
      </c>
      <c r="CF68" s="1207">
        <v>1.2</v>
      </c>
      <c r="CG68" s="1211" t="s">
        <v>2152</v>
      </c>
      <c r="CH68" s="1208" t="s">
        <v>2225</v>
      </c>
      <c r="CI68" s="1209">
        <v>0.3</v>
      </c>
      <c r="CJ68" s="1209">
        <v>0.3</v>
      </c>
      <c r="CK68" s="1209">
        <v>0.3</v>
      </c>
      <c r="CL68" s="1212">
        <v>0.3</v>
      </c>
      <c r="CM68" s="1209">
        <v>0.3</v>
      </c>
      <c r="CN68" s="1212">
        <v>0.3</v>
      </c>
      <c r="CO68" s="1213">
        <v>0.3</v>
      </c>
      <c r="CP68" s="1212">
        <v>0.3</v>
      </c>
      <c r="CQ68" s="1209">
        <v>0.3</v>
      </c>
      <c r="CR68" s="1212">
        <v>0.3</v>
      </c>
      <c r="CS68" s="1213">
        <v>0.4</v>
      </c>
      <c r="CT68" s="1213">
        <v>0.4</v>
      </c>
      <c r="CU68" s="1213">
        <v>0.4</v>
      </c>
      <c r="CW68" s="1207">
        <v>1.2</v>
      </c>
      <c r="CX68" s="1211" t="s">
        <v>2152</v>
      </c>
      <c r="CY68" s="1208" t="s">
        <v>2225</v>
      </c>
      <c r="CZ68" s="1213">
        <v>0.3</v>
      </c>
      <c r="DA68" s="1213">
        <v>0.3</v>
      </c>
      <c r="DB68" s="1213">
        <v>0.3</v>
      </c>
      <c r="DC68" s="1213">
        <v>0.3</v>
      </c>
      <c r="DD68" s="1220">
        <v>0.3</v>
      </c>
      <c r="DE68" s="1213">
        <v>0.3</v>
      </c>
      <c r="DF68" s="1213">
        <v>0.3</v>
      </c>
      <c r="DG68" s="1213">
        <v>0.3</v>
      </c>
      <c r="DH68" s="1213">
        <v>0.3</v>
      </c>
      <c r="DI68" s="1213">
        <v>0.3</v>
      </c>
      <c r="DJ68" s="1213">
        <v>0.4</v>
      </c>
      <c r="DK68" s="1213">
        <v>0.4</v>
      </c>
      <c r="DL68" s="1213">
        <v>0.4</v>
      </c>
      <c r="DN68" s="1207">
        <v>1.2</v>
      </c>
      <c r="DO68" s="1211" t="s">
        <v>2152</v>
      </c>
      <c r="DP68" s="1208" t="s">
        <v>2225</v>
      </c>
      <c r="DQ68" s="1213">
        <v>0.3</v>
      </c>
      <c r="DR68" s="1213">
        <v>0.3</v>
      </c>
      <c r="DS68" s="1213">
        <v>0.3</v>
      </c>
      <c r="DT68" s="1213">
        <v>0.3</v>
      </c>
      <c r="DU68" s="1220">
        <v>0.3</v>
      </c>
      <c r="DV68" s="1213">
        <v>0.3</v>
      </c>
      <c r="DW68" s="1213">
        <v>0.3</v>
      </c>
      <c r="DX68" s="1213">
        <v>0.3</v>
      </c>
      <c r="DY68" s="1213">
        <v>0.3</v>
      </c>
      <c r="DZ68" s="1213">
        <v>0.3</v>
      </c>
      <c r="EA68" s="1213">
        <v>0.4</v>
      </c>
      <c r="EB68" s="1213">
        <v>0.4</v>
      </c>
      <c r="EC68" s="1213">
        <v>0.4</v>
      </c>
      <c r="ED68" s="1469"/>
      <c r="EF68" s="1207">
        <v>1.2</v>
      </c>
      <c r="EG68" s="1211" t="s">
        <v>2152</v>
      </c>
      <c r="EH68" s="1208" t="s">
        <v>2225</v>
      </c>
      <c r="EI68" s="1689">
        <f t="shared" si="116"/>
        <v>0.3</v>
      </c>
      <c r="EJ68" s="1689">
        <f t="shared" si="116"/>
        <v>0.3</v>
      </c>
      <c r="EK68" s="1689">
        <f t="shared" si="116"/>
        <v>0.3</v>
      </c>
      <c r="EL68" s="1689">
        <f t="shared" si="116"/>
        <v>0.3</v>
      </c>
      <c r="EM68" s="1701">
        <f t="shared" si="116"/>
        <v>0.3</v>
      </c>
      <c r="EN68" s="1689">
        <f t="shared" si="116"/>
        <v>0.3</v>
      </c>
      <c r="EO68" s="1689">
        <f t="shared" si="116"/>
        <v>0.3</v>
      </c>
      <c r="EP68" s="1689">
        <f t="shared" si="116"/>
        <v>0.3</v>
      </c>
      <c r="EQ68" s="1689">
        <f t="shared" si="116"/>
        <v>0.3</v>
      </c>
      <c r="ER68" s="1689">
        <f t="shared" si="116"/>
        <v>0.3</v>
      </c>
      <c r="ES68" s="1689">
        <f t="shared" si="115"/>
        <v>0.4</v>
      </c>
      <c r="ET68" s="1689">
        <f t="shared" si="115"/>
        <v>0.4</v>
      </c>
      <c r="EU68" s="1689">
        <f t="shared" si="115"/>
        <v>0.4</v>
      </c>
      <c r="EW68" s="1207">
        <v>1.2</v>
      </c>
      <c r="EX68" s="1211" t="s">
        <v>2152</v>
      </c>
      <c r="EY68" s="1208" t="s">
        <v>2225</v>
      </c>
      <c r="EZ68" s="1820">
        <v>0.45</v>
      </c>
      <c r="FA68" s="1678"/>
      <c r="FB68" s="1678"/>
      <c r="FC68" s="1678"/>
      <c r="FD68" s="1738"/>
      <c r="FE68" s="1678"/>
      <c r="FF68" s="1678"/>
      <c r="FG68" s="1678"/>
      <c r="FH68" s="1678"/>
      <c r="FI68" s="1678"/>
      <c r="FJ68" s="1678"/>
      <c r="FK68" s="1678"/>
      <c r="FL68" s="1678"/>
    </row>
    <row r="69" spans="2:168">
      <c r="B69" s="2023" t="str">
        <f t="shared" si="101"/>
        <v>1.2.1</v>
      </c>
      <c r="C69" s="829" t="str">
        <f t="shared" si="65"/>
        <v>広さ感・景観</v>
      </c>
      <c r="D69" s="2100" t="e">
        <f t="shared" ref="D69:E73" si="118">IF(I$68&gt;0,G69/I$68,0)</f>
        <v>#REF!</v>
      </c>
      <c r="E69" s="2100" t="e">
        <f t="shared" si="118"/>
        <v>#REF!</v>
      </c>
      <c r="G69" s="2021" t="e">
        <f t="shared" si="67"/>
        <v>#REF!</v>
      </c>
      <c r="H69" s="2021" t="e">
        <f t="shared" si="68"/>
        <v>#REF!</v>
      </c>
      <c r="I69" s="2021"/>
      <c r="J69" s="2021"/>
      <c r="K69" s="2021" t="e">
        <f>IF(#REF!=0,0,1)</f>
        <v>#REF!</v>
      </c>
      <c r="L69" s="2021" t="e">
        <f>IF(#REF!=0,0,1)</f>
        <v>#REF!</v>
      </c>
      <c r="M69" s="2021">
        <f t="shared" si="69"/>
        <v>0.33333333333333331</v>
      </c>
      <c r="N69" s="2021">
        <f t="shared" si="70"/>
        <v>0</v>
      </c>
      <c r="P69" s="2123"/>
      <c r="Q69" s="2101"/>
      <c r="R69" s="993">
        <v>1</v>
      </c>
      <c r="S69" s="1655" t="s">
        <v>691</v>
      </c>
      <c r="T69" s="2200" t="s">
        <v>2937</v>
      </c>
      <c r="U69" s="2017"/>
      <c r="V69" s="2025">
        <f t="shared" si="104"/>
        <v>0</v>
      </c>
      <c r="W69" s="2024">
        <f t="shared" si="105"/>
        <v>0</v>
      </c>
      <c r="Y69" s="1">
        <f t="shared" si="88"/>
        <v>0</v>
      </c>
      <c r="Z69" s="1">
        <f t="shared" si="89"/>
        <v>0</v>
      </c>
      <c r="AA69" s="1">
        <f t="shared" si="90"/>
        <v>0</v>
      </c>
      <c r="AB69" s="1">
        <f t="shared" si="91"/>
        <v>0</v>
      </c>
      <c r="AC69" s="1">
        <f t="shared" si="92"/>
        <v>0</v>
      </c>
      <c r="AD69" s="1">
        <f t="shared" si="93"/>
        <v>0</v>
      </c>
      <c r="AE69" s="1">
        <f t="shared" si="94"/>
        <v>0</v>
      </c>
      <c r="AF69" s="1">
        <f t="shared" si="95"/>
        <v>0</v>
      </c>
      <c r="AG69" s="1">
        <f t="shared" si="96"/>
        <v>0</v>
      </c>
      <c r="AH69" s="1">
        <f t="shared" si="97"/>
        <v>0</v>
      </c>
      <c r="AI69" s="1">
        <f t="shared" si="98"/>
        <v>0</v>
      </c>
      <c r="AJ69" s="1">
        <f t="shared" si="99"/>
        <v>0</v>
      </c>
      <c r="AK69" s="1">
        <f t="shared" si="100"/>
        <v>0</v>
      </c>
      <c r="AM69" s="1827"/>
      <c r="AN69" s="1827"/>
      <c r="AO69" s="1827"/>
      <c r="AP69" s="1827"/>
      <c r="AQ69" s="1827"/>
      <c r="AR69" s="1827"/>
      <c r="AS69" s="1827"/>
      <c r="AT69" s="1827"/>
      <c r="AU69" s="1827"/>
      <c r="AV69" s="1827"/>
      <c r="AW69" s="1827"/>
      <c r="AX69" s="1827"/>
      <c r="AY69" s="1827"/>
      <c r="BA69" s="2014"/>
      <c r="BB69" s="2014" t="e">
        <f t="shared" si="71"/>
        <v>#REF!</v>
      </c>
      <c r="BC69" s="2014"/>
      <c r="BD69" s="2013" t="e">
        <f>BR69*#REF!</f>
        <v>#REF!</v>
      </c>
      <c r="BE69" s="2013" t="e">
        <f>BS69*#REF!</f>
        <v>#REF!</v>
      </c>
      <c r="BF69" s="2013" t="e">
        <f>BT69*#REF!</f>
        <v>#REF!</v>
      </c>
      <c r="BG69" s="2013" t="e">
        <f>BU69*#REF!</f>
        <v>#REF!</v>
      </c>
      <c r="BH69" s="2226" t="e">
        <f>BV69*#REF!</f>
        <v>#REF!</v>
      </c>
      <c r="BI69" s="2013" t="e">
        <f>BW69*#REF!</f>
        <v>#REF!</v>
      </c>
      <c r="BJ69" s="2013" t="e">
        <f>BX69*#REF!</f>
        <v>#REF!</v>
      </c>
      <c r="BK69" s="2013" t="e">
        <f>BY69*#REF!</f>
        <v>#REF!</v>
      </c>
      <c r="BL69" s="2013" t="e">
        <f>BZ69*#REF!</f>
        <v>#REF!</v>
      </c>
      <c r="BM69" s="2013" t="e">
        <f>CA69*#REF!</f>
        <v>#REF!</v>
      </c>
      <c r="BO69" s="2040" t="str">
        <f t="shared" si="72"/>
        <v>1.2.1</v>
      </c>
      <c r="BP69" s="2040" t="str">
        <f t="shared" si="73"/>
        <v xml:space="preserve"> Q2 1.2</v>
      </c>
      <c r="BQ69" s="829" t="str">
        <f t="shared" si="74"/>
        <v>広さ感・景観</v>
      </c>
      <c r="BR69" s="2010">
        <f t="shared" si="75"/>
        <v>0.33333333333333331</v>
      </c>
      <c r="BS69" s="2010">
        <f t="shared" si="76"/>
        <v>0.5</v>
      </c>
      <c r="BT69" s="2010">
        <f t="shared" si="77"/>
        <v>0.33333333333333331</v>
      </c>
      <c r="BU69" s="2010">
        <f t="shared" si="78"/>
        <v>0.5</v>
      </c>
      <c r="BV69" s="2225">
        <f t="shared" si="79"/>
        <v>0</v>
      </c>
      <c r="BW69" s="2010">
        <f t="shared" si="80"/>
        <v>0.33333333333333331</v>
      </c>
      <c r="BX69" s="2010">
        <f t="shared" si="81"/>
        <v>0.5</v>
      </c>
      <c r="BY69" s="2010">
        <f t="shared" si="82"/>
        <v>0</v>
      </c>
      <c r="BZ69" s="2010">
        <f t="shared" si="83"/>
        <v>0</v>
      </c>
      <c r="CA69" s="2010">
        <f t="shared" si="84"/>
        <v>0</v>
      </c>
      <c r="CB69" s="2039">
        <f t="shared" si="85"/>
        <v>0.5</v>
      </c>
      <c r="CC69" s="2039">
        <f t="shared" si="86"/>
        <v>0.5</v>
      </c>
      <c r="CD69" s="2039">
        <f t="shared" si="87"/>
        <v>0.5</v>
      </c>
      <c r="CF69" s="1207" t="s">
        <v>207</v>
      </c>
      <c r="CG69" s="1211" t="s">
        <v>2157</v>
      </c>
      <c r="CH69" s="1208" t="s">
        <v>2158</v>
      </c>
      <c r="CI69" s="1244">
        <v>0.33333333333333331</v>
      </c>
      <c r="CJ69" s="1209"/>
      <c r="CK69" s="1209"/>
      <c r="CL69" s="1209"/>
      <c r="CM69" s="1223"/>
      <c r="CN69" s="1209"/>
      <c r="CO69" s="1213"/>
      <c r="CP69" s="1209"/>
      <c r="CQ69" s="1209"/>
      <c r="CR69" s="1209"/>
      <c r="CS69" s="1214"/>
      <c r="CT69" s="1214"/>
      <c r="CU69" s="1214"/>
      <c r="CW69" s="1207" t="s">
        <v>207</v>
      </c>
      <c r="CX69" s="1211" t="s">
        <v>2157</v>
      </c>
      <c r="CY69" s="1208" t="s">
        <v>2158</v>
      </c>
      <c r="CZ69" s="1213">
        <v>0.33333333333333331</v>
      </c>
      <c r="DA69" s="1213">
        <v>0.5</v>
      </c>
      <c r="DB69" s="1213">
        <v>0.33333333333333331</v>
      </c>
      <c r="DC69" s="1213">
        <v>0.5</v>
      </c>
      <c r="DD69" s="1220"/>
      <c r="DE69" s="1213">
        <v>0.33333333333333331</v>
      </c>
      <c r="DF69" s="1213">
        <v>0.5</v>
      </c>
      <c r="DG69" s="1213"/>
      <c r="DH69" s="1213"/>
      <c r="DI69" s="1213"/>
      <c r="DJ69" s="1214">
        <v>0.5</v>
      </c>
      <c r="DK69" s="1214">
        <v>0.5</v>
      </c>
      <c r="DL69" s="1214">
        <v>0.5</v>
      </c>
      <c r="DN69" s="1207" t="s">
        <v>207</v>
      </c>
      <c r="DO69" s="1211" t="s">
        <v>2157</v>
      </c>
      <c r="DP69" s="1208" t="s">
        <v>2158</v>
      </c>
      <c r="DQ69" s="1213">
        <v>0.33333333333333331</v>
      </c>
      <c r="DR69" s="1213">
        <v>0.5</v>
      </c>
      <c r="DS69" s="1213">
        <v>0.33333333333333331</v>
      </c>
      <c r="DT69" s="1213">
        <v>0.5</v>
      </c>
      <c r="DU69" s="1220"/>
      <c r="DV69" s="1213">
        <v>0.33333333333333331</v>
      </c>
      <c r="DW69" s="1213">
        <v>0.5</v>
      </c>
      <c r="DX69" s="1213"/>
      <c r="DY69" s="1213"/>
      <c r="DZ69" s="1213"/>
      <c r="EA69" s="1214">
        <v>0.5</v>
      </c>
      <c r="EB69" s="1214">
        <v>0.5</v>
      </c>
      <c r="EC69" s="1214">
        <v>0.5</v>
      </c>
      <c r="ED69" s="1469"/>
      <c r="EF69" s="1207" t="s">
        <v>207</v>
      </c>
      <c r="EG69" s="1211" t="s">
        <v>2157</v>
      </c>
      <c r="EH69" s="1208" t="s">
        <v>2158</v>
      </c>
      <c r="EI69" s="1689">
        <f t="shared" si="116"/>
        <v>0.33333333333333331</v>
      </c>
      <c r="EJ69" s="1689">
        <f t="shared" si="116"/>
        <v>0.5</v>
      </c>
      <c r="EK69" s="1689">
        <f t="shared" si="116"/>
        <v>0.33333333333333331</v>
      </c>
      <c r="EL69" s="1689">
        <f t="shared" si="116"/>
        <v>0.5</v>
      </c>
      <c r="EM69" s="1701">
        <f t="shared" si="116"/>
        <v>0</v>
      </c>
      <c r="EN69" s="1689">
        <f t="shared" si="116"/>
        <v>0.33333333333333331</v>
      </c>
      <c r="EO69" s="1689">
        <f t="shared" si="116"/>
        <v>0.5</v>
      </c>
      <c r="EP69" s="1689">
        <f t="shared" si="116"/>
        <v>0</v>
      </c>
      <c r="EQ69" s="1689">
        <f t="shared" si="116"/>
        <v>0</v>
      </c>
      <c r="ER69" s="1689">
        <f t="shared" si="116"/>
        <v>0</v>
      </c>
      <c r="ES69" s="1691">
        <f t="shared" si="115"/>
        <v>0.5</v>
      </c>
      <c r="ET69" s="1691">
        <f t="shared" si="115"/>
        <v>0.5</v>
      </c>
      <c r="EU69" s="1691">
        <f t="shared" si="115"/>
        <v>0.5</v>
      </c>
      <c r="EW69" s="1207" t="s">
        <v>207</v>
      </c>
      <c r="EX69" s="1211" t="s">
        <v>2157</v>
      </c>
      <c r="EY69" s="1819" t="s">
        <v>2939</v>
      </c>
      <c r="EZ69" s="1820">
        <v>0.15</v>
      </c>
      <c r="FA69" s="1678"/>
      <c r="FB69" s="1678"/>
      <c r="FC69" s="1678"/>
      <c r="FD69" s="1738"/>
      <c r="FE69" s="1678"/>
      <c r="FF69" s="1678"/>
      <c r="FG69" s="1678"/>
      <c r="FH69" s="1678"/>
      <c r="FI69" s="1678"/>
      <c r="FJ69" s="1795"/>
      <c r="FK69" s="1795"/>
      <c r="FL69" s="1795"/>
    </row>
    <row r="70" spans="2:168" hidden="1">
      <c r="B70" s="2023"/>
      <c r="C70" s="829">
        <f t="shared" si="65"/>
        <v>0</v>
      </c>
      <c r="D70" s="2100" t="e">
        <f t="shared" si="118"/>
        <v>#REF!</v>
      </c>
      <c r="E70" s="2100" t="e">
        <f t="shared" si="118"/>
        <v>#REF!</v>
      </c>
      <c r="G70" s="2021" t="e">
        <f t="shared" si="67"/>
        <v>#REF!</v>
      </c>
      <c r="H70" s="2021" t="e">
        <f t="shared" si="68"/>
        <v>#REF!</v>
      </c>
      <c r="I70" s="2021"/>
      <c r="J70" s="2021"/>
      <c r="K70" s="2021" t="e">
        <f>IF(#REF!=0,0,1)</f>
        <v>#REF!</v>
      </c>
      <c r="L70" s="2021" t="e">
        <f>IF(#REF!=0,0,1)</f>
        <v>#REF!</v>
      </c>
      <c r="M70" s="2021">
        <f t="shared" si="69"/>
        <v>0</v>
      </c>
      <c r="N70" s="2021">
        <f t="shared" si="70"/>
        <v>0</v>
      </c>
      <c r="P70" s="2123"/>
      <c r="Q70" s="2101"/>
      <c r="R70" s="2229">
        <v>2</v>
      </c>
      <c r="S70" s="2200" t="s">
        <v>691</v>
      </c>
      <c r="T70" s="2200" t="s">
        <v>2938</v>
      </c>
      <c r="U70" s="2017"/>
      <c r="V70" s="2038">
        <f t="shared" si="104"/>
        <v>0</v>
      </c>
      <c r="W70" s="2037">
        <f t="shared" si="105"/>
        <v>0</v>
      </c>
      <c r="Y70" s="1">
        <f t="shared" si="88"/>
        <v>0</v>
      </c>
      <c r="Z70" s="1">
        <f t="shared" si="89"/>
        <v>0</v>
      </c>
      <c r="AA70" s="1">
        <f t="shared" si="90"/>
        <v>0</v>
      </c>
      <c r="AB70" s="1">
        <f t="shared" si="91"/>
        <v>0</v>
      </c>
      <c r="AC70" s="1">
        <f t="shared" si="92"/>
        <v>0</v>
      </c>
      <c r="AD70" s="1">
        <f t="shared" si="93"/>
        <v>0</v>
      </c>
      <c r="AE70" s="1">
        <f t="shared" si="94"/>
        <v>0</v>
      </c>
      <c r="AF70" s="1">
        <f t="shared" si="95"/>
        <v>0</v>
      </c>
      <c r="AG70" s="1">
        <f t="shared" si="96"/>
        <v>0</v>
      </c>
      <c r="AH70" s="1">
        <f t="shared" si="97"/>
        <v>0</v>
      </c>
      <c r="AI70" s="1">
        <f t="shared" si="98"/>
        <v>0</v>
      </c>
      <c r="AJ70" s="1">
        <f t="shared" si="99"/>
        <v>0</v>
      </c>
      <c r="AK70" s="1">
        <f t="shared" si="100"/>
        <v>0</v>
      </c>
      <c r="AM70" s="1828"/>
      <c r="AN70" s="1828"/>
      <c r="AO70" s="1828"/>
      <c r="AP70" s="1828"/>
      <c r="AQ70" s="1828"/>
      <c r="AR70" s="1828"/>
      <c r="AS70" s="1828"/>
      <c r="AT70" s="1828"/>
      <c r="AU70" s="1828"/>
      <c r="AV70" s="1828"/>
      <c r="AW70" s="1828"/>
      <c r="AX70" s="1828"/>
      <c r="AY70" s="1828"/>
      <c r="BA70" s="2014"/>
      <c r="BB70" s="2014" t="e">
        <f t="shared" si="71"/>
        <v>#REF!</v>
      </c>
      <c r="BC70" s="2014"/>
      <c r="BD70" s="2013" t="e">
        <f>BR70*#REF!</f>
        <v>#REF!</v>
      </c>
      <c r="BE70" s="2013" t="e">
        <f>BS70*#REF!</f>
        <v>#REF!</v>
      </c>
      <c r="BF70" s="2013" t="e">
        <f>BT70*#REF!</f>
        <v>#REF!</v>
      </c>
      <c r="BG70" s="2013" t="e">
        <f>BU70*#REF!</f>
        <v>#REF!</v>
      </c>
      <c r="BH70" s="2226" t="e">
        <f>BV70*#REF!</f>
        <v>#REF!</v>
      </c>
      <c r="BI70" s="2013" t="e">
        <f>BW70*#REF!</f>
        <v>#REF!</v>
      </c>
      <c r="BJ70" s="2013" t="e">
        <f>BX70*#REF!</f>
        <v>#REF!</v>
      </c>
      <c r="BK70" s="2013" t="e">
        <f>BY70*#REF!</f>
        <v>#REF!</v>
      </c>
      <c r="BL70" s="2013" t="e">
        <f>BZ70*#REF!</f>
        <v>#REF!</v>
      </c>
      <c r="BM70" s="2013" t="e">
        <f>CA70*#REF!</f>
        <v>#REF!</v>
      </c>
      <c r="BO70" s="2040">
        <f t="shared" si="72"/>
        <v>0</v>
      </c>
      <c r="BP70" s="2040">
        <f t="shared" si="73"/>
        <v>0</v>
      </c>
      <c r="BQ70" s="829">
        <f t="shared" si="74"/>
        <v>0</v>
      </c>
      <c r="BR70" s="2010">
        <f t="shared" si="75"/>
        <v>0</v>
      </c>
      <c r="BS70" s="2010">
        <f t="shared" si="76"/>
        <v>0</v>
      </c>
      <c r="BT70" s="2010">
        <f t="shared" si="77"/>
        <v>0</v>
      </c>
      <c r="BU70" s="2010">
        <f t="shared" si="78"/>
        <v>0</v>
      </c>
      <c r="BV70" s="2225">
        <f t="shared" si="79"/>
        <v>0</v>
      </c>
      <c r="BW70" s="2010">
        <f t="shared" si="80"/>
        <v>0</v>
      </c>
      <c r="BX70" s="2010">
        <f t="shared" si="81"/>
        <v>0</v>
      </c>
      <c r="BY70" s="2010">
        <f t="shared" si="82"/>
        <v>0</v>
      </c>
      <c r="BZ70" s="2010">
        <f t="shared" si="83"/>
        <v>0</v>
      </c>
      <c r="CA70" s="2010">
        <f t="shared" si="84"/>
        <v>0</v>
      </c>
      <c r="CB70" s="2039">
        <f t="shared" si="85"/>
        <v>0</v>
      </c>
      <c r="CC70" s="2039">
        <f t="shared" si="86"/>
        <v>0</v>
      </c>
      <c r="CD70" s="2039">
        <f t="shared" si="87"/>
        <v>0</v>
      </c>
      <c r="CF70" s="1207"/>
      <c r="CG70" s="1211"/>
      <c r="CH70" s="1208"/>
      <c r="CI70" s="1244"/>
      <c r="CJ70" s="1209"/>
      <c r="CK70" s="1209"/>
      <c r="CL70" s="1209"/>
      <c r="CM70" s="1223"/>
      <c r="CN70" s="1209"/>
      <c r="CO70" s="1213"/>
      <c r="CP70" s="1209"/>
      <c r="CQ70" s="1209"/>
      <c r="CR70" s="1209"/>
      <c r="CS70" s="1214"/>
      <c r="CT70" s="1214"/>
      <c r="CU70" s="1214"/>
      <c r="CW70" s="1207"/>
      <c r="CX70" s="1211"/>
      <c r="CY70" s="1208"/>
      <c r="CZ70" s="1213"/>
      <c r="DA70" s="1213"/>
      <c r="DB70" s="1213"/>
      <c r="DC70" s="1213"/>
      <c r="DD70" s="1220"/>
      <c r="DE70" s="1213"/>
      <c r="DF70" s="1213"/>
      <c r="DG70" s="1213"/>
      <c r="DH70" s="1213"/>
      <c r="DI70" s="1213"/>
      <c r="DJ70" s="1214"/>
      <c r="DK70" s="1214"/>
      <c r="DL70" s="1214"/>
      <c r="DN70" s="1207"/>
      <c r="DO70" s="1211"/>
      <c r="DP70" s="1208"/>
      <c r="DQ70" s="1213"/>
      <c r="DR70" s="1213"/>
      <c r="DS70" s="1213"/>
      <c r="DT70" s="1213"/>
      <c r="DU70" s="1220"/>
      <c r="DV70" s="1213"/>
      <c r="DW70" s="1213"/>
      <c r="DX70" s="1213"/>
      <c r="DY70" s="1213"/>
      <c r="DZ70" s="1213"/>
      <c r="EA70" s="1214"/>
      <c r="EB70" s="1214"/>
      <c r="EC70" s="1214"/>
      <c r="ED70" s="1469"/>
      <c r="EF70" s="1207"/>
      <c r="EG70" s="1211"/>
      <c r="EH70" s="1208"/>
      <c r="EI70" s="1689"/>
      <c r="EJ70" s="1689"/>
      <c r="EK70" s="1689"/>
      <c r="EL70" s="1689"/>
      <c r="EM70" s="1701"/>
      <c r="EN70" s="1689"/>
      <c r="EO70" s="1689"/>
      <c r="EP70" s="1689"/>
      <c r="EQ70" s="1689"/>
      <c r="ER70" s="1689"/>
      <c r="ES70" s="1691"/>
      <c r="ET70" s="1691"/>
      <c r="EU70" s="1691"/>
      <c r="EW70" s="1207" t="s">
        <v>2941</v>
      </c>
      <c r="EX70" s="1211" t="s">
        <v>2157</v>
      </c>
      <c r="EY70" s="1819" t="s">
        <v>2940</v>
      </c>
      <c r="EZ70" s="1820">
        <v>0.15</v>
      </c>
      <c r="FA70" s="1678"/>
      <c r="FB70" s="1678"/>
      <c r="FC70" s="1678"/>
      <c r="FD70" s="1738"/>
      <c r="FE70" s="1678"/>
      <c r="FF70" s="1678"/>
      <c r="FG70" s="1678"/>
      <c r="FH70" s="1678"/>
      <c r="FI70" s="1678"/>
      <c r="FJ70" s="1795"/>
      <c r="FK70" s="1795"/>
      <c r="FL70" s="1795"/>
    </row>
    <row r="71" spans="2:168">
      <c r="B71" s="2023" t="str">
        <f>BO71</f>
        <v>1.2.2</v>
      </c>
      <c r="C71" s="829" t="str">
        <f t="shared" si="65"/>
        <v>リフレッシュスペース</v>
      </c>
      <c r="D71" s="2100" t="e">
        <f t="shared" si="118"/>
        <v>#REF!</v>
      </c>
      <c r="E71" s="2100" t="e">
        <f t="shared" si="118"/>
        <v>#REF!</v>
      </c>
      <c r="G71" s="2021" t="e">
        <f t="shared" si="67"/>
        <v>#REF!</v>
      </c>
      <c r="H71" s="2021" t="e">
        <f t="shared" si="68"/>
        <v>#REF!</v>
      </c>
      <c r="I71" s="2021"/>
      <c r="J71" s="2021"/>
      <c r="K71" s="2021" t="e">
        <f>IF(#REF!=0,0,1)</f>
        <v>#REF!</v>
      </c>
      <c r="L71" s="2021" t="e">
        <f>IF(#REF!=0,0,1)</f>
        <v>#REF!</v>
      </c>
      <c r="M71" s="2021">
        <f t="shared" si="69"/>
        <v>0.33333333333333331</v>
      </c>
      <c r="N71" s="2021">
        <f t="shared" si="70"/>
        <v>0</v>
      </c>
      <c r="P71" s="2123"/>
      <c r="Q71" s="2101"/>
      <c r="R71" s="993">
        <v>2</v>
      </c>
      <c r="S71" s="1655" t="s">
        <v>3283</v>
      </c>
      <c r="T71" s="2036"/>
      <c r="U71" s="2017"/>
      <c r="V71" s="2038">
        <f t="shared" si="104"/>
        <v>0</v>
      </c>
      <c r="W71" s="2037">
        <f t="shared" si="105"/>
        <v>0</v>
      </c>
      <c r="Y71" s="1">
        <f t="shared" si="88"/>
        <v>0</v>
      </c>
      <c r="Z71" s="1">
        <f t="shared" si="89"/>
        <v>0</v>
      </c>
      <c r="AA71" s="1">
        <f t="shared" si="90"/>
        <v>0</v>
      </c>
      <c r="AB71" s="1">
        <f t="shared" si="91"/>
        <v>0</v>
      </c>
      <c r="AC71" s="1">
        <f t="shared" si="92"/>
        <v>0</v>
      </c>
      <c r="AD71" s="1">
        <f t="shared" si="93"/>
        <v>0</v>
      </c>
      <c r="AE71" s="1">
        <f t="shared" si="94"/>
        <v>0</v>
      </c>
      <c r="AF71" s="1">
        <f t="shared" si="95"/>
        <v>0</v>
      </c>
      <c r="AG71" s="1">
        <f t="shared" si="96"/>
        <v>0</v>
      </c>
      <c r="AH71" s="1">
        <f t="shared" si="97"/>
        <v>0</v>
      </c>
      <c r="AI71" s="1">
        <f t="shared" si="98"/>
        <v>0</v>
      </c>
      <c r="AJ71" s="1">
        <f t="shared" si="99"/>
        <v>0</v>
      </c>
      <c r="AK71" s="1">
        <f t="shared" si="100"/>
        <v>0</v>
      </c>
      <c r="AM71" s="1828"/>
      <c r="AN71" s="1828"/>
      <c r="AO71" s="1828"/>
      <c r="AP71" s="1828"/>
      <c r="AQ71" s="1828"/>
      <c r="AR71" s="1828"/>
      <c r="AS71" s="1828"/>
      <c r="AT71" s="1828"/>
      <c r="AU71" s="1828"/>
      <c r="AV71" s="1828"/>
      <c r="AW71" s="1828"/>
      <c r="AX71" s="1828"/>
      <c r="AY71" s="1828"/>
      <c r="BA71" s="2014"/>
      <c r="BB71" s="2014" t="e">
        <f t="shared" si="71"/>
        <v>#REF!</v>
      </c>
      <c r="BC71" s="2014"/>
      <c r="BD71" s="2013" t="e">
        <f>BR71*#REF!</f>
        <v>#REF!</v>
      </c>
      <c r="BE71" s="2013" t="e">
        <f>BS71*#REF!</f>
        <v>#REF!</v>
      </c>
      <c r="BF71" s="2013" t="e">
        <f>BT71*#REF!</f>
        <v>#REF!</v>
      </c>
      <c r="BG71" s="2013" t="e">
        <f>BU71*#REF!</f>
        <v>#REF!</v>
      </c>
      <c r="BH71" s="2226" t="e">
        <f>BV71*#REF!</f>
        <v>#REF!</v>
      </c>
      <c r="BI71" s="2013" t="e">
        <f>BW71*#REF!</f>
        <v>#REF!</v>
      </c>
      <c r="BJ71" s="2013" t="e">
        <f>BX71*#REF!</f>
        <v>#REF!</v>
      </c>
      <c r="BK71" s="2013" t="e">
        <f>BY71*#REF!</f>
        <v>#REF!</v>
      </c>
      <c r="BL71" s="2013" t="e">
        <f>BZ71*#REF!</f>
        <v>#REF!</v>
      </c>
      <c r="BM71" s="2013" t="e">
        <f>CA71*#REF!</f>
        <v>#REF!</v>
      </c>
      <c r="BO71" s="2040" t="str">
        <f t="shared" si="72"/>
        <v>1.2.2</v>
      </c>
      <c r="BP71" s="2040" t="str">
        <f t="shared" si="73"/>
        <v xml:space="preserve"> Q2 1.2</v>
      </c>
      <c r="BQ71" s="829" t="str">
        <f t="shared" si="74"/>
        <v>リフレッシュスペース</v>
      </c>
      <c r="BR71" s="2010">
        <f t="shared" si="75"/>
        <v>0.33333333333333331</v>
      </c>
      <c r="BS71" s="2010">
        <f t="shared" si="76"/>
        <v>0</v>
      </c>
      <c r="BT71" s="2010">
        <f t="shared" si="77"/>
        <v>0.33333333333333331</v>
      </c>
      <c r="BU71" s="2010">
        <f t="shared" si="78"/>
        <v>0</v>
      </c>
      <c r="BV71" s="2225">
        <f t="shared" si="79"/>
        <v>0</v>
      </c>
      <c r="BW71" s="2010">
        <f t="shared" si="80"/>
        <v>0.33333333333333331</v>
      </c>
      <c r="BX71" s="2010">
        <f t="shared" si="81"/>
        <v>0</v>
      </c>
      <c r="BY71" s="2010">
        <f t="shared" si="82"/>
        <v>0</v>
      </c>
      <c r="BZ71" s="2010">
        <f t="shared" si="83"/>
        <v>0</v>
      </c>
      <c r="CA71" s="2010">
        <f t="shared" si="84"/>
        <v>0</v>
      </c>
      <c r="CB71" s="2039">
        <f t="shared" si="85"/>
        <v>0</v>
      </c>
      <c r="CC71" s="2039">
        <f t="shared" si="86"/>
        <v>0</v>
      </c>
      <c r="CD71" s="2039">
        <f t="shared" si="87"/>
        <v>0</v>
      </c>
      <c r="CF71" s="1207" t="s">
        <v>209</v>
      </c>
      <c r="CG71" s="1211" t="s">
        <v>2157</v>
      </c>
      <c r="CH71" s="1208" t="s">
        <v>2159</v>
      </c>
      <c r="CI71" s="1244">
        <v>0.33333333333333331</v>
      </c>
      <c r="CJ71" s="1209"/>
      <c r="CK71" s="1209">
        <v>0.5</v>
      </c>
      <c r="CL71" s="1209"/>
      <c r="CM71" s="1223"/>
      <c r="CN71" s="1209"/>
      <c r="CO71" s="1213"/>
      <c r="CP71" s="1209"/>
      <c r="CQ71" s="1209"/>
      <c r="CR71" s="1209"/>
      <c r="CS71" s="1214"/>
      <c r="CT71" s="1214"/>
      <c r="CU71" s="1214"/>
      <c r="CW71" s="1207" t="s">
        <v>209</v>
      </c>
      <c r="CX71" s="1211" t="s">
        <v>2157</v>
      </c>
      <c r="CY71" s="1208" t="s">
        <v>2159</v>
      </c>
      <c r="CZ71" s="1213">
        <v>0.33333333333333331</v>
      </c>
      <c r="DA71" s="1213">
        <v>0</v>
      </c>
      <c r="DB71" s="1213">
        <v>0.33333333333333331</v>
      </c>
      <c r="DC71" s="1213"/>
      <c r="DD71" s="1220"/>
      <c r="DE71" s="1213">
        <v>0.33333333333333331</v>
      </c>
      <c r="DF71" s="1213">
        <v>0</v>
      </c>
      <c r="DG71" s="1213"/>
      <c r="DH71" s="1213"/>
      <c r="DI71" s="1213"/>
      <c r="DJ71" s="1214"/>
      <c r="DK71" s="1214"/>
      <c r="DL71" s="1214"/>
      <c r="DN71" s="1207" t="s">
        <v>209</v>
      </c>
      <c r="DO71" s="1211" t="s">
        <v>2157</v>
      </c>
      <c r="DP71" s="1208" t="s">
        <v>2159</v>
      </c>
      <c r="DQ71" s="1213">
        <v>0.33333333333333331</v>
      </c>
      <c r="DR71" s="1213"/>
      <c r="DS71" s="1213">
        <v>0.33333333333333331</v>
      </c>
      <c r="DT71" s="1213"/>
      <c r="DU71" s="1220"/>
      <c r="DV71" s="1213">
        <v>0.33333333333333331</v>
      </c>
      <c r="DW71" s="1213"/>
      <c r="DX71" s="1213"/>
      <c r="DY71" s="1213"/>
      <c r="DZ71" s="1213"/>
      <c r="EA71" s="1214"/>
      <c r="EB71" s="1214"/>
      <c r="EC71" s="1214"/>
      <c r="ED71" s="1469"/>
      <c r="EF71" s="1207" t="s">
        <v>209</v>
      </c>
      <c r="EG71" s="1211" t="s">
        <v>2157</v>
      </c>
      <c r="EH71" s="1208" t="s">
        <v>2159</v>
      </c>
      <c r="EI71" s="1689">
        <f t="shared" ref="EI71:EU72" si="119">DQ71</f>
        <v>0.33333333333333331</v>
      </c>
      <c r="EJ71" s="1689">
        <f t="shared" si="119"/>
        <v>0</v>
      </c>
      <c r="EK71" s="1689">
        <f t="shared" si="119"/>
        <v>0.33333333333333331</v>
      </c>
      <c r="EL71" s="1689">
        <f t="shared" si="119"/>
        <v>0</v>
      </c>
      <c r="EM71" s="1701">
        <f t="shared" si="119"/>
        <v>0</v>
      </c>
      <c r="EN71" s="1689">
        <f t="shared" si="119"/>
        <v>0.33333333333333331</v>
      </c>
      <c r="EO71" s="1689">
        <f t="shared" si="119"/>
        <v>0</v>
      </c>
      <c r="EP71" s="1689">
        <f t="shared" si="119"/>
        <v>0</v>
      </c>
      <c r="EQ71" s="1689">
        <f t="shared" si="119"/>
        <v>0</v>
      </c>
      <c r="ER71" s="1689">
        <f t="shared" si="119"/>
        <v>0</v>
      </c>
      <c r="ES71" s="1691">
        <f t="shared" si="119"/>
        <v>0</v>
      </c>
      <c r="ET71" s="1691">
        <f t="shared" si="119"/>
        <v>0</v>
      </c>
      <c r="EU71" s="1691">
        <f t="shared" si="119"/>
        <v>0</v>
      </c>
      <c r="EW71" s="1207" t="s">
        <v>2942</v>
      </c>
      <c r="EX71" s="1211" t="s">
        <v>2157</v>
      </c>
      <c r="EY71" s="1208" t="s">
        <v>2159</v>
      </c>
      <c r="EZ71" s="1820">
        <v>0.25</v>
      </c>
      <c r="FA71" s="1678"/>
      <c r="FB71" s="1678"/>
      <c r="FC71" s="1678"/>
      <c r="FD71" s="1738"/>
      <c r="FE71" s="1678"/>
      <c r="FF71" s="1678"/>
      <c r="FG71" s="1678"/>
      <c r="FH71" s="1678"/>
      <c r="FI71" s="1678"/>
      <c r="FJ71" s="1795"/>
      <c r="FK71" s="1795"/>
      <c r="FL71" s="1795"/>
    </row>
    <row r="72" spans="2:168" ht="14.25" thickBot="1">
      <c r="B72" s="2023" t="str">
        <f>BO72</f>
        <v>1.2.3</v>
      </c>
      <c r="C72" s="829" t="str">
        <f t="shared" si="65"/>
        <v>内装計画</v>
      </c>
      <c r="D72" s="2100" t="e">
        <f t="shared" si="118"/>
        <v>#REF!</v>
      </c>
      <c r="E72" s="2100" t="e">
        <f t="shared" si="118"/>
        <v>#REF!</v>
      </c>
      <c r="G72" s="2021" t="e">
        <f t="shared" si="67"/>
        <v>#REF!</v>
      </c>
      <c r="H72" s="2021" t="e">
        <f t="shared" si="68"/>
        <v>#REF!</v>
      </c>
      <c r="I72" s="2021"/>
      <c r="J72" s="2021"/>
      <c r="K72" s="2021" t="e">
        <f>IF(#REF!=0,0,1)</f>
        <v>#REF!</v>
      </c>
      <c r="L72" s="2021" t="e">
        <f>IF(#REF!=0,0,1)</f>
        <v>#REF!</v>
      </c>
      <c r="M72" s="2021">
        <f t="shared" si="69"/>
        <v>0.33333333333333331</v>
      </c>
      <c r="N72" s="2021">
        <f t="shared" si="70"/>
        <v>0</v>
      </c>
      <c r="P72" s="2123"/>
      <c r="Q72" s="2101"/>
      <c r="R72" s="993">
        <v>3</v>
      </c>
      <c r="S72" s="1655" t="s">
        <v>0</v>
      </c>
      <c r="T72" s="2036"/>
      <c r="U72" s="2017"/>
      <c r="V72" s="2016">
        <f t="shared" si="104"/>
        <v>0</v>
      </c>
      <c r="W72" s="2015">
        <f t="shared" si="105"/>
        <v>0</v>
      </c>
      <c r="Y72" s="1">
        <f t="shared" si="88"/>
        <v>0</v>
      </c>
      <c r="Z72" s="1">
        <f t="shared" si="89"/>
        <v>0</v>
      </c>
      <c r="AA72" s="1">
        <f t="shared" si="90"/>
        <v>0</v>
      </c>
      <c r="AB72" s="1">
        <f t="shared" si="91"/>
        <v>0</v>
      </c>
      <c r="AC72" s="1">
        <f t="shared" si="92"/>
        <v>0</v>
      </c>
      <c r="AD72" s="1">
        <f t="shared" si="93"/>
        <v>0</v>
      </c>
      <c r="AE72" s="1">
        <f t="shared" si="94"/>
        <v>0</v>
      </c>
      <c r="AF72" s="1">
        <f t="shared" si="95"/>
        <v>0</v>
      </c>
      <c r="AG72" s="1">
        <f t="shared" si="96"/>
        <v>0</v>
      </c>
      <c r="AH72" s="1">
        <f t="shared" si="97"/>
        <v>0</v>
      </c>
      <c r="AI72" s="1">
        <f t="shared" si="98"/>
        <v>0</v>
      </c>
      <c r="AJ72" s="1">
        <f t="shared" si="99"/>
        <v>0</v>
      </c>
      <c r="AK72" s="1">
        <f t="shared" si="100"/>
        <v>0</v>
      </c>
      <c r="AM72" s="1831"/>
      <c r="AN72" s="1831"/>
      <c r="AO72" s="1831"/>
      <c r="AP72" s="1831"/>
      <c r="AQ72" s="1831"/>
      <c r="AR72" s="1831"/>
      <c r="AS72" s="1831"/>
      <c r="AT72" s="1831"/>
      <c r="AU72" s="1831"/>
      <c r="AV72" s="1831"/>
      <c r="AW72" s="1831"/>
      <c r="AX72" s="1831"/>
      <c r="AY72" s="1831"/>
      <c r="BA72" s="2014"/>
      <c r="BB72" s="2014" t="e">
        <f t="shared" si="71"/>
        <v>#REF!</v>
      </c>
      <c r="BC72" s="2014"/>
      <c r="BD72" s="2013" t="e">
        <f>BR72*#REF!</f>
        <v>#REF!</v>
      </c>
      <c r="BE72" s="2013" t="e">
        <f>BS72*#REF!</f>
        <v>#REF!</v>
      </c>
      <c r="BF72" s="2013" t="e">
        <f>BT72*#REF!</f>
        <v>#REF!</v>
      </c>
      <c r="BG72" s="2013" t="e">
        <f>BU72*#REF!</f>
        <v>#REF!</v>
      </c>
      <c r="BH72" s="2226" t="e">
        <f>BV72*#REF!</f>
        <v>#REF!</v>
      </c>
      <c r="BI72" s="2013" t="e">
        <f>BW72*#REF!</f>
        <v>#REF!</v>
      </c>
      <c r="BJ72" s="2013" t="e">
        <f>BX72*#REF!</f>
        <v>#REF!</v>
      </c>
      <c r="BK72" s="2013" t="e">
        <f>BY72*#REF!</f>
        <v>#REF!</v>
      </c>
      <c r="BL72" s="2013" t="e">
        <f>BZ72*#REF!</f>
        <v>#REF!</v>
      </c>
      <c r="BM72" s="2013" t="e">
        <f>CA72*#REF!</f>
        <v>#REF!</v>
      </c>
      <c r="BO72" s="2040" t="str">
        <f t="shared" si="72"/>
        <v>1.2.3</v>
      </c>
      <c r="BP72" s="2040" t="str">
        <f t="shared" si="73"/>
        <v xml:space="preserve"> Q2 1.2</v>
      </c>
      <c r="BQ72" s="829" t="str">
        <f t="shared" si="74"/>
        <v>内装計画</v>
      </c>
      <c r="BR72" s="2010">
        <f t="shared" si="75"/>
        <v>0.33333333333333331</v>
      </c>
      <c r="BS72" s="2010">
        <f t="shared" si="76"/>
        <v>0.5</v>
      </c>
      <c r="BT72" s="2010">
        <f t="shared" si="77"/>
        <v>0.33333333333333331</v>
      </c>
      <c r="BU72" s="2010">
        <f t="shared" si="78"/>
        <v>0.5</v>
      </c>
      <c r="BV72" s="2225">
        <f t="shared" si="79"/>
        <v>1</v>
      </c>
      <c r="BW72" s="2010">
        <f t="shared" si="80"/>
        <v>0.33333333333333331</v>
      </c>
      <c r="BX72" s="2010">
        <f t="shared" si="81"/>
        <v>0.5</v>
      </c>
      <c r="BY72" s="2010">
        <f t="shared" si="82"/>
        <v>1</v>
      </c>
      <c r="BZ72" s="2010">
        <f t="shared" si="83"/>
        <v>1</v>
      </c>
      <c r="CA72" s="2010">
        <f t="shared" si="84"/>
        <v>1</v>
      </c>
      <c r="CB72" s="2039">
        <f t="shared" si="85"/>
        <v>0.5</v>
      </c>
      <c r="CC72" s="2039">
        <f t="shared" si="86"/>
        <v>0.5</v>
      </c>
      <c r="CD72" s="2039">
        <f t="shared" si="87"/>
        <v>0.5</v>
      </c>
      <c r="CF72" s="1207" t="s">
        <v>210</v>
      </c>
      <c r="CG72" s="1211" t="s">
        <v>2157</v>
      </c>
      <c r="CH72" s="1208" t="s">
        <v>2160</v>
      </c>
      <c r="CI72" s="1244">
        <v>0.33333333333333331</v>
      </c>
      <c r="CJ72" s="1209">
        <v>1</v>
      </c>
      <c r="CK72" s="1209">
        <v>0.5</v>
      </c>
      <c r="CL72" s="1209">
        <v>1</v>
      </c>
      <c r="CM72" s="1223">
        <v>1</v>
      </c>
      <c r="CN72" s="1209">
        <v>1</v>
      </c>
      <c r="CO72" s="1213">
        <v>1</v>
      </c>
      <c r="CP72" s="1209">
        <v>1</v>
      </c>
      <c r="CQ72" s="1209">
        <v>1</v>
      </c>
      <c r="CR72" s="1209">
        <v>1</v>
      </c>
      <c r="CS72" s="1214">
        <v>1</v>
      </c>
      <c r="CT72" s="1214">
        <v>1</v>
      </c>
      <c r="CU72" s="1214">
        <v>1</v>
      </c>
      <c r="CW72" s="1207" t="s">
        <v>3282</v>
      </c>
      <c r="CX72" s="1211" t="s">
        <v>2157</v>
      </c>
      <c r="CY72" s="1208" t="s">
        <v>2160</v>
      </c>
      <c r="CZ72" s="1213">
        <v>0.33333333333333331</v>
      </c>
      <c r="DA72" s="1213">
        <v>0.5</v>
      </c>
      <c r="DB72" s="1213">
        <v>0.33333333333333331</v>
      </c>
      <c r="DC72" s="1213">
        <v>0.5</v>
      </c>
      <c r="DD72" s="1220">
        <v>1</v>
      </c>
      <c r="DE72" s="1213">
        <v>0.33333333333333331</v>
      </c>
      <c r="DF72" s="1213">
        <v>0.5</v>
      </c>
      <c r="DG72" s="1213">
        <v>1</v>
      </c>
      <c r="DH72" s="1213">
        <v>1</v>
      </c>
      <c r="DI72" s="1213">
        <v>1</v>
      </c>
      <c r="DJ72" s="1214">
        <v>0.5</v>
      </c>
      <c r="DK72" s="1214">
        <v>0.5</v>
      </c>
      <c r="DL72" s="1214">
        <v>0.5</v>
      </c>
      <c r="DN72" s="1207" t="s">
        <v>210</v>
      </c>
      <c r="DO72" s="1211" t="s">
        <v>2157</v>
      </c>
      <c r="DP72" s="1208" t="s">
        <v>2160</v>
      </c>
      <c r="DQ72" s="1213">
        <v>0.33333333333333331</v>
      </c>
      <c r="DR72" s="1213">
        <v>0.5</v>
      </c>
      <c r="DS72" s="1213">
        <v>0.33333333333333331</v>
      </c>
      <c r="DT72" s="1213">
        <v>0.5</v>
      </c>
      <c r="DU72" s="1220">
        <v>1</v>
      </c>
      <c r="DV72" s="1213">
        <v>0.33333333333333331</v>
      </c>
      <c r="DW72" s="1213">
        <v>0.5</v>
      </c>
      <c r="DX72" s="1213">
        <v>1</v>
      </c>
      <c r="DY72" s="1213">
        <v>1</v>
      </c>
      <c r="DZ72" s="1213">
        <v>1</v>
      </c>
      <c r="EA72" s="1214">
        <v>0.5</v>
      </c>
      <c r="EB72" s="1214">
        <v>0.5</v>
      </c>
      <c r="EC72" s="1214">
        <v>0.5</v>
      </c>
      <c r="ED72" s="1469"/>
      <c r="EF72" s="1207" t="s">
        <v>3281</v>
      </c>
      <c r="EG72" s="1211" t="s">
        <v>2157</v>
      </c>
      <c r="EH72" s="1208" t="s">
        <v>2160</v>
      </c>
      <c r="EI72" s="1689">
        <f t="shared" si="119"/>
        <v>0.33333333333333331</v>
      </c>
      <c r="EJ72" s="1689">
        <f t="shared" si="119"/>
        <v>0.5</v>
      </c>
      <c r="EK72" s="1689">
        <f t="shared" si="119"/>
        <v>0.33333333333333331</v>
      </c>
      <c r="EL72" s="1689">
        <f t="shared" si="119"/>
        <v>0.5</v>
      </c>
      <c r="EM72" s="1701">
        <f t="shared" si="119"/>
        <v>1</v>
      </c>
      <c r="EN72" s="1689">
        <f t="shared" si="119"/>
        <v>0.33333333333333331</v>
      </c>
      <c r="EO72" s="1689">
        <f t="shared" si="119"/>
        <v>0.5</v>
      </c>
      <c r="EP72" s="1689">
        <f t="shared" si="119"/>
        <v>1</v>
      </c>
      <c r="EQ72" s="1689">
        <f t="shared" si="119"/>
        <v>1</v>
      </c>
      <c r="ER72" s="1689">
        <f t="shared" si="119"/>
        <v>1</v>
      </c>
      <c r="ES72" s="1691">
        <f t="shared" si="119"/>
        <v>0.5</v>
      </c>
      <c r="ET72" s="1691">
        <f t="shared" si="119"/>
        <v>0.5</v>
      </c>
      <c r="EU72" s="1691">
        <f t="shared" si="119"/>
        <v>0.5</v>
      </c>
      <c r="EW72" s="1207" t="s">
        <v>2943</v>
      </c>
      <c r="EX72" s="1211" t="s">
        <v>2157</v>
      </c>
      <c r="EY72" s="1208" t="s">
        <v>2160</v>
      </c>
      <c r="EZ72" s="1820">
        <v>0.25</v>
      </c>
      <c r="FA72" s="1678"/>
      <c r="FB72" s="1678"/>
      <c r="FC72" s="1678"/>
      <c r="FD72" s="1738"/>
      <c r="FE72" s="1678"/>
      <c r="FF72" s="1678"/>
      <c r="FG72" s="1678"/>
      <c r="FH72" s="1678"/>
      <c r="FI72" s="1678"/>
      <c r="FJ72" s="1795"/>
      <c r="FK72" s="1795"/>
      <c r="FL72" s="1795"/>
    </row>
    <row r="73" spans="2:168" hidden="1">
      <c r="B73" s="2023"/>
      <c r="C73" s="829">
        <f t="shared" ref="C73:C104" si="120">BQ73</f>
        <v>0</v>
      </c>
      <c r="D73" s="2100" t="e">
        <f t="shared" si="118"/>
        <v>#REF!</v>
      </c>
      <c r="E73" s="2100" t="e">
        <f t="shared" si="118"/>
        <v>#REF!</v>
      </c>
      <c r="G73" s="2021" t="e">
        <f t="shared" ref="G73:G104" si="121">K73*M73</f>
        <v>#REF!</v>
      </c>
      <c r="H73" s="2021" t="e">
        <f t="shared" ref="H73:H104" si="122">L73*N73</f>
        <v>#REF!</v>
      </c>
      <c r="I73" s="2021"/>
      <c r="J73" s="2021"/>
      <c r="K73" s="2021" t="e">
        <f>IF(#REF!=0,0,1)</f>
        <v>#REF!</v>
      </c>
      <c r="L73" s="2021" t="e">
        <f>IF(#REF!=0,0,1)</f>
        <v>#REF!</v>
      </c>
      <c r="M73" s="2021">
        <f t="shared" ref="M73:M104" si="123">SUMPRODUCT($BR$7:$CA$7,BR73:CA73)</f>
        <v>0</v>
      </c>
      <c r="N73" s="2021">
        <f t="shared" ref="N73:N98" si="124">(CB$7*CB73)+(CC$7*CC73)+(CD$7*CD73)</f>
        <v>0</v>
      </c>
      <c r="P73" s="2123"/>
      <c r="Q73" s="2101"/>
      <c r="R73" s="2229">
        <v>5</v>
      </c>
      <c r="S73" s="2200" t="s">
        <v>2936</v>
      </c>
      <c r="T73" s="2106"/>
      <c r="U73" s="2017"/>
      <c r="V73" s="2038">
        <f t="shared" si="104"/>
        <v>0</v>
      </c>
      <c r="W73" s="2037">
        <f t="shared" si="105"/>
        <v>0</v>
      </c>
      <c r="Y73" s="1">
        <f t="shared" si="88"/>
        <v>0</v>
      </c>
      <c r="Z73" s="1">
        <f t="shared" si="89"/>
        <v>0</v>
      </c>
      <c r="AA73" s="1">
        <f t="shared" si="90"/>
        <v>0</v>
      </c>
      <c r="AB73" s="1">
        <f t="shared" si="91"/>
        <v>0</v>
      </c>
      <c r="AC73" s="1">
        <f t="shared" si="92"/>
        <v>0</v>
      </c>
      <c r="AD73" s="1">
        <f t="shared" si="93"/>
        <v>0</v>
      </c>
      <c r="AE73" s="1">
        <f t="shared" si="94"/>
        <v>0</v>
      </c>
      <c r="AF73" s="1">
        <f t="shared" si="95"/>
        <v>0</v>
      </c>
      <c r="AG73" s="1">
        <f t="shared" si="96"/>
        <v>0</v>
      </c>
      <c r="AH73" s="1">
        <f t="shared" si="97"/>
        <v>0</v>
      </c>
      <c r="AI73" s="1">
        <f t="shared" si="98"/>
        <v>0</v>
      </c>
      <c r="AJ73" s="1">
        <f t="shared" si="99"/>
        <v>0</v>
      </c>
      <c r="AK73" s="1">
        <f t="shared" si="100"/>
        <v>0</v>
      </c>
      <c r="AM73" s="2063"/>
      <c r="AN73" s="2063"/>
      <c r="AO73" s="2063"/>
      <c r="AP73" s="2063"/>
      <c r="AQ73" s="2063"/>
      <c r="AR73" s="2063"/>
      <c r="AS73" s="2063"/>
      <c r="AT73" s="2063"/>
      <c r="AU73" s="2063"/>
      <c r="AV73" s="2063"/>
      <c r="AW73" s="2063"/>
      <c r="AX73" s="2063"/>
      <c r="AY73" s="2063"/>
      <c r="BA73" s="2014"/>
      <c r="BB73" s="2014" t="e">
        <f t="shared" ref="BB73:BB104" si="125">SUMPRODUCT($BD$7:$BM$7,BD73:BM73)</f>
        <v>#REF!</v>
      </c>
      <c r="BC73" s="2014"/>
      <c r="BD73" s="2013" t="e">
        <f>BR73*#REF!</f>
        <v>#REF!</v>
      </c>
      <c r="BE73" s="2013" t="e">
        <f>BS73*#REF!</f>
        <v>#REF!</v>
      </c>
      <c r="BF73" s="2013" t="e">
        <f>BT73*#REF!</f>
        <v>#REF!</v>
      </c>
      <c r="BG73" s="2013" t="e">
        <f>BU73*#REF!</f>
        <v>#REF!</v>
      </c>
      <c r="BH73" s="2226" t="e">
        <f>BV73*#REF!</f>
        <v>#REF!</v>
      </c>
      <c r="BI73" s="2013" t="e">
        <f>BW73*#REF!</f>
        <v>#REF!</v>
      </c>
      <c r="BJ73" s="2013" t="e">
        <f>BX73*#REF!</f>
        <v>#REF!</v>
      </c>
      <c r="BK73" s="2013" t="e">
        <f>BY73*#REF!</f>
        <v>#REF!</v>
      </c>
      <c r="BL73" s="2013" t="e">
        <f>BZ73*#REF!</f>
        <v>#REF!</v>
      </c>
      <c r="BM73" s="2013" t="e">
        <f>CA73*#REF!</f>
        <v>#REF!</v>
      </c>
      <c r="BO73" s="2040">
        <f t="shared" ref="BO73:BO104" si="126">IF($BO$3=1,CW73,IF($BO$3=2,DN73,IF($BO$3=3,EF73,IF($BO$3=4,EW73,CF73))))</f>
        <v>0</v>
      </c>
      <c r="BP73" s="2040">
        <f t="shared" ref="BP73:BP104" si="127">IF($BO$3=1,CX73,IF($BO$3=2,DO73,IF($BO$3=3,EG73,IF($BO$3=4,EX73,CG73))))</f>
        <v>0</v>
      </c>
      <c r="BQ73" s="829">
        <f t="shared" ref="BQ73:BQ104" si="128">IF($BO$3=1,CY73,IF($BO$3=2,DP73,IF($BO$3=3,EH73,IF($BO$3=4,EY73,CH73))))</f>
        <v>0</v>
      </c>
      <c r="BR73" s="2010">
        <f t="shared" ref="BR73:BR104" si="129">IF($BO$3=1,CZ73,IF($BO$3=2,DQ73,IF($BO$3=3,EI73,IF($BO$3=4,EZ73,CI73))))</f>
        <v>0</v>
      </c>
      <c r="BS73" s="2010">
        <f t="shared" ref="BS73:BS104" si="130">IF($BO$3=1,DA73,IF($BO$3=2,DR73,IF($BO$3=3,EJ73,IF($BO$3=4,FA73,CJ73))))</f>
        <v>0</v>
      </c>
      <c r="BT73" s="2010">
        <f t="shared" ref="BT73:BT104" si="131">IF($BO$3=1,DB73,IF($BO$3=2,DS73,IF($BO$3=3,EK73,IF($BO$3=4,FB73,CK73))))</f>
        <v>0</v>
      </c>
      <c r="BU73" s="2010">
        <f t="shared" ref="BU73:BU104" si="132">IF($BO$3=1,DC73,IF($BO$3=2,DT73,IF($BO$3=3,EL73,IF($BO$3=4,FC73,CL73))))</f>
        <v>0</v>
      </c>
      <c r="BV73" s="2225">
        <f t="shared" ref="BV73:BV104" si="133">IF($BO$3=1,DD73,IF($BO$3=2,DU73,IF($BO$3=3,EM73,IF($BO$3=4,FD73,CM73))))</f>
        <v>0</v>
      </c>
      <c r="BW73" s="2010">
        <f t="shared" ref="BW73:BW104" si="134">IF($BO$3=1,DE73,IF($BO$3=2,DV73,IF($BO$3=3,EN73,IF($BO$3=4,FE73,CN73))))</f>
        <v>0</v>
      </c>
      <c r="BX73" s="2010">
        <f t="shared" ref="BX73:BX104" si="135">IF($BO$3=1,DF73,IF($BO$3=2,DW73,IF($BO$3=3,EO73,IF($BO$3=4,FF73,CO73))))</f>
        <v>0</v>
      </c>
      <c r="BY73" s="2010">
        <f t="shared" ref="BY73:BY104" si="136">IF($BO$3=1,DG73,IF($BO$3=2,DX73,IF($BO$3=3,EP73,IF($BO$3=4,FG73,CP73))))</f>
        <v>0</v>
      </c>
      <c r="BZ73" s="2010">
        <f t="shared" ref="BZ73:BZ104" si="137">IF($BO$3=1,DH73,IF($BO$3=2,DY73,IF($BO$3=3,EQ73,IF($BO$3=4,FH73,CQ73))))</f>
        <v>0</v>
      </c>
      <c r="CA73" s="2010">
        <f t="shared" ref="CA73:CA104" si="138">IF($BO$3=1,DI73,IF($BO$3=2,DZ73,IF($BO$3=3,ER73,IF($BO$3=4,FI73,CR73))))</f>
        <v>0</v>
      </c>
      <c r="CB73" s="2039">
        <f t="shared" ref="CB73:CB104" si="139">IF($BO$3=1,DJ73,IF($BO$3=2,EA73,IF($BO$3=3,ES73,IF($BO$3=4,FJ73,CS73))))</f>
        <v>0</v>
      </c>
      <c r="CC73" s="2039">
        <f t="shared" ref="CC73:CC104" si="140">IF($BO$3=1,DK73,IF($BO$3=2,EB73,IF($BO$3=3,ET73,IF($BO$3=4,FK73,CT73))))</f>
        <v>0</v>
      </c>
      <c r="CD73" s="2039">
        <f t="shared" ref="CD73:CD104" si="141">IF($BO$3=1,DL73,IF($BO$3=2,EC73,IF($BO$3=3,EU73,IF($BO$3=4,FL73,CU73))))</f>
        <v>0</v>
      </c>
      <c r="CF73" s="1207"/>
      <c r="CG73" s="1211"/>
      <c r="CH73" s="1208"/>
      <c r="CI73" s="1244"/>
      <c r="CJ73" s="1209"/>
      <c r="CK73" s="1209"/>
      <c r="CL73" s="1209"/>
      <c r="CM73" s="1223"/>
      <c r="CN73" s="1209"/>
      <c r="CO73" s="1213"/>
      <c r="CP73" s="1209"/>
      <c r="CQ73" s="1209"/>
      <c r="CR73" s="1209"/>
      <c r="CS73" s="1214"/>
      <c r="CT73" s="1214"/>
      <c r="CU73" s="1214"/>
      <c r="CW73" s="1207"/>
      <c r="CX73" s="1211"/>
      <c r="CY73" s="1208"/>
      <c r="CZ73" s="1213"/>
      <c r="DA73" s="1213"/>
      <c r="DB73" s="1213"/>
      <c r="DC73" s="1213"/>
      <c r="DD73" s="1220"/>
      <c r="DE73" s="1213"/>
      <c r="DF73" s="1213"/>
      <c r="DG73" s="1213"/>
      <c r="DH73" s="1213"/>
      <c r="DI73" s="1213"/>
      <c r="DJ73" s="1214"/>
      <c r="DK73" s="1214"/>
      <c r="DL73" s="1214"/>
      <c r="DN73" s="1207"/>
      <c r="DO73" s="1211"/>
      <c r="DP73" s="1208"/>
      <c r="DQ73" s="1213"/>
      <c r="DR73" s="1213"/>
      <c r="DS73" s="1213"/>
      <c r="DT73" s="1213"/>
      <c r="DU73" s="1220"/>
      <c r="DV73" s="1213"/>
      <c r="DW73" s="1213"/>
      <c r="DX73" s="1213"/>
      <c r="DY73" s="1213"/>
      <c r="DZ73" s="1213"/>
      <c r="EA73" s="1214"/>
      <c r="EB73" s="1214"/>
      <c r="EC73" s="1214"/>
      <c r="ED73" s="1469"/>
      <c r="EF73" s="1207"/>
      <c r="EG73" s="1211"/>
      <c r="EH73" s="1208"/>
      <c r="EI73" s="1689"/>
      <c r="EJ73" s="1689"/>
      <c r="EK73" s="1689"/>
      <c r="EL73" s="1689"/>
      <c r="EM73" s="1701"/>
      <c r="EN73" s="1689"/>
      <c r="EO73" s="1689"/>
      <c r="EP73" s="1689"/>
      <c r="EQ73" s="1689"/>
      <c r="ER73" s="1689"/>
      <c r="ES73" s="1691"/>
      <c r="ET73" s="1691"/>
      <c r="EU73" s="1691"/>
      <c r="EW73" s="1207" t="s">
        <v>2944</v>
      </c>
      <c r="EX73" s="1818" t="s">
        <v>2157</v>
      </c>
      <c r="EY73" s="1819" t="s">
        <v>2936</v>
      </c>
      <c r="EZ73" s="1820">
        <v>0.2</v>
      </c>
      <c r="FA73" s="1678"/>
      <c r="FB73" s="1678"/>
      <c r="FC73" s="1678"/>
      <c r="FD73" s="1738"/>
      <c r="FE73" s="1678"/>
      <c r="FF73" s="1678"/>
      <c r="FG73" s="1678"/>
      <c r="FH73" s="1678"/>
      <c r="FI73" s="1678"/>
      <c r="FJ73" s="1795"/>
      <c r="FK73" s="1795"/>
      <c r="FL73" s="1795"/>
    </row>
    <row r="74" spans="2:168" ht="14.25" thickBot="1">
      <c r="B74" s="2023">
        <f t="shared" ref="B74:B113" si="142">BO74</f>
        <v>1.3</v>
      </c>
      <c r="C74" s="829" t="str">
        <f t="shared" si="120"/>
        <v>維持管理</v>
      </c>
      <c r="D74" s="2022" t="e">
        <f>IF(I$63=0,0,G74/I$63)</f>
        <v>#REF!</v>
      </c>
      <c r="E74" s="2021" t="e">
        <f>IF(J$63=0,0,H74/J$63)</f>
        <v>#REF!</v>
      </c>
      <c r="G74" s="2021" t="e">
        <f t="shared" si="121"/>
        <v>#REF!</v>
      </c>
      <c r="H74" s="2021" t="e">
        <f t="shared" si="122"/>
        <v>#REF!</v>
      </c>
      <c r="I74" s="2021" t="e">
        <f>G75+G76+G77</f>
        <v>#REF!</v>
      </c>
      <c r="J74" s="2021" t="e">
        <f>H75+H76+H77</f>
        <v>#REF!</v>
      </c>
      <c r="K74" s="2021" t="e">
        <f>IF(#REF!=0,0,1)</f>
        <v>#REF!</v>
      </c>
      <c r="L74" s="2021" t="e">
        <f>IF(#REF!=0,0,1)</f>
        <v>#REF!</v>
      </c>
      <c r="M74" s="2021">
        <f t="shared" si="123"/>
        <v>0.3</v>
      </c>
      <c r="N74" s="2021">
        <f t="shared" si="124"/>
        <v>0</v>
      </c>
      <c r="P74" s="2228"/>
      <c r="Q74" s="2035">
        <v>1.3</v>
      </c>
      <c r="R74" s="2107" t="s">
        <v>1</v>
      </c>
      <c r="S74" s="2106"/>
      <c r="T74" s="2106"/>
      <c r="U74" s="2017"/>
      <c r="V74" s="2105">
        <f t="shared" si="104"/>
        <v>0</v>
      </c>
      <c r="W74" s="2104">
        <f t="shared" si="105"/>
        <v>0</v>
      </c>
      <c r="Y74" s="1">
        <f t="shared" ref="Y74:Y105" si="143">IF(OR(AM74=0,AM74="-"),0,1)</f>
        <v>0</v>
      </c>
      <c r="Z74" s="1">
        <f t="shared" ref="Z74:Z105" si="144">IF(OR(AN74=0,AN74="-"),0,1)</f>
        <v>0</v>
      </c>
      <c r="AA74" s="1">
        <f t="shared" ref="AA74:AA105" si="145">IF(OR(AO74=0,AO74="-"),0,1)</f>
        <v>0</v>
      </c>
      <c r="AB74" s="1">
        <f t="shared" ref="AB74:AB105" si="146">IF(OR(AP74=0,AP74="-"),0,1)</f>
        <v>0</v>
      </c>
      <c r="AC74" s="1">
        <f t="shared" ref="AC74:AC105" si="147">IF(OR(AQ74=0,AQ74="-"),0,1)</f>
        <v>0</v>
      </c>
      <c r="AD74" s="1">
        <f t="shared" ref="AD74:AD105" si="148">IF(OR(AR74=0,AR74="-"),0,1)</f>
        <v>0</v>
      </c>
      <c r="AE74" s="1">
        <f t="shared" ref="AE74:AE105" si="149">IF(OR(AS74=0,AS74="-"),0,1)</f>
        <v>0</v>
      </c>
      <c r="AF74" s="1">
        <f t="shared" ref="AF74:AF105" si="150">IF(OR(AT74=0,AT74="-"),0,1)</f>
        <v>0</v>
      </c>
      <c r="AG74" s="1">
        <f t="shared" ref="AG74:AG105" si="151">IF(OR(AU74=0,AU74="-"),0,1)</f>
        <v>0</v>
      </c>
      <c r="AH74" s="1">
        <f t="shared" ref="AH74:AH105" si="152">IF(OR(AV74=0,AV74="-"),0,1)</f>
        <v>0</v>
      </c>
      <c r="AI74" s="1">
        <f t="shared" ref="AI74:AI105" si="153">IF(OR(AW74=0,AW74="-"),0,1)</f>
        <v>0</v>
      </c>
      <c r="AJ74" s="1">
        <f t="shared" ref="AJ74:AJ105" si="154">IF(OR(AX74=0,AX74="-"),0,1)</f>
        <v>0</v>
      </c>
      <c r="AK74" s="1">
        <f t="shared" ref="AK74:AK105" si="155">IF(OR(AY74=0,AY74="-"),0,1)</f>
        <v>0</v>
      </c>
      <c r="AM74" s="2103" t="s">
        <v>177</v>
      </c>
      <c r="AN74" s="2103" t="s">
        <v>177</v>
      </c>
      <c r="AO74" s="2103" t="s">
        <v>177</v>
      </c>
      <c r="AP74" s="2103" t="s">
        <v>177</v>
      </c>
      <c r="AQ74" s="2103" t="s">
        <v>177</v>
      </c>
      <c r="AR74" s="2103" t="s">
        <v>3280</v>
      </c>
      <c r="AS74" s="2103" t="s">
        <v>177</v>
      </c>
      <c r="AT74" s="2103" t="s">
        <v>177</v>
      </c>
      <c r="AU74" s="2103" t="s">
        <v>177</v>
      </c>
      <c r="AV74" s="2103" t="s">
        <v>3266</v>
      </c>
      <c r="AW74" s="2103" t="s">
        <v>177</v>
      </c>
      <c r="AX74" s="2103" t="s">
        <v>3157</v>
      </c>
      <c r="AY74" s="2103" t="s">
        <v>3279</v>
      </c>
      <c r="BA74" s="2014"/>
      <c r="BB74" s="2014" t="e">
        <f t="shared" si="125"/>
        <v>#REF!</v>
      </c>
      <c r="BC74" s="2014"/>
      <c r="BD74" s="2013" t="e">
        <f>BR74*#REF!</f>
        <v>#REF!</v>
      </c>
      <c r="BE74" s="2013" t="e">
        <f>BS74*#REF!</f>
        <v>#REF!</v>
      </c>
      <c r="BF74" s="2013" t="e">
        <f>BT74*#REF!</f>
        <v>#REF!</v>
      </c>
      <c r="BG74" s="2013" t="e">
        <f>BU74*#REF!</f>
        <v>#REF!</v>
      </c>
      <c r="BH74" s="2226" t="e">
        <f>BV74*#REF!</f>
        <v>#REF!</v>
      </c>
      <c r="BI74" s="2013" t="e">
        <f>BW74*#REF!</f>
        <v>#REF!</v>
      </c>
      <c r="BJ74" s="2013" t="e">
        <f>BX74*#REF!</f>
        <v>#REF!</v>
      </c>
      <c r="BK74" s="2013" t="e">
        <f>BY74*#REF!</f>
        <v>#REF!</v>
      </c>
      <c r="BL74" s="2013" t="e">
        <f>BZ74*#REF!</f>
        <v>#REF!</v>
      </c>
      <c r="BM74" s="2013" t="e">
        <f>CA74*#REF!</f>
        <v>#REF!</v>
      </c>
      <c r="BO74" s="2040">
        <f t="shared" si="126"/>
        <v>1.3</v>
      </c>
      <c r="BP74" s="2040" t="str">
        <f t="shared" si="127"/>
        <v xml:space="preserve"> Q2 1</v>
      </c>
      <c r="BQ74" s="829" t="str">
        <f t="shared" si="128"/>
        <v>維持管理</v>
      </c>
      <c r="BR74" s="2010">
        <f t="shared" si="129"/>
        <v>0.3</v>
      </c>
      <c r="BS74" s="2010">
        <f t="shared" si="130"/>
        <v>0.3</v>
      </c>
      <c r="BT74" s="2010">
        <f t="shared" si="131"/>
        <v>0.3</v>
      </c>
      <c r="BU74" s="2010">
        <f t="shared" si="132"/>
        <v>0.3</v>
      </c>
      <c r="BV74" s="2225">
        <f t="shared" si="133"/>
        <v>0.3</v>
      </c>
      <c r="BW74" s="2010">
        <f t="shared" si="134"/>
        <v>0.3</v>
      </c>
      <c r="BX74" s="2010">
        <f t="shared" si="135"/>
        <v>0.3</v>
      </c>
      <c r="BY74" s="2010">
        <f t="shared" si="136"/>
        <v>0.3</v>
      </c>
      <c r="BZ74" s="2010">
        <f t="shared" si="137"/>
        <v>0.3</v>
      </c>
      <c r="CA74" s="2010">
        <f t="shared" si="138"/>
        <v>0.3</v>
      </c>
      <c r="CB74" s="2039">
        <f t="shared" si="139"/>
        <v>0</v>
      </c>
      <c r="CC74" s="2039">
        <f t="shared" si="140"/>
        <v>0</v>
      </c>
      <c r="CD74" s="2039">
        <f t="shared" si="141"/>
        <v>0</v>
      </c>
      <c r="CF74" s="1207">
        <v>1.3</v>
      </c>
      <c r="CG74" s="1211" t="s">
        <v>2152</v>
      </c>
      <c r="CH74" s="1208" t="s">
        <v>1</v>
      </c>
      <c r="CI74" s="1244">
        <v>0.3</v>
      </c>
      <c r="CJ74" s="1244">
        <v>0.3</v>
      </c>
      <c r="CK74" s="1244">
        <v>0.3</v>
      </c>
      <c r="CL74" s="1212">
        <v>0.3</v>
      </c>
      <c r="CM74" s="1244">
        <v>0.3</v>
      </c>
      <c r="CN74" s="1212">
        <v>0.3</v>
      </c>
      <c r="CO74" s="1213">
        <v>0.3</v>
      </c>
      <c r="CP74" s="1212">
        <v>0.3</v>
      </c>
      <c r="CQ74" s="1244">
        <v>0.3</v>
      </c>
      <c r="CR74" s="1212">
        <v>0.3</v>
      </c>
      <c r="CS74" s="1214">
        <v>0</v>
      </c>
      <c r="CT74" s="1214">
        <v>0</v>
      </c>
      <c r="CU74" s="1214">
        <v>0</v>
      </c>
      <c r="CW74" s="1207">
        <v>1.3</v>
      </c>
      <c r="CX74" s="1211" t="s">
        <v>2152</v>
      </c>
      <c r="CY74" s="1208" t="s">
        <v>1</v>
      </c>
      <c r="CZ74" s="1213">
        <v>0.3</v>
      </c>
      <c r="DA74" s="1213">
        <v>0.3</v>
      </c>
      <c r="DB74" s="1213">
        <v>0.3</v>
      </c>
      <c r="DC74" s="1213">
        <v>0.3</v>
      </c>
      <c r="DD74" s="1220">
        <v>0.3</v>
      </c>
      <c r="DE74" s="1213">
        <v>0.3</v>
      </c>
      <c r="DF74" s="1213">
        <v>0.3</v>
      </c>
      <c r="DG74" s="1213">
        <v>0.3</v>
      </c>
      <c r="DH74" s="1213">
        <v>0.3</v>
      </c>
      <c r="DI74" s="1213">
        <v>0.3</v>
      </c>
      <c r="DJ74" s="1214"/>
      <c r="DK74" s="1214"/>
      <c r="DL74" s="1214"/>
      <c r="DN74" s="1207">
        <v>1.3</v>
      </c>
      <c r="DO74" s="1211" t="s">
        <v>2152</v>
      </c>
      <c r="DP74" s="1208" t="s">
        <v>1</v>
      </c>
      <c r="DQ74" s="1213">
        <v>0.3</v>
      </c>
      <c r="DR74" s="1213">
        <v>0.3</v>
      </c>
      <c r="DS74" s="1213">
        <v>0.3</v>
      </c>
      <c r="DT74" s="1213">
        <v>0.3</v>
      </c>
      <c r="DU74" s="1220">
        <v>0.3</v>
      </c>
      <c r="DV74" s="1213">
        <v>0.3</v>
      </c>
      <c r="DW74" s="1213">
        <v>0.3</v>
      </c>
      <c r="DX74" s="1213">
        <v>0.3</v>
      </c>
      <c r="DY74" s="1213">
        <v>0.3</v>
      </c>
      <c r="DZ74" s="1213">
        <v>0.3</v>
      </c>
      <c r="EA74" s="1214"/>
      <c r="EB74" s="1214"/>
      <c r="EC74" s="1214"/>
      <c r="ED74" s="1469"/>
      <c r="EF74" s="1207">
        <v>1.3</v>
      </c>
      <c r="EG74" s="1211" t="s">
        <v>2152</v>
      </c>
      <c r="EH74" s="1208" t="s">
        <v>1</v>
      </c>
      <c r="EI74" s="1689">
        <f t="shared" ref="EI74:EU77" si="156">DQ74</f>
        <v>0.3</v>
      </c>
      <c r="EJ74" s="1689">
        <f t="shared" si="156"/>
        <v>0.3</v>
      </c>
      <c r="EK74" s="1689">
        <f t="shared" si="156"/>
        <v>0.3</v>
      </c>
      <c r="EL74" s="1689">
        <f t="shared" si="156"/>
        <v>0.3</v>
      </c>
      <c r="EM74" s="1701">
        <f t="shared" si="156"/>
        <v>0.3</v>
      </c>
      <c r="EN74" s="1689">
        <f t="shared" si="156"/>
        <v>0.3</v>
      </c>
      <c r="EO74" s="1689">
        <f t="shared" si="156"/>
        <v>0.3</v>
      </c>
      <c r="EP74" s="1689">
        <f t="shared" si="156"/>
        <v>0.3</v>
      </c>
      <c r="EQ74" s="1689">
        <f t="shared" si="156"/>
        <v>0.3</v>
      </c>
      <c r="ER74" s="1689">
        <f t="shared" si="156"/>
        <v>0.3</v>
      </c>
      <c r="ES74" s="1691">
        <f t="shared" si="156"/>
        <v>0</v>
      </c>
      <c r="ET74" s="1691">
        <f t="shared" si="156"/>
        <v>0</v>
      </c>
      <c r="EU74" s="1691">
        <f t="shared" si="156"/>
        <v>0</v>
      </c>
      <c r="EW74" s="1207">
        <v>1.3</v>
      </c>
      <c r="EX74" s="1211" t="s">
        <v>2152</v>
      </c>
      <c r="EY74" s="1208" t="s">
        <v>1</v>
      </c>
      <c r="EZ74" s="1814">
        <v>0.15</v>
      </c>
      <c r="FA74" s="1678"/>
      <c r="FB74" s="1678"/>
      <c r="FC74" s="1678"/>
      <c r="FD74" s="1738"/>
      <c r="FE74" s="1678"/>
      <c r="FF74" s="1678"/>
      <c r="FG74" s="1678"/>
      <c r="FH74" s="1678"/>
      <c r="FI74" s="1678"/>
      <c r="FJ74" s="1795"/>
      <c r="FK74" s="1795"/>
      <c r="FL74" s="1795"/>
    </row>
    <row r="75" spans="2:168">
      <c r="B75" s="2023" t="str">
        <f t="shared" si="142"/>
        <v>1.3.1</v>
      </c>
      <c r="C75" s="829" t="str">
        <f t="shared" si="120"/>
        <v>維持管理に配慮した設計</v>
      </c>
      <c r="D75" s="2100" t="e">
        <f t="shared" ref="D75:E77" si="157">IF(I$74&gt;0,G75/I$74,0)</f>
        <v>#REF!</v>
      </c>
      <c r="E75" s="2100" t="e">
        <f t="shared" si="157"/>
        <v>#REF!</v>
      </c>
      <c r="G75" s="2021" t="e">
        <f t="shared" si="121"/>
        <v>#REF!</v>
      </c>
      <c r="H75" s="2021" t="e">
        <f t="shared" si="122"/>
        <v>#REF!</v>
      </c>
      <c r="I75" s="2021"/>
      <c r="J75" s="2021"/>
      <c r="K75" s="2021" t="e">
        <f>IF(#REF!=0,0,1)</f>
        <v>#REF!</v>
      </c>
      <c r="L75" s="2021" t="e">
        <f>IF(#REF!=0,0,1)</f>
        <v>#REF!</v>
      </c>
      <c r="M75" s="2021">
        <f t="shared" si="123"/>
        <v>0.5</v>
      </c>
      <c r="N75" s="2021">
        <f t="shared" si="124"/>
        <v>0</v>
      </c>
      <c r="P75" s="2228"/>
      <c r="Q75" s="2101"/>
      <c r="R75" s="993">
        <v>1</v>
      </c>
      <c r="S75" s="1655" t="s">
        <v>2</v>
      </c>
      <c r="T75" s="2036"/>
      <c r="U75" s="2017"/>
      <c r="V75" s="2025">
        <f t="shared" si="104"/>
        <v>0</v>
      </c>
      <c r="W75" s="2024">
        <f t="shared" si="105"/>
        <v>0</v>
      </c>
      <c r="Y75" s="1">
        <f t="shared" si="143"/>
        <v>0</v>
      </c>
      <c r="Z75" s="1">
        <f t="shared" si="144"/>
        <v>0</v>
      </c>
      <c r="AA75" s="1">
        <f t="shared" si="145"/>
        <v>0</v>
      </c>
      <c r="AB75" s="1">
        <f t="shared" si="146"/>
        <v>0</v>
      </c>
      <c r="AC75" s="1">
        <f t="shared" si="147"/>
        <v>0</v>
      </c>
      <c r="AD75" s="1">
        <f t="shared" si="148"/>
        <v>0</v>
      </c>
      <c r="AE75" s="1">
        <f t="shared" si="149"/>
        <v>0</v>
      </c>
      <c r="AF75" s="1">
        <f t="shared" si="150"/>
        <v>0</v>
      </c>
      <c r="AG75" s="1">
        <f t="shared" si="151"/>
        <v>0</v>
      </c>
      <c r="AH75" s="1">
        <f t="shared" si="152"/>
        <v>0</v>
      </c>
      <c r="AI75" s="1">
        <f t="shared" si="153"/>
        <v>0</v>
      </c>
      <c r="AJ75" s="1">
        <f t="shared" si="154"/>
        <v>0</v>
      </c>
      <c r="AK75" s="1">
        <f t="shared" si="155"/>
        <v>0</v>
      </c>
      <c r="AM75" s="1827"/>
      <c r="AN75" s="1827"/>
      <c r="AO75" s="1827"/>
      <c r="AP75" s="1827"/>
      <c r="AQ75" s="1827"/>
      <c r="AR75" s="1827"/>
      <c r="AS75" s="1827"/>
      <c r="AT75" s="1827"/>
      <c r="AU75" s="1827"/>
      <c r="AV75" s="1827"/>
      <c r="AW75" s="1827"/>
      <c r="AX75" s="1827"/>
      <c r="AY75" s="1827"/>
      <c r="BA75" s="2014"/>
      <c r="BB75" s="2014" t="e">
        <f t="shared" si="125"/>
        <v>#REF!</v>
      </c>
      <c r="BC75" s="2014"/>
      <c r="BD75" s="2013" t="e">
        <f>BR75*#REF!</f>
        <v>#REF!</v>
      </c>
      <c r="BE75" s="2013" t="e">
        <f>BS75*#REF!</f>
        <v>#REF!</v>
      </c>
      <c r="BF75" s="2013" t="e">
        <f>BT75*#REF!</f>
        <v>#REF!</v>
      </c>
      <c r="BG75" s="2013" t="e">
        <f>BU75*#REF!</f>
        <v>#REF!</v>
      </c>
      <c r="BH75" s="2226" t="e">
        <f>BV75*#REF!</f>
        <v>#REF!</v>
      </c>
      <c r="BI75" s="2013" t="e">
        <f>BW75*#REF!</f>
        <v>#REF!</v>
      </c>
      <c r="BJ75" s="2013" t="e">
        <f>BX75*#REF!</f>
        <v>#REF!</v>
      </c>
      <c r="BK75" s="2013" t="e">
        <f>BY75*#REF!</f>
        <v>#REF!</v>
      </c>
      <c r="BL75" s="2013" t="e">
        <f>BZ75*#REF!</f>
        <v>#REF!</v>
      </c>
      <c r="BM75" s="2013" t="e">
        <f>CA75*#REF!</f>
        <v>#REF!</v>
      </c>
      <c r="BO75" s="2040" t="str">
        <f t="shared" si="126"/>
        <v>1.3.1</v>
      </c>
      <c r="BP75" s="2040" t="str">
        <f t="shared" si="127"/>
        <v xml:space="preserve"> Q2 1.3</v>
      </c>
      <c r="BQ75" s="829" t="str">
        <f t="shared" si="128"/>
        <v>維持管理に配慮した設計</v>
      </c>
      <c r="BR75" s="2010">
        <f t="shared" si="129"/>
        <v>0.5</v>
      </c>
      <c r="BS75" s="2010">
        <f t="shared" si="130"/>
        <v>0.5</v>
      </c>
      <c r="BT75" s="2010">
        <f t="shared" si="131"/>
        <v>0.5</v>
      </c>
      <c r="BU75" s="2010">
        <f t="shared" si="132"/>
        <v>0.5</v>
      </c>
      <c r="BV75" s="2225">
        <f t="shared" si="133"/>
        <v>0.5</v>
      </c>
      <c r="BW75" s="2010">
        <f t="shared" si="134"/>
        <v>0.5</v>
      </c>
      <c r="BX75" s="2010">
        <f t="shared" si="135"/>
        <v>0.5</v>
      </c>
      <c r="BY75" s="2010">
        <f t="shared" si="136"/>
        <v>0.5</v>
      </c>
      <c r="BZ75" s="2010">
        <f t="shared" si="137"/>
        <v>0.5</v>
      </c>
      <c r="CA75" s="2010">
        <f t="shared" si="138"/>
        <v>0.5</v>
      </c>
      <c r="CB75" s="2039">
        <f t="shared" si="139"/>
        <v>0</v>
      </c>
      <c r="CC75" s="2039">
        <f t="shared" si="140"/>
        <v>0</v>
      </c>
      <c r="CD75" s="2039">
        <f t="shared" si="141"/>
        <v>0</v>
      </c>
      <c r="CF75" s="1207" t="s">
        <v>2161</v>
      </c>
      <c r="CG75" s="1211" t="s">
        <v>1714</v>
      </c>
      <c r="CH75" s="452" t="s">
        <v>1715</v>
      </c>
      <c r="CI75" s="1244">
        <v>0.5</v>
      </c>
      <c r="CJ75" s="1244">
        <v>0.5</v>
      </c>
      <c r="CK75" s="1244">
        <v>0.5</v>
      </c>
      <c r="CL75" s="1219">
        <v>0.5</v>
      </c>
      <c r="CM75" s="1244">
        <v>0.5</v>
      </c>
      <c r="CN75" s="1219">
        <v>0.5</v>
      </c>
      <c r="CO75" s="1213">
        <v>0.5</v>
      </c>
      <c r="CP75" s="1219">
        <v>0.5</v>
      </c>
      <c r="CQ75" s="1244">
        <v>0.5</v>
      </c>
      <c r="CR75" s="1219">
        <v>0.5</v>
      </c>
      <c r="CS75" s="1214">
        <v>0</v>
      </c>
      <c r="CT75" s="1214">
        <v>0</v>
      </c>
      <c r="CU75" s="1214">
        <v>0</v>
      </c>
      <c r="CW75" s="1207" t="s">
        <v>2161</v>
      </c>
      <c r="CX75" s="1211" t="s">
        <v>1714</v>
      </c>
      <c r="CY75" s="1208" t="s">
        <v>1716</v>
      </c>
      <c r="CZ75" s="1213">
        <v>0.5</v>
      </c>
      <c r="DA75" s="1213">
        <v>0.5</v>
      </c>
      <c r="DB75" s="1213">
        <v>0.5</v>
      </c>
      <c r="DC75" s="1213">
        <v>0.5</v>
      </c>
      <c r="DD75" s="1220">
        <v>0.5</v>
      </c>
      <c r="DE75" s="1213">
        <v>0.5</v>
      </c>
      <c r="DF75" s="1213">
        <v>0.5</v>
      </c>
      <c r="DG75" s="1213">
        <v>0.5</v>
      </c>
      <c r="DH75" s="1213">
        <v>0.5</v>
      </c>
      <c r="DI75" s="1213">
        <v>0.5</v>
      </c>
      <c r="DJ75" s="1214"/>
      <c r="DK75" s="1214"/>
      <c r="DL75" s="1214"/>
      <c r="DN75" s="1207" t="s">
        <v>2161</v>
      </c>
      <c r="DO75" s="1211" t="s">
        <v>1714</v>
      </c>
      <c r="DP75" s="1208" t="s">
        <v>1716</v>
      </c>
      <c r="DQ75" s="1213">
        <v>0.5</v>
      </c>
      <c r="DR75" s="1213">
        <v>0.5</v>
      </c>
      <c r="DS75" s="1213">
        <v>0.5</v>
      </c>
      <c r="DT75" s="1213">
        <v>0.5</v>
      </c>
      <c r="DU75" s="1220">
        <v>0.5</v>
      </c>
      <c r="DV75" s="1213">
        <v>0.5</v>
      </c>
      <c r="DW75" s="1213">
        <v>0.5</v>
      </c>
      <c r="DX75" s="1213">
        <v>0.5</v>
      </c>
      <c r="DY75" s="1213">
        <v>0.5</v>
      </c>
      <c r="DZ75" s="1213">
        <v>0.5</v>
      </c>
      <c r="EA75" s="1214"/>
      <c r="EB75" s="1214"/>
      <c r="EC75" s="1214"/>
      <c r="ED75" s="1469"/>
      <c r="EF75" s="1207" t="s">
        <v>2161</v>
      </c>
      <c r="EG75" s="1211" t="s">
        <v>1714</v>
      </c>
      <c r="EH75" s="1208" t="s">
        <v>1716</v>
      </c>
      <c r="EI75" s="1689">
        <f t="shared" si="156"/>
        <v>0.5</v>
      </c>
      <c r="EJ75" s="1689">
        <f t="shared" si="156"/>
        <v>0.5</v>
      </c>
      <c r="EK75" s="1689">
        <f t="shared" si="156"/>
        <v>0.5</v>
      </c>
      <c r="EL75" s="1689">
        <f t="shared" si="156"/>
        <v>0.5</v>
      </c>
      <c r="EM75" s="1701">
        <f t="shared" si="156"/>
        <v>0.5</v>
      </c>
      <c r="EN75" s="1689">
        <f t="shared" si="156"/>
        <v>0.5</v>
      </c>
      <c r="EO75" s="1689">
        <f t="shared" si="156"/>
        <v>0.5</v>
      </c>
      <c r="EP75" s="1689">
        <f t="shared" si="156"/>
        <v>0.5</v>
      </c>
      <c r="EQ75" s="1689">
        <f t="shared" si="156"/>
        <v>0.5</v>
      </c>
      <c r="ER75" s="1689">
        <f t="shared" si="156"/>
        <v>0.5</v>
      </c>
      <c r="ES75" s="1691">
        <f t="shared" si="156"/>
        <v>0</v>
      </c>
      <c r="ET75" s="1691">
        <f t="shared" si="156"/>
        <v>0</v>
      </c>
      <c r="EU75" s="1691">
        <f t="shared" si="156"/>
        <v>0</v>
      </c>
      <c r="EW75" s="1207" t="s">
        <v>2161</v>
      </c>
      <c r="EX75" s="1211" t="s">
        <v>1714</v>
      </c>
      <c r="EY75" s="1208" t="s">
        <v>1716</v>
      </c>
      <c r="EZ75" s="1814">
        <v>1</v>
      </c>
      <c r="FA75" s="1678"/>
      <c r="FB75" s="1678"/>
      <c r="FC75" s="1678"/>
      <c r="FD75" s="1738"/>
      <c r="FE75" s="1678"/>
      <c r="FF75" s="1678"/>
      <c r="FG75" s="1678"/>
      <c r="FH75" s="1678"/>
      <c r="FI75" s="1678"/>
      <c r="FJ75" s="1795"/>
      <c r="FK75" s="1795"/>
      <c r="FL75" s="1795"/>
    </row>
    <row r="76" spans="2:168" ht="14.25" thickBot="1">
      <c r="B76" s="2023" t="str">
        <f t="shared" si="142"/>
        <v>1.3.2</v>
      </c>
      <c r="C76" s="829" t="str">
        <f t="shared" si="120"/>
        <v>維持管理用機能の確保</v>
      </c>
      <c r="D76" s="2100" t="e">
        <f t="shared" si="157"/>
        <v>#REF!</v>
      </c>
      <c r="E76" s="2100" t="e">
        <f t="shared" si="157"/>
        <v>#REF!</v>
      </c>
      <c r="G76" s="2021" t="e">
        <f t="shared" si="121"/>
        <v>#REF!</v>
      </c>
      <c r="H76" s="2021" t="e">
        <f t="shared" si="122"/>
        <v>#REF!</v>
      </c>
      <c r="I76" s="2021"/>
      <c r="J76" s="2021"/>
      <c r="K76" s="2021" t="e">
        <f>IF(#REF!=0,0,1)</f>
        <v>#REF!</v>
      </c>
      <c r="L76" s="2021" t="e">
        <f>IF(#REF!=0,0,1)</f>
        <v>#REF!</v>
      </c>
      <c r="M76" s="2021">
        <f t="shared" si="123"/>
        <v>0.5</v>
      </c>
      <c r="N76" s="2021">
        <f t="shared" si="124"/>
        <v>0</v>
      </c>
      <c r="P76" s="2123"/>
      <c r="Q76" s="2101"/>
      <c r="R76" s="993">
        <v>2</v>
      </c>
      <c r="S76" s="1655" t="s">
        <v>3</v>
      </c>
      <c r="T76" s="2036"/>
      <c r="U76" s="2017"/>
      <c r="V76" s="2038">
        <f t="shared" si="104"/>
        <v>0</v>
      </c>
      <c r="W76" s="2037">
        <f t="shared" si="105"/>
        <v>0</v>
      </c>
      <c r="Y76" s="1">
        <f t="shared" si="143"/>
        <v>0</v>
      </c>
      <c r="Z76" s="1">
        <f t="shared" si="144"/>
        <v>0</v>
      </c>
      <c r="AA76" s="1">
        <f t="shared" si="145"/>
        <v>0</v>
      </c>
      <c r="AB76" s="1">
        <f t="shared" si="146"/>
        <v>0</v>
      </c>
      <c r="AC76" s="1">
        <f t="shared" si="147"/>
        <v>0</v>
      </c>
      <c r="AD76" s="1">
        <f t="shared" si="148"/>
        <v>0</v>
      </c>
      <c r="AE76" s="1">
        <f t="shared" si="149"/>
        <v>0</v>
      </c>
      <c r="AF76" s="1">
        <f t="shared" si="150"/>
        <v>0</v>
      </c>
      <c r="AG76" s="1">
        <f t="shared" si="151"/>
        <v>0</v>
      </c>
      <c r="AH76" s="1">
        <f t="shared" si="152"/>
        <v>0</v>
      </c>
      <c r="AI76" s="1">
        <f t="shared" si="153"/>
        <v>0</v>
      </c>
      <c r="AJ76" s="1">
        <f t="shared" si="154"/>
        <v>0</v>
      </c>
      <c r="AK76" s="1">
        <f t="shared" si="155"/>
        <v>0</v>
      </c>
      <c r="AM76" s="1828"/>
      <c r="AN76" s="1828"/>
      <c r="AO76" s="1828"/>
      <c r="AP76" s="1828"/>
      <c r="AQ76" s="1828"/>
      <c r="AR76" s="1828"/>
      <c r="AS76" s="1828"/>
      <c r="AT76" s="1828"/>
      <c r="AU76" s="1828"/>
      <c r="AV76" s="1828"/>
      <c r="AW76" s="1828"/>
      <c r="AX76" s="1828"/>
      <c r="AY76" s="1828"/>
      <c r="BA76" s="2014"/>
      <c r="BB76" s="2014" t="e">
        <f t="shared" si="125"/>
        <v>#REF!</v>
      </c>
      <c r="BC76" s="2014"/>
      <c r="BD76" s="2013" t="e">
        <f>BR76*#REF!</f>
        <v>#REF!</v>
      </c>
      <c r="BE76" s="2013" t="e">
        <f>BS76*#REF!</f>
        <v>#REF!</v>
      </c>
      <c r="BF76" s="2013" t="e">
        <f>BT76*#REF!</f>
        <v>#REF!</v>
      </c>
      <c r="BG76" s="2013" t="e">
        <f>BU76*#REF!</f>
        <v>#REF!</v>
      </c>
      <c r="BH76" s="2226" t="e">
        <f>BV76*#REF!</f>
        <v>#REF!</v>
      </c>
      <c r="BI76" s="2013" t="e">
        <f>BW76*#REF!</f>
        <v>#REF!</v>
      </c>
      <c r="BJ76" s="2013" t="e">
        <f>BX76*#REF!</f>
        <v>#REF!</v>
      </c>
      <c r="BK76" s="2013" t="e">
        <f>BY76*#REF!</f>
        <v>#REF!</v>
      </c>
      <c r="BL76" s="2013" t="e">
        <f>BZ76*#REF!</f>
        <v>#REF!</v>
      </c>
      <c r="BM76" s="2013" t="e">
        <f>CA76*#REF!</f>
        <v>#REF!</v>
      </c>
      <c r="BO76" s="2040" t="str">
        <f t="shared" si="126"/>
        <v>1.3.2</v>
      </c>
      <c r="BP76" s="2040" t="str">
        <f t="shared" si="127"/>
        <v xml:space="preserve"> Q2 1.3</v>
      </c>
      <c r="BQ76" s="829" t="str">
        <f t="shared" si="128"/>
        <v>維持管理用機能の確保</v>
      </c>
      <c r="BR76" s="2010">
        <f t="shared" si="129"/>
        <v>0.5</v>
      </c>
      <c r="BS76" s="2010">
        <f t="shared" si="130"/>
        <v>0.5</v>
      </c>
      <c r="BT76" s="2010">
        <f t="shared" si="131"/>
        <v>0.5</v>
      </c>
      <c r="BU76" s="2010">
        <f t="shared" si="132"/>
        <v>0.5</v>
      </c>
      <c r="BV76" s="2225">
        <f t="shared" si="133"/>
        <v>0.5</v>
      </c>
      <c r="BW76" s="2010">
        <f t="shared" si="134"/>
        <v>0.5</v>
      </c>
      <c r="BX76" s="2010">
        <f t="shared" si="135"/>
        <v>0.5</v>
      </c>
      <c r="BY76" s="2010">
        <f t="shared" si="136"/>
        <v>0.5</v>
      </c>
      <c r="BZ76" s="2010">
        <f t="shared" si="137"/>
        <v>0.5</v>
      </c>
      <c r="CA76" s="2010">
        <f t="shared" si="138"/>
        <v>0.5</v>
      </c>
      <c r="CB76" s="2039">
        <f t="shared" si="139"/>
        <v>0</v>
      </c>
      <c r="CC76" s="2039">
        <f t="shared" si="140"/>
        <v>0</v>
      </c>
      <c r="CD76" s="2039">
        <f t="shared" si="141"/>
        <v>0</v>
      </c>
      <c r="CF76" s="1207" t="s">
        <v>1717</v>
      </c>
      <c r="CG76" s="1211" t="s">
        <v>1714</v>
      </c>
      <c r="CH76" s="452" t="s">
        <v>1718</v>
      </c>
      <c r="CI76" s="1244">
        <v>0.3</v>
      </c>
      <c r="CJ76" s="1244">
        <v>0.3</v>
      </c>
      <c r="CK76" s="1244">
        <v>0.3</v>
      </c>
      <c r="CL76" s="1219">
        <v>0.3</v>
      </c>
      <c r="CM76" s="1244">
        <v>0.3</v>
      </c>
      <c r="CN76" s="1219">
        <v>0.3</v>
      </c>
      <c r="CO76" s="1213">
        <v>0.3</v>
      </c>
      <c r="CP76" s="1219">
        <v>0.3</v>
      </c>
      <c r="CQ76" s="1244">
        <v>0.3</v>
      </c>
      <c r="CR76" s="1219">
        <v>0.3</v>
      </c>
      <c r="CS76" s="1214">
        <v>0</v>
      </c>
      <c r="CT76" s="1214">
        <v>0</v>
      </c>
      <c r="CU76" s="1214">
        <v>0</v>
      </c>
      <c r="CW76" s="1207" t="s">
        <v>1717</v>
      </c>
      <c r="CX76" s="1211" t="s">
        <v>1714</v>
      </c>
      <c r="CY76" s="1208" t="s">
        <v>1719</v>
      </c>
      <c r="CZ76" s="1213">
        <v>0.5</v>
      </c>
      <c r="DA76" s="1213">
        <v>0.5</v>
      </c>
      <c r="DB76" s="1213">
        <v>0.5</v>
      </c>
      <c r="DC76" s="1213">
        <v>0.5</v>
      </c>
      <c r="DD76" s="1220">
        <v>0.5</v>
      </c>
      <c r="DE76" s="1213">
        <v>0.5</v>
      </c>
      <c r="DF76" s="1213">
        <v>0.5</v>
      </c>
      <c r="DG76" s="1213">
        <v>0.5</v>
      </c>
      <c r="DH76" s="1213">
        <v>0.5</v>
      </c>
      <c r="DI76" s="1213">
        <v>0.5</v>
      </c>
      <c r="DJ76" s="1214"/>
      <c r="DK76" s="1214"/>
      <c r="DL76" s="1214"/>
      <c r="DN76" s="1207" t="s">
        <v>1717</v>
      </c>
      <c r="DO76" s="1211" t="s">
        <v>1714</v>
      </c>
      <c r="DP76" s="1208" t="s">
        <v>1719</v>
      </c>
      <c r="DQ76" s="1213">
        <v>0.5</v>
      </c>
      <c r="DR76" s="1213">
        <v>0.5</v>
      </c>
      <c r="DS76" s="1213">
        <v>0.5</v>
      </c>
      <c r="DT76" s="1213">
        <v>0.5</v>
      </c>
      <c r="DU76" s="1220">
        <v>0.5</v>
      </c>
      <c r="DV76" s="1213">
        <v>0.5</v>
      </c>
      <c r="DW76" s="1213">
        <v>0.5</v>
      </c>
      <c r="DX76" s="1213">
        <v>0.5</v>
      </c>
      <c r="DY76" s="1213">
        <v>0.5</v>
      </c>
      <c r="DZ76" s="1213">
        <v>0.5</v>
      </c>
      <c r="EA76" s="1214"/>
      <c r="EB76" s="1214"/>
      <c r="EC76" s="1214"/>
      <c r="ED76" s="1469"/>
      <c r="EF76" s="1207" t="s">
        <v>1717</v>
      </c>
      <c r="EG76" s="1211" t="s">
        <v>1714</v>
      </c>
      <c r="EH76" s="1208" t="s">
        <v>1719</v>
      </c>
      <c r="EI76" s="1689">
        <f t="shared" si="156"/>
        <v>0.5</v>
      </c>
      <c r="EJ76" s="1689">
        <f t="shared" si="156"/>
        <v>0.5</v>
      </c>
      <c r="EK76" s="1689">
        <f t="shared" si="156"/>
        <v>0.5</v>
      </c>
      <c r="EL76" s="1689">
        <f t="shared" si="156"/>
        <v>0.5</v>
      </c>
      <c r="EM76" s="1701">
        <f t="shared" si="156"/>
        <v>0.5</v>
      </c>
      <c r="EN76" s="1689">
        <f t="shared" si="156"/>
        <v>0.5</v>
      </c>
      <c r="EO76" s="1689">
        <f t="shared" si="156"/>
        <v>0.5</v>
      </c>
      <c r="EP76" s="1689">
        <f t="shared" si="156"/>
        <v>0.5</v>
      </c>
      <c r="EQ76" s="1689">
        <f t="shared" si="156"/>
        <v>0.5</v>
      </c>
      <c r="ER76" s="1689">
        <f t="shared" si="156"/>
        <v>0.5</v>
      </c>
      <c r="ES76" s="1691">
        <f t="shared" si="156"/>
        <v>0</v>
      </c>
      <c r="ET76" s="1691">
        <f t="shared" si="156"/>
        <v>0</v>
      </c>
      <c r="EU76" s="1691">
        <f t="shared" si="156"/>
        <v>0</v>
      </c>
      <c r="EW76" s="1207" t="s">
        <v>1717</v>
      </c>
      <c r="EX76" s="1211" t="s">
        <v>1714</v>
      </c>
      <c r="EY76" s="1208" t="s">
        <v>1719</v>
      </c>
      <c r="EZ76" s="1814">
        <v>0</v>
      </c>
      <c r="FA76" s="1678"/>
      <c r="FB76" s="1678"/>
      <c r="FC76" s="1678"/>
      <c r="FD76" s="1738"/>
      <c r="FE76" s="1678"/>
      <c r="FF76" s="1678"/>
      <c r="FG76" s="1678"/>
      <c r="FH76" s="1678"/>
      <c r="FI76" s="1678"/>
      <c r="FJ76" s="1795"/>
      <c r="FK76" s="1795"/>
      <c r="FL76" s="1795"/>
    </row>
    <row r="77" spans="2:168" ht="14.25" hidden="1" thickBot="1">
      <c r="B77" s="2023">
        <f t="shared" si="142"/>
        <v>0</v>
      </c>
      <c r="C77" s="829">
        <f t="shared" si="120"/>
        <v>0</v>
      </c>
      <c r="D77" s="2100" t="e">
        <f t="shared" si="157"/>
        <v>#REF!</v>
      </c>
      <c r="E77" s="2100" t="e">
        <f t="shared" si="157"/>
        <v>#REF!</v>
      </c>
      <c r="G77" s="2021" t="e">
        <f t="shared" si="121"/>
        <v>#REF!</v>
      </c>
      <c r="H77" s="2021" t="e">
        <f t="shared" si="122"/>
        <v>#REF!</v>
      </c>
      <c r="I77" s="2021"/>
      <c r="J77" s="2021"/>
      <c r="K77" s="2021" t="e">
        <f>IF(#REF!=0,0,1)</f>
        <v>#REF!</v>
      </c>
      <c r="L77" s="2021" t="e">
        <f>IF(#REF!=0,0,1)</f>
        <v>#REF!</v>
      </c>
      <c r="M77" s="2021">
        <f t="shared" si="123"/>
        <v>0</v>
      </c>
      <c r="N77" s="2021">
        <f t="shared" si="124"/>
        <v>0</v>
      </c>
      <c r="P77" s="2123"/>
      <c r="Q77" s="2227"/>
      <c r="R77" s="2218">
        <v>3</v>
      </c>
      <c r="S77" s="2217" t="s">
        <v>4</v>
      </c>
      <c r="T77" s="2216"/>
      <c r="U77" s="2017"/>
      <c r="V77" s="2016">
        <f t="shared" si="104"/>
        <v>0</v>
      </c>
      <c r="W77" s="2015">
        <f t="shared" si="105"/>
        <v>0</v>
      </c>
      <c r="Y77" s="1">
        <f t="shared" si="143"/>
        <v>0</v>
      </c>
      <c r="Z77" s="1">
        <f t="shared" si="144"/>
        <v>0</v>
      </c>
      <c r="AA77" s="1">
        <f t="shared" si="145"/>
        <v>0</v>
      </c>
      <c r="AB77" s="1">
        <f t="shared" si="146"/>
        <v>0</v>
      </c>
      <c r="AC77" s="1">
        <f t="shared" si="147"/>
        <v>0</v>
      </c>
      <c r="AD77" s="1">
        <f t="shared" si="148"/>
        <v>0</v>
      </c>
      <c r="AE77" s="1">
        <f t="shared" si="149"/>
        <v>0</v>
      </c>
      <c r="AF77" s="1">
        <f t="shared" si="150"/>
        <v>0</v>
      </c>
      <c r="AG77" s="1">
        <f t="shared" si="151"/>
        <v>0</v>
      </c>
      <c r="AH77" s="1">
        <f t="shared" si="152"/>
        <v>0</v>
      </c>
      <c r="AI77" s="1">
        <f t="shared" si="153"/>
        <v>0</v>
      </c>
      <c r="AJ77" s="1">
        <f t="shared" si="154"/>
        <v>0</v>
      </c>
      <c r="AK77" s="1">
        <f t="shared" si="155"/>
        <v>0</v>
      </c>
      <c r="AM77" s="2143" t="s">
        <v>3267</v>
      </c>
      <c r="AN77" s="2143" t="s">
        <v>3269</v>
      </c>
      <c r="AO77" s="2143" t="s">
        <v>3269</v>
      </c>
      <c r="AP77" s="2143" t="s">
        <v>3267</v>
      </c>
      <c r="AQ77" s="2143" t="s">
        <v>3267</v>
      </c>
      <c r="AR77" s="2143" t="s">
        <v>3267</v>
      </c>
      <c r="AS77" s="2143" t="s">
        <v>3267</v>
      </c>
      <c r="AT77" s="2143" t="s">
        <v>3267</v>
      </c>
      <c r="AU77" s="2143" t="s">
        <v>3269</v>
      </c>
      <c r="AV77" s="2143" t="s">
        <v>3267</v>
      </c>
      <c r="AW77" s="2143" t="s">
        <v>3267</v>
      </c>
      <c r="AX77" s="2143" t="s">
        <v>3267</v>
      </c>
      <c r="AY77" s="2143" t="s">
        <v>3267</v>
      </c>
      <c r="BA77" s="2014"/>
      <c r="BB77" s="2014" t="e">
        <f t="shared" si="125"/>
        <v>#REF!</v>
      </c>
      <c r="BC77" s="2014"/>
      <c r="BD77" s="2013" t="e">
        <f>BR77*#REF!</f>
        <v>#REF!</v>
      </c>
      <c r="BE77" s="2013" t="e">
        <f>BS77*#REF!</f>
        <v>#REF!</v>
      </c>
      <c r="BF77" s="2013" t="e">
        <f>BT77*#REF!</f>
        <v>#REF!</v>
      </c>
      <c r="BG77" s="2013" t="e">
        <f>BU77*#REF!</f>
        <v>#REF!</v>
      </c>
      <c r="BH77" s="2226" t="e">
        <f>BV77*#REF!</f>
        <v>#REF!</v>
      </c>
      <c r="BI77" s="2013" t="e">
        <f>BW77*#REF!</f>
        <v>#REF!</v>
      </c>
      <c r="BJ77" s="2013" t="e">
        <f>BX77*#REF!</f>
        <v>#REF!</v>
      </c>
      <c r="BK77" s="2013" t="e">
        <f>BY77*#REF!</f>
        <v>#REF!</v>
      </c>
      <c r="BL77" s="2013" t="e">
        <f>BZ77*#REF!</f>
        <v>#REF!</v>
      </c>
      <c r="BM77" s="2013" t="e">
        <f>CA77*#REF!</f>
        <v>#REF!</v>
      </c>
      <c r="BO77" s="2040">
        <f t="shared" si="126"/>
        <v>0</v>
      </c>
      <c r="BP77" s="2040" t="str">
        <f t="shared" si="127"/>
        <v>0</v>
      </c>
      <c r="BQ77" s="829">
        <f t="shared" si="128"/>
        <v>0</v>
      </c>
      <c r="BR77" s="2010">
        <f t="shared" si="129"/>
        <v>0</v>
      </c>
      <c r="BS77" s="2010">
        <f t="shared" si="130"/>
        <v>0</v>
      </c>
      <c r="BT77" s="2010">
        <f t="shared" si="131"/>
        <v>0</v>
      </c>
      <c r="BU77" s="2010">
        <f t="shared" si="132"/>
        <v>0</v>
      </c>
      <c r="BV77" s="2225">
        <f t="shared" si="133"/>
        <v>0</v>
      </c>
      <c r="BW77" s="2010">
        <f t="shared" si="134"/>
        <v>0</v>
      </c>
      <c r="BX77" s="2010">
        <f t="shared" si="135"/>
        <v>0</v>
      </c>
      <c r="BY77" s="2010">
        <f t="shared" si="136"/>
        <v>0</v>
      </c>
      <c r="BZ77" s="2010">
        <f t="shared" si="137"/>
        <v>0</v>
      </c>
      <c r="CA77" s="2010">
        <f t="shared" si="138"/>
        <v>0</v>
      </c>
      <c r="CB77" s="2039">
        <f t="shared" si="139"/>
        <v>0</v>
      </c>
      <c r="CC77" s="2039">
        <f t="shared" si="140"/>
        <v>0</v>
      </c>
      <c r="CD77" s="2039">
        <f t="shared" si="141"/>
        <v>0</v>
      </c>
      <c r="CF77" s="1207" t="s">
        <v>1720</v>
      </c>
      <c r="CG77" s="1211" t="s">
        <v>3278</v>
      </c>
      <c r="CH77" s="452" t="s">
        <v>4</v>
      </c>
      <c r="CI77" s="1244">
        <v>0.2</v>
      </c>
      <c r="CJ77" s="1244">
        <v>0.2</v>
      </c>
      <c r="CK77" s="1244">
        <v>0.2</v>
      </c>
      <c r="CL77" s="1219">
        <v>0.2</v>
      </c>
      <c r="CM77" s="1244">
        <v>0.2</v>
      </c>
      <c r="CN77" s="1219">
        <v>0.2</v>
      </c>
      <c r="CO77" s="1213">
        <v>0.2</v>
      </c>
      <c r="CP77" s="1219">
        <v>0.2</v>
      </c>
      <c r="CQ77" s="1244">
        <v>0.2</v>
      </c>
      <c r="CR77" s="1219">
        <v>0.2</v>
      </c>
      <c r="CS77" s="1214">
        <v>0</v>
      </c>
      <c r="CT77" s="1214">
        <v>0</v>
      </c>
      <c r="CU77" s="1214">
        <v>0</v>
      </c>
      <c r="CW77" s="1207">
        <v>0</v>
      </c>
      <c r="CX77" s="1211" t="s">
        <v>3276</v>
      </c>
      <c r="CY77" s="1208"/>
      <c r="CZ77" s="1213"/>
      <c r="DA77" s="1213"/>
      <c r="DB77" s="1213"/>
      <c r="DC77" s="1213"/>
      <c r="DD77" s="1250"/>
      <c r="DE77" s="1213"/>
      <c r="DF77" s="1213"/>
      <c r="DG77" s="1213"/>
      <c r="DH77" s="1213"/>
      <c r="DI77" s="1213"/>
      <c r="DJ77" s="1214"/>
      <c r="DK77" s="1214"/>
      <c r="DL77" s="1214"/>
      <c r="DN77" s="1207">
        <v>0</v>
      </c>
      <c r="DO77" s="1211" t="s">
        <v>3277</v>
      </c>
      <c r="DP77" s="1208"/>
      <c r="DQ77" s="1213"/>
      <c r="DR77" s="1213"/>
      <c r="DS77" s="1213"/>
      <c r="DT77" s="1213"/>
      <c r="DU77" s="1250"/>
      <c r="DV77" s="1213"/>
      <c r="DW77" s="1213"/>
      <c r="DX77" s="1213"/>
      <c r="DY77" s="1213"/>
      <c r="DZ77" s="1213"/>
      <c r="EA77" s="1214"/>
      <c r="EB77" s="1214"/>
      <c r="EC77" s="1214"/>
      <c r="ED77" s="1469"/>
      <c r="EF77" s="1207">
        <v>0</v>
      </c>
      <c r="EG77" s="1211" t="s">
        <v>3277</v>
      </c>
      <c r="EH77" s="1208"/>
      <c r="EI77" s="1689">
        <f t="shared" si="156"/>
        <v>0</v>
      </c>
      <c r="EJ77" s="1689">
        <f t="shared" si="156"/>
        <v>0</v>
      </c>
      <c r="EK77" s="1689">
        <f t="shared" si="156"/>
        <v>0</v>
      </c>
      <c r="EL77" s="1689">
        <f t="shared" si="156"/>
        <v>0</v>
      </c>
      <c r="EM77" s="1702">
        <f t="shared" si="156"/>
        <v>0</v>
      </c>
      <c r="EN77" s="1689">
        <f t="shared" si="156"/>
        <v>0</v>
      </c>
      <c r="EO77" s="1689">
        <f t="shared" si="156"/>
        <v>0</v>
      </c>
      <c r="EP77" s="1689">
        <f t="shared" si="156"/>
        <v>0</v>
      </c>
      <c r="EQ77" s="1689">
        <f t="shared" si="156"/>
        <v>0</v>
      </c>
      <c r="ER77" s="1689">
        <f t="shared" si="156"/>
        <v>0</v>
      </c>
      <c r="ES77" s="1691">
        <f t="shared" si="156"/>
        <v>0</v>
      </c>
      <c r="ET77" s="1691">
        <f t="shared" si="156"/>
        <v>0</v>
      </c>
      <c r="EU77" s="1691">
        <f t="shared" si="156"/>
        <v>0</v>
      </c>
      <c r="EW77" s="1207">
        <v>0</v>
      </c>
      <c r="EX77" s="1211" t="s">
        <v>3276</v>
      </c>
      <c r="EY77" s="1208"/>
      <c r="EZ77" s="1678">
        <f>DQ77</f>
        <v>0</v>
      </c>
      <c r="FA77" s="1678"/>
      <c r="FB77" s="1678"/>
      <c r="FC77" s="1678"/>
      <c r="FD77" s="1803"/>
      <c r="FE77" s="1678"/>
      <c r="FF77" s="1678"/>
      <c r="FG77" s="1678"/>
      <c r="FH77" s="1678"/>
      <c r="FI77" s="1678"/>
      <c r="FJ77" s="1795"/>
      <c r="FK77" s="1795"/>
      <c r="FL77" s="1795"/>
    </row>
    <row r="78" spans="2:168">
      <c r="B78" s="2023">
        <f t="shared" si="142"/>
        <v>2</v>
      </c>
      <c r="C78" s="2050" t="str">
        <f t="shared" si="120"/>
        <v>耐用性・信頼性</v>
      </c>
      <c r="D78" s="2061" t="e">
        <f>IF(I$62=0,0,G78/I$62)</f>
        <v>#REF!</v>
      </c>
      <c r="E78" s="2060" t="e">
        <f>IF(J$62=0,0,H78/J$62)</f>
        <v>#REF!</v>
      </c>
      <c r="G78" s="2060" t="e">
        <f t="shared" si="121"/>
        <v>#REF!</v>
      </c>
      <c r="H78" s="2060" t="e">
        <f t="shared" si="122"/>
        <v>#REF!</v>
      </c>
      <c r="I78" s="2060" t="e">
        <f>G79+G82++G89+G93</f>
        <v>#REF!</v>
      </c>
      <c r="J78" s="2060" t="e">
        <f>H79+H82++H89+H93</f>
        <v>#REF!</v>
      </c>
      <c r="K78" s="2060" t="e">
        <f>IF(#REF!=0,0,1)</f>
        <v>#REF!</v>
      </c>
      <c r="L78" s="2060" t="e">
        <f>IF(#REF!=0,0,1)</f>
        <v>#REF!</v>
      </c>
      <c r="M78" s="2060">
        <f t="shared" si="123"/>
        <v>0.3</v>
      </c>
      <c r="N78" s="2060">
        <f t="shared" si="124"/>
        <v>0</v>
      </c>
      <c r="P78" s="2070">
        <v>2</v>
      </c>
      <c r="Q78" s="2058" t="s">
        <v>5</v>
      </c>
      <c r="R78" s="2116"/>
      <c r="S78" s="2116"/>
      <c r="T78" s="2106"/>
      <c r="U78" s="2017"/>
      <c r="V78" s="2142">
        <f t="shared" ref="V78:V109" si="158">IF(SUMPRODUCT($AM$7:$AV$7,Y78:AH78)=0,0,SUMPRODUCT($AM$7:$AV$7,AM78:AV78)/SUMPRODUCT($AM$7:$AV$7,Y78:AH78))</f>
        <v>0</v>
      </c>
      <c r="W78" s="2141">
        <f t="shared" ref="W78:W109" si="159">IF(SUMPRODUCT($AW$7:$AY$7,AI78:AK78)=0,0,SUMPRODUCT($AW$7:$AY$7,AW78:AY78)/SUMPRODUCT($AW$7:$AY$7,AI78:AK78))</f>
        <v>0</v>
      </c>
      <c r="Y78" s="1">
        <f t="shared" si="143"/>
        <v>0</v>
      </c>
      <c r="Z78" s="1">
        <f t="shared" si="144"/>
        <v>0</v>
      </c>
      <c r="AA78" s="1">
        <f t="shared" si="145"/>
        <v>0</v>
      </c>
      <c r="AB78" s="1">
        <f t="shared" si="146"/>
        <v>0</v>
      </c>
      <c r="AC78" s="1">
        <f t="shared" si="147"/>
        <v>0</v>
      </c>
      <c r="AD78" s="1">
        <f t="shared" si="148"/>
        <v>0</v>
      </c>
      <c r="AE78" s="1">
        <f t="shared" si="149"/>
        <v>0</v>
      </c>
      <c r="AF78" s="1">
        <f t="shared" si="150"/>
        <v>0</v>
      </c>
      <c r="AG78" s="1">
        <f t="shared" si="151"/>
        <v>0</v>
      </c>
      <c r="AH78" s="1">
        <f t="shared" si="152"/>
        <v>0</v>
      </c>
      <c r="AI78" s="1">
        <f t="shared" si="153"/>
        <v>0</v>
      </c>
      <c r="AJ78" s="1">
        <f t="shared" si="154"/>
        <v>0</v>
      </c>
      <c r="AK78" s="1">
        <f t="shared" si="155"/>
        <v>0</v>
      </c>
      <c r="AM78" s="2140" t="s">
        <v>3267</v>
      </c>
      <c r="AN78" s="2140" t="s">
        <v>3267</v>
      </c>
      <c r="AO78" s="2140" t="s">
        <v>3267</v>
      </c>
      <c r="AP78" s="2140" t="s">
        <v>3266</v>
      </c>
      <c r="AQ78" s="2140" t="s">
        <v>3267</v>
      </c>
      <c r="AR78" s="2140" t="s">
        <v>3269</v>
      </c>
      <c r="AS78" s="2140" t="s">
        <v>3275</v>
      </c>
      <c r="AT78" s="2140" t="s">
        <v>3267</v>
      </c>
      <c r="AU78" s="2140" t="s">
        <v>3267</v>
      </c>
      <c r="AV78" s="2140" t="s">
        <v>3267</v>
      </c>
      <c r="AW78" s="2140" t="s">
        <v>3267</v>
      </c>
      <c r="AX78" s="2140" t="s">
        <v>3267</v>
      </c>
      <c r="AY78" s="2140" t="s">
        <v>3267</v>
      </c>
      <c r="BA78" s="2054" t="e">
        <f>BB78/$BC$62</f>
        <v>#REF!</v>
      </c>
      <c r="BB78" s="2054" t="e">
        <f t="shared" si="125"/>
        <v>#REF!</v>
      </c>
      <c r="BC78" s="2054"/>
      <c r="BD78" s="2053" t="e">
        <f>BR78*#REF!</f>
        <v>#REF!</v>
      </c>
      <c r="BE78" s="2053" t="e">
        <f>BS78*#REF!</f>
        <v>#REF!</v>
      </c>
      <c r="BF78" s="2053" t="e">
        <f>BT78*#REF!</f>
        <v>#REF!</v>
      </c>
      <c r="BG78" s="2053" t="e">
        <f>BU78*#REF!</f>
        <v>#REF!</v>
      </c>
      <c r="BH78" s="2115" t="e">
        <f>BV78*#REF!</f>
        <v>#REF!</v>
      </c>
      <c r="BI78" s="2053" t="e">
        <f>BW78*#REF!</f>
        <v>#REF!</v>
      </c>
      <c r="BJ78" s="2053" t="e">
        <f>BX78*#REF!</f>
        <v>#REF!</v>
      </c>
      <c r="BK78" s="2053" t="e">
        <f>BY78*#REF!</f>
        <v>#REF!</v>
      </c>
      <c r="BL78" s="2053" t="e">
        <f>BZ78*#REF!</f>
        <v>#REF!</v>
      </c>
      <c r="BM78" s="2053" t="e">
        <f>CA78*#REF!</f>
        <v>#REF!</v>
      </c>
      <c r="BO78" s="2114">
        <f t="shared" si="126"/>
        <v>2</v>
      </c>
      <c r="BP78" s="2114" t="str">
        <f t="shared" si="127"/>
        <v xml:space="preserve"> Q2</v>
      </c>
      <c r="BQ78" s="2050" t="str">
        <f t="shared" si="128"/>
        <v>耐用性・信頼性</v>
      </c>
      <c r="BR78" s="2048">
        <f t="shared" si="129"/>
        <v>0.3</v>
      </c>
      <c r="BS78" s="2048">
        <f t="shared" si="130"/>
        <v>0.3</v>
      </c>
      <c r="BT78" s="2048">
        <f t="shared" si="131"/>
        <v>0.3</v>
      </c>
      <c r="BU78" s="2048">
        <f t="shared" si="132"/>
        <v>0.3</v>
      </c>
      <c r="BV78" s="2113">
        <f t="shared" si="133"/>
        <v>0.3</v>
      </c>
      <c r="BW78" s="2048">
        <f t="shared" si="134"/>
        <v>0.3</v>
      </c>
      <c r="BX78" s="2048">
        <f t="shared" si="135"/>
        <v>0.3</v>
      </c>
      <c r="BY78" s="2048">
        <f t="shared" si="136"/>
        <v>0.3</v>
      </c>
      <c r="BZ78" s="2048">
        <f t="shared" si="137"/>
        <v>0.3</v>
      </c>
      <c r="CA78" s="2048">
        <f t="shared" si="138"/>
        <v>0.3</v>
      </c>
      <c r="CB78" s="2049">
        <f t="shared" si="139"/>
        <v>0</v>
      </c>
      <c r="CC78" s="2048">
        <f t="shared" si="140"/>
        <v>0</v>
      </c>
      <c r="CD78" s="2048">
        <f t="shared" si="141"/>
        <v>0</v>
      </c>
      <c r="CF78" s="1197">
        <v>2</v>
      </c>
      <c r="CG78" s="1201" t="s">
        <v>2150</v>
      </c>
      <c r="CH78" s="1198" t="s">
        <v>1721</v>
      </c>
      <c r="CI78" s="1199">
        <v>0.3</v>
      </c>
      <c r="CJ78" s="1199">
        <v>0.3</v>
      </c>
      <c r="CK78" s="1199">
        <v>0.3</v>
      </c>
      <c r="CL78" s="1199">
        <v>0.3</v>
      </c>
      <c r="CM78" s="1251">
        <v>0.3</v>
      </c>
      <c r="CN78" s="1199">
        <v>0.3</v>
      </c>
      <c r="CO78" s="1202">
        <v>0.3</v>
      </c>
      <c r="CP78" s="1199">
        <v>0.3</v>
      </c>
      <c r="CQ78" s="1199">
        <v>0.3</v>
      </c>
      <c r="CR78" s="1199">
        <v>0.3</v>
      </c>
      <c r="CS78" s="1203">
        <v>0</v>
      </c>
      <c r="CT78" s="1202">
        <v>0</v>
      </c>
      <c r="CU78" s="1202">
        <v>0</v>
      </c>
      <c r="CW78" s="1197">
        <v>2</v>
      </c>
      <c r="CX78" s="1201" t="s">
        <v>2150</v>
      </c>
      <c r="CY78" s="1198" t="s">
        <v>1700</v>
      </c>
      <c r="CZ78" s="1202">
        <v>0.3</v>
      </c>
      <c r="DA78" s="1202">
        <v>0.3</v>
      </c>
      <c r="DB78" s="1202">
        <v>0.3</v>
      </c>
      <c r="DC78" s="1202">
        <v>0.3</v>
      </c>
      <c r="DD78" s="1252">
        <v>0.3</v>
      </c>
      <c r="DE78" s="1202">
        <v>0.3</v>
      </c>
      <c r="DF78" s="1202">
        <v>0.3</v>
      </c>
      <c r="DG78" s="1202">
        <v>0.3</v>
      </c>
      <c r="DH78" s="1202">
        <v>0.3</v>
      </c>
      <c r="DI78" s="1202">
        <v>0.3</v>
      </c>
      <c r="DJ78" s="1203"/>
      <c r="DK78" s="1202"/>
      <c r="DL78" s="1202"/>
      <c r="DN78" s="1197">
        <v>2</v>
      </c>
      <c r="DO78" s="1201" t="s">
        <v>2150</v>
      </c>
      <c r="DP78" s="1198" t="s">
        <v>1721</v>
      </c>
      <c r="DQ78" s="1202">
        <v>0.3</v>
      </c>
      <c r="DR78" s="1202">
        <v>0.3</v>
      </c>
      <c r="DS78" s="1202">
        <v>0.3</v>
      </c>
      <c r="DT78" s="1202">
        <v>0.3</v>
      </c>
      <c r="DU78" s="1202">
        <v>0.3</v>
      </c>
      <c r="DV78" s="1202">
        <v>0.3</v>
      </c>
      <c r="DW78" s="1202">
        <v>0.3</v>
      </c>
      <c r="DX78" s="1202">
        <v>0.3</v>
      </c>
      <c r="DY78" s="1202">
        <v>0.3</v>
      </c>
      <c r="DZ78" s="1202">
        <v>0.3</v>
      </c>
      <c r="EA78" s="1203"/>
      <c r="EB78" s="1202"/>
      <c r="EC78" s="1202"/>
      <c r="ED78" s="1468"/>
      <c r="EF78" s="1197">
        <v>2</v>
      </c>
      <c r="EG78" s="1201" t="s">
        <v>2150</v>
      </c>
      <c r="EH78" s="1198" t="s">
        <v>1721</v>
      </c>
      <c r="EI78" s="1676">
        <v>0.25</v>
      </c>
      <c r="EJ78" s="1676">
        <v>0.25</v>
      </c>
      <c r="EK78" s="1676">
        <v>0.25</v>
      </c>
      <c r="EL78" s="1676">
        <v>0.25</v>
      </c>
      <c r="EM78" s="1676">
        <v>0.25</v>
      </c>
      <c r="EN78" s="1676">
        <v>0.25</v>
      </c>
      <c r="EO78" s="1676">
        <v>0.25</v>
      </c>
      <c r="EP78" s="1676">
        <v>0.25</v>
      </c>
      <c r="EQ78" s="1676">
        <v>0.25</v>
      </c>
      <c r="ER78" s="1676">
        <v>0.25</v>
      </c>
      <c r="ES78" s="1677">
        <f t="shared" ref="ES78:EU82" si="160">EA78</f>
        <v>0</v>
      </c>
      <c r="ET78" s="1676">
        <f t="shared" si="160"/>
        <v>0</v>
      </c>
      <c r="EU78" s="1676">
        <f t="shared" si="160"/>
        <v>0</v>
      </c>
      <c r="EW78" s="1197">
        <v>2</v>
      </c>
      <c r="EX78" s="1201" t="s">
        <v>2150</v>
      </c>
      <c r="EY78" s="1198" t="s">
        <v>1721</v>
      </c>
      <c r="EZ78" s="1821">
        <v>0.2</v>
      </c>
      <c r="FA78" s="1676"/>
      <c r="FB78" s="1676"/>
      <c r="FC78" s="1676"/>
      <c r="FD78" s="1676"/>
      <c r="FE78" s="1676"/>
      <c r="FF78" s="1676"/>
      <c r="FG78" s="1676"/>
      <c r="FH78" s="1676"/>
      <c r="FI78" s="1676"/>
      <c r="FJ78" s="1677"/>
      <c r="FK78" s="1676"/>
      <c r="FL78" s="1676"/>
    </row>
    <row r="79" spans="2:168" ht="14.25" thickBot="1">
      <c r="B79" s="2023">
        <f t="shared" si="142"/>
        <v>2.1</v>
      </c>
      <c r="C79" s="829" t="str">
        <f t="shared" si="120"/>
        <v>耐震･免震・制震・制振</v>
      </c>
      <c r="D79" s="2022" t="e">
        <f>IF(I$78=0,0,G79/I$78)</f>
        <v>#REF!</v>
      </c>
      <c r="E79" s="2021" t="e">
        <f>IF(J$78=0,0,H79/J$78)</f>
        <v>#REF!</v>
      </c>
      <c r="G79" s="2021" t="e">
        <f t="shared" si="121"/>
        <v>#REF!</v>
      </c>
      <c r="H79" s="2021" t="e">
        <f t="shared" si="122"/>
        <v>#REF!</v>
      </c>
      <c r="I79" s="2021" t="e">
        <f>SUM(G80:G81)</f>
        <v>#REF!</v>
      </c>
      <c r="J79" s="2021" t="e">
        <f>SUM(H80:H81)</f>
        <v>#REF!</v>
      </c>
      <c r="K79" s="2021" t="e">
        <f>IF(#REF!=0,0,1)</f>
        <v>#REF!</v>
      </c>
      <c r="L79" s="2021" t="e">
        <f>IF(#REF!=0,0,1)</f>
        <v>#REF!</v>
      </c>
      <c r="M79" s="2021">
        <f t="shared" si="123"/>
        <v>0.5</v>
      </c>
      <c r="N79" s="2021">
        <f t="shared" si="124"/>
        <v>0</v>
      </c>
      <c r="P79" s="2123"/>
      <c r="Q79" s="2035">
        <v>2.1</v>
      </c>
      <c r="R79" s="2129" t="s">
        <v>2867</v>
      </c>
      <c r="S79" s="2106"/>
      <c r="T79" s="2106"/>
      <c r="U79" s="2017"/>
      <c r="V79" s="2043">
        <f t="shared" si="158"/>
        <v>0</v>
      </c>
      <c r="W79" s="2042">
        <f t="shared" si="159"/>
        <v>0</v>
      </c>
      <c r="Y79" s="1">
        <f t="shared" si="143"/>
        <v>0</v>
      </c>
      <c r="Z79" s="1">
        <f t="shared" si="144"/>
        <v>0</v>
      </c>
      <c r="AA79" s="1">
        <f t="shared" si="145"/>
        <v>0</v>
      </c>
      <c r="AB79" s="1">
        <f t="shared" si="146"/>
        <v>0</v>
      </c>
      <c r="AC79" s="1">
        <f t="shared" si="147"/>
        <v>0</v>
      </c>
      <c r="AD79" s="1">
        <f t="shared" si="148"/>
        <v>0</v>
      </c>
      <c r="AE79" s="1">
        <f t="shared" si="149"/>
        <v>0</v>
      </c>
      <c r="AF79" s="1">
        <f t="shared" si="150"/>
        <v>0</v>
      </c>
      <c r="AG79" s="1">
        <f t="shared" si="151"/>
        <v>0</v>
      </c>
      <c r="AH79" s="1">
        <f t="shared" si="152"/>
        <v>0</v>
      </c>
      <c r="AI79" s="1">
        <f t="shared" si="153"/>
        <v>0</v>
      </c>
      <c r="AJ79" s="1">
        <f t="shared" si="154"/>
        <v>0</v>
      </c>
      <c r="AK79" s="1">
        <f t="shared" si="155"/>
        <v>0</v>
      </c>
      <c r="AM79" s="2041" t="s">
        <v>3267</v>
      </c>
      <c r="AN79" s="2041" t="s">
        <v>3267</v>
      </c>
      <c r="AO79" s="2041" t="s">
        <v>3267</v>
      </c>
      <c r="AP79" s="2041" t="s">
        <v>3269</v>
      </c>
      <c r="AQ79" s="2041" t="s">
        <v>3267</v>
      </c>
      <c r="AR79" s="2041" t="s">
        <v>3267</v>
      </c>
      <c r="AS79" s="2041" t="s">
        <v>3267</v>
      </c>
      <c r="AT79" s="2041" t="s">
        <v>3267</v>
      </c>
      <c r="AU79" s="2041" t="s">
        <v>3275</v>
      </c>
      <c r="AV79" s="2041" t="s">
        <v>3269</v>
      </c>
      <c r="AW79" s="2041" t="s">
        <v>3269</v>
      </c>
      <c r="AX79" s="2041" t="s">
        <v>3267</v>
      </c>
      <c r="AY79" s="2041" t="s">
        <v>3269</v>
      </c>
      <c r="BA79" s="2014"/>
      <c r="BB79" s="2014" t="e">
        <f t="shared" si="125"/>
        <v>#REF!</v>
      </c>
      <c r="BC79" s="2014"/>
      <c r="BD79" s="2013" t="e">
        <f>BR79*#REF!</f>
        <v>#REF!</v>
      </c>
      <c r="BE79" s="2013" t="e">
        <f>BS79*#REF!</f>
        <v>#REF!</v>
      </c>
      <c r="BF79" s="2013" t="e">
        <f>BT79*#REF!</f>
        <v>#REF!</v>
      </c>
      <c r="BG79" s="2013" t="e">
        <f>BU79*#REF!</f>
        <v>#REF!</v>
      </c>
      <c r="BH79" s="2094" t="e">
        <f>BV79*#REF!</f>
        <v>#REF!</v>
      </c>
      <c r="BI79" s="2013" t="e">
        <f>BW79*#REF!</f>
        <v>#REF!</v>
      </c>
      <c r="BJ79" s="2013" t="e">
        <f>BX79*#REF!</f>
        <v>#REF!</v>
      </c>
      <c r="BK79" s="2013" t="e">
        <f>BY79*#REF!</f>
        <v>#REF!</v>
      </c>
      <c r="BL79" s="2013" t="e">
        <f>BZ79*#REF!</f>
        <v>#REF!</v>
      </c>
      <c r="BM79" s="2013" t="e">
        <f>CA79*#REF!</f>
        <v>#REF!</v>
      </c>
      <c r="BO79" s="2040">
        <f t="shared" si="126"/>
        <v>2.1</v>
      </c>
      <c r="BP79" s="2040" t="str">
        <f t="shared" si="127"/>
        <v xml:space="preserve"> Q2 2</v>
      </c>
      <c r="BQ79" s="829" t="str">
        <f t="shared" si="128"/>
        <v>耐震･免震・制震・制振</v>
      </c>
      <c r="BR79" s="2010">
        <f t="shared" si="129"/>
        <v>0.5</v>
      </c>
      <c r="BS79" s="2010">
        <f t="shared" si="130"/>
        <v>0.5</v>
      </c>
      <c r="BT79" s="2010">
        <f t="shared" si="131"/>
        <v>0.5</v>
      </c>
      <c r="BU79" s="2010">
        <f t="shared" si="132"/>
        <v>0.5</v>
      </c>
      <c r="BV79" s="2093">
        <f t="shared" si="133"/>
        <v>0.5</v>
      </c>
      <c r="BW79" s="2010">
        <f t="shared" si="134"/>
        <v>0.5</v>
      </c>
      <c r="BX79" s="2010">
        <f t="shared" si="135"/>
        <v>0.5</v>
      </c>
      <c r="BY79" s="2010">
        <f t="shared" si="136"/>
        <v>0.5</v>
      </c>
      <c r="BZ79" s="2010">
        <f t="shared" si="137"/>
        <v>0.5</v>
      </c>
      <c r="CA79" s="2010">
        <f t="shared" si="138"/>
        <v>0.5</v>
      </c>
      <c r="CB79" s="2039">
        <f t="shared" si="139"/>
        <v>0</v>
      </c>
      <c r="CC79" s="2010">
        <f t="shared" si="140"/>
        <v>0</v>
      </c>
      <c r="CD79" s="2010">
        <f t="shared" si="141"/>
        <v>0</v>
      </c>
      <c r="CF79" s="1207">
        <v>2.1</v>
      </c>
      <c r="CG79" s="1211" t="s">
        <v>1722</v>
      </c>
      <c r="CH79" s="1208" t="s">
        <v>1840</v>
      </c>
      <c r="CI79" s="1209">
        <v>0.25</v>
      </c>
      <c r="CJ79" s="1209">
        <v>0.25</v>
      </c>
      <c r="CK79" s="1209">
        <v>0.25</v>
      </c>
      <c r="CL79" s="1209">
        <v>0.25</v>
      </c>
      <c r="CM79" s="1217">
        <v>0.25</v>
      </c>
      <c r="CN79" s="1209">
        <v>0.25</v>
      </c>
      <c r="CO79" s="1213">
        <v>0.25</v>
      </c>
      <c r="CP79" s="1209">
        <v>0.25</v>
      </c>
      <c r="CQ79" s="1209">
        <v>0.25</v>
      </c>
      <c r="CR79" s="1209">
        <v>0.25</v>
      </c>
      <c r="CS79" s="1214">
        <v>0</v>
      </c>
      <c r="CT79" s="1213">
        <v>0</v>
      </c>
      <c r="CU79" s="1213">
        <v>0</v>
      </c>
      <c r="CW79" s="1207">
        <v>2.1</v>
      </c>
      <c r="CX79" s="1211" t="s">
        <v>1722</v>
      </c>
      <c r="CY79" s="1208" t="s">
        <v>1701</v>
      </c>
      <c r="CZ79" s="1213">
        <v>0.5</v>
      </c>
      <c r="DA79" s="1213">
        <v>0.5</v>
      </c>
      <c r="DB79" s="1213">
        <v>0.5</v>
      </c>
      <c r="DC79" s="1213">
        <v>0.5</v>
      </c>
      <c r="DD79" s="1220">
        <v>0.5</v>
      </c>
      <c r="DE79" s="1213">
        <v>0.5</v>
      </c>
      <c r="DF79" s="1213">
        <v>0.5</v>
      </c>
      <c r="DG79" s="1213">
        <v>0.5</v>
      </c>
      <c r="DH79" s="1213">
        <v>0.5</v>
      </c>
      <c r="DI79" s="1213">
        <v>0.5</v>
      </c>
      <c r="DJ79" s="1214"/>
      <c r="DK79" s="1213"/>
      <c r="DL79" s="1213"/>
      <c r="DN79" s="1207">
        <v>2.1</v>
      </c>
      <c r="DO79" s="1211" t="s">
        <v>1722</v>
      </c>
      <c r="DP79" s="1208" t="s">
        <v>2867</v>
      </c>
      <c r="DQ79" s="1213">
        <v>0.5</v>
      </c>
      <c r="DR79" s="1213">
        <v>0.5</v>
      </c>
      <c r="DS79" s="1213">
        <v>0.5</v>
      </c>
      <c r="DT79" s="1213">
        <v>0.5</v>
      </c>
      <c r="DU79" s="1220">
        <v>0.5</v>
      </c>
      <c r="DV79" s="1213">
        <v>0.5</v>
      </c>
      <c r="DW79" s="1213">
        <v>0.5</v>
      </c>
      <c r="DX79" s="1213">
        <v>0.5</v>
      </c>
      <c r="DY79" s="1213">
        <v>0.5</v>
      </c>
      <c r="DZ79" s="1213">
        <v>0.5</v>
      </c>
      <c r="EA79" s="1214"/>
      <c r="EB79" s="1213"/>
      <c r="EC79" s="1213"/>
      <c r="ED79" s="1469"/>
      <c r="EF79" s="1207">
        <v>2.1</v>
      </c>
      <c r="EG79" s="1211" t="s">
        <v>1722</v>
      </c>
      <c r="EH79" s="1208" t="s">
        <v>2867</v>
      </c>
      <c r="EI79" s="1678">
        <v>0.9</v>
      </c>
      <c r="EJ79" s="1678">
        <v>0.9</v>
      </c>
      <c r="EK79" s="1678">
        <v>0.9</v>
      </c>
      <c r="EL79" s="1678">
        <v>0.9</v>
      </c>
      <c r="EM79" s="1678">
        <v>0.9</v>
      </c>
      <c r="EN79" s="1678">
        <v>0.9</v>
      </c>
      <c r="EO79" s="1678">
        <v>0.9</v>
      </c>
      <c r="EP79" s="1678">
        <v>0.9</v>
      </c>
      <c r="EQ79" s="1678">
        <v>0.9</v>
      </c>
      <c r="ER79" s="1678">
        <v>0.9</v>
      </c>
      <c r="ES79" s="1691">
        <f t="shared" si="160"/>
        <v>0</v>
      </c>
      <c r="ET79" s="1689">
        <f t="shared" si="160"/>
        <v>0</v>
      </c>
      <c r="EU79" s="1689">
        <f t="shared" si="160"/>
        <v>0</v>
      </c>
      <c r="EW79" s="1207">
        <v>2.1</v>
      </c>
      <c r="EX79" s="1211" t="s">
        <v>1722</v>
      </c>
      <c r="EY79" s="1208" t="s">
        <v>2867</v>
      </c>
      <c r="EZ79" s="1814">
        <v>0.4</v>
      </c>
      <c r="FA79" s="1678"/>
      <c r="FB79" s="1678"/>
      <c r="FC79" s="1678"/>
      <c r="FD79" s="1678"/>
      <c r="FE79" s="1678"/>
      <c r="FF79" s="1678"/>
      <c r="FG79" s="1678"/>
      <c r="FH79" s="1678"/>
      <c r="FI79" s="1678"/>
      <c r="FJ79" s="1795"/>
      <c r="FK79" s="1678"/>
      <c r="FL79" s="1678"/>
    </row>
    <row r="80" spans="2:168">
      <c r="B80" s="2023" t="str">
        <f t="shared" si="142"/>
        <v>2.1.1</v>
      </c>
      <c r="C80" s="829" t="str">
        <f t="shared" si="120"/>
        <v>耐震性</v>
      </c>
      <c r="D80" s="2100" t="e">
        <f>IF(I$79&gt;0,G80/I$79,0)</f>
        <v>#REF!</v>
      </c>
      <c r="E80" s="2021" t="e">
        <f>IF(J$79&gt;0,H80/J$79,0)</f>
        <v>#REF!</v>
      </c>
      <c r="G80" s="2021" t="e">
        <f t="shared" si="121"/>
        <v>#REF!</v>
      </c>
      <c r="H80" s="2021" t="e">
        <f t="shared" si="122"/>
        <v>#REF!</v>
      </c>
      <c r="I80" s="2021"/>
      <c r="J80" s="2021"/>
      <c r="K80" s="2021" t="e">
        <f>IF(#REF!=0,0,1)</f>
        <v>#REF!</v>
      </c>
      <c r="L80" s="2021" t="e">
        <f>IF(#REF!=0,0,1)</f>
        <v>#REF!</v>
      </c>
      <c r="M80" s="2021">
        <f t="shared" si="123"/>
        <v>0.8</v>
      </c>
      <c r="N80" s="2021">
        <f t="shared" si="124"/>
        <v>0</v>
      </c>
      <c r="P80" s="2123"/>
      <c r="Q80" s="2019"/>
      <c r="R80" s="993">
        <v>1</v>
      </c>
      <c r="S80" s="1655" t="s">
        <v>2870</v>
      </c>
      <c r="T80" s="2036"/>
      <c r="U80" s="2017"/>
      <c r="V80" s="2025">
        <f t="shared" si="158"/>
        <v>0</v>
      </c>
      <c r="W80" s="2024">
        <f t="shared" si="159"/>
        <v>0</v>
      </c>
      <c r="Y80" s="1">
        <f t="shared" si="143"/>
        <v>0</v>
      </c>
      <c r="Z80" s="1">
        <f t="shared" si="144"/>
        <v>0</v>
      </c>
      <c r="AA80" s="1">
        <f t="shared" si="145"/>
        <v>0</v>
      </c>
      <c r="AB80" s="1">
        <f t="shared" si="146"/>
        <v>0</v>
      </c>
      <c r="AC80" s="1">
        <f t="shared" si="147"/>
        <v>0</v>
      </c>
      <c r="AD80" s="1">
        <f t="shared" si="148"/>
        <v>0</v>
      </c>
      <c r="AE80" s="1">
        <f t="shared" si="149"/>
        <v>0</v>
      </c>
      <c r="AF80" s="1">
        <f t="shared" si="150"/>
        <v>0</v>
      </c>
      <c r="AG80" s="1">
        <f t="shared" si="151"/>
        <v>0</v>
      </c>
      <c r="AH80" s="1">
        <f t="shared" si="152"/>
        <v>0</v>
      </c>
      <c r="AI80" s="1">
        <f t="shared" si="153"/>
        <v>0</v>
      </c>
      <c r="AJ80" s="1">
        <f t="shared" si="154"/>
        <v>0</v>
      </c>
      <c r="AK80" s="1">
        <f t="shared" si="155"/>
        <v>0</v>
      </c>
      <c r="AM80" s="1827"/>
      <c r="AN80" s="1827"/>
      <c r="AO80" s="1827"/>
      <c r="AP80" s="1827"/>
      <c r="AQ80" s="1827"/>
      <c r="AR80" s="1827"/>
      <c r="AS80" s="1827"/>
      <c r="AT80" s="1827"/>
      <c r="AU80" s="1827"/>
      <c r="AV80" s="1827"/>
      <c r="AW80" s="1827"/>
      <c r="AX80" s="1827"/>
      <c r="AY80" s="1827"/>
      <c r="BA80" s="2014"/>
      <c r="BB80" s="2014" t="e">
        <f t="shared" si="125"/>
        <v>#REF!</v>
      </c>
      <c r="BC80" s="2014"/>
      <c r="BD80" s="2013" t="e">
        <f>BR80*#REF!</f>
        <v>#REF!</v>
      </c>
      <c r="BE80" s="2013" t="e">
        <f>BS80*#REF!</f>
        <v>#REF!</v>
      </c>
      <c r="BF80" s="2013" t="e">
        <f>BT80*#REF!</f>
        <v>#REF!</v>
      </c>
      <c r="BG80" s="2013" t="e">
        <f>BU80*#REF!</f>
        <v>#REF!</v>
      </c>
      <c r="BH80" s="2094" t="e">
        <f>BV80*#REF!</f>
        <v>#REF!</v>
      </c>
      <c r="BI80" s="2013" t="e">
        <f>BW80*#REF!</f>
        <v>#REF!</v>
      </c>
      <c r="BJ80" s="2013" t="e">
        <f>BX80*#REF!</f>
        <v>#REF!</v>
      </c>
      <c r="BK80" s="2013" t="e">
        <f>BY80*#REF!</f>
        <v>#REF!</v>
      </c>
      <c r="BL80" s="2013" t="e">
        <f>BZ80*#REF!</f>
        <v>#REF!</v>
      </c>
      <c r="BM80" s="2013" t="e">
        <f>CA80*#REF!</f>
        <v>#REF!</v>
      </c>
      <c r="BO80" s="2040" t="str">
        <f t="shared" si="126"/>
        <v>2.1.1</v>
      </c>
      <c r="BP80" s="2040" t="str">
        <f t="shared" si="127"/>
        <v xml:space="preserve"> Q2 2.1</v>
      </c>
      <c r="BQ80" s="829" t="str">
        <f t="shared" si="128"/>
        <v>耐震性</v>
      </c>
      <c r="BR80" s="2010">
        <f t="shared" si="129"/>
        <v>0.8</v>
      </c>
      <c r="BS80" s="2010">
        <f t="shared" si="130"/>
        <v>0.8</v>
      </c>
      <c r="BT80" s="2010">
        <f t="shared" si="131"/>
        <v>0.8</v>
      </c>
      <c r="BU80" s="2010">
        <f t="shared" si="132"/>
        <v>0.8</v>
      </c>
      <c r="BV80" s="2093">
        <f t="shared" si="133"/>
        <v>0.8</v>
      </c>
      <c r="BW80" s="2010">
        <f t="shared" si="134"/>
        <v>0.8</v>
      </c>
      <c r="BX80" s="2010">
        <f t="shared" si="135"/>
        <v>0.8</v>
      </c>
      <c r="BY80" s="2010">
        <f t="shared" si="136"/>
        <v>0.8</v>
      </c>
      <c r="BZ80" s="2010">
        <f t="shared" si="137"/>
        <v>0.8</v>
      </c>
      <c r="CA80" s="2010">
        <f t="shared" si="138"/>
        <v>0.8</v>
      </c>
      <c r="CB80" s="2039">
        <f t="shared" si="139"/>
        <v>0</v>
      </c>
      <c r="CC80" s="2010">
        <f t="shared" si="140"/>
        <v>0</v>
      </c>
      <c r="CD80" s="2010">
        <f t="shared" si="141"/>
        <v>0</v>
      </c>
      <c r="CF80" s="1207" t="s">
        <v>3274</v>
      </c>
      <c r="CG80" s="1211" t="s">
        <v>1723</v>
      </c>
      <c r="CH80" s="1208" t="s">
        <v>1724</v>
      </c>
      <c r="CI80" s="1209">
        <v>0.8</v>
      </c>
      <c r="CJ80" s="1209">
        <v>0.8</v>
      </c>
      <c r="CK80" s="1209">
        <v>0.8</v>
      </c>
      <c r="CL80" s="1209">
        <v>0.8</v>
      </c>
      <c r="CM80" s="1217">
        <v>0.8</v>
      </c>
      <c r="CN80" s="1209">
        <v>0.8</v>
      </c>
      <c r="CO80" s="1213">
        <v>0.8</v>
      </c>
      <c r="CP80" s="1209">
        <v>0.8</v>
      </c>
      <c r="CQ80" s="1209">
        <v>0.8</v>
      </c>
      <c r="CR80" s="1209">
        <v>0.8</v>
      </c>
      <c r="CS80" s="1214">
        <v>0</v>
      </c>
      <c r="CT80" s="1213">
        <v>0</v>
      </c>
      <c r="CU80" s="1213">
        <v>0</v>
      </c>
      <c r="CW80" s="1207" t="s">
        <v>3273</v>
      </c>
      <c r="CX80" s="1211" t="s">
        <v>1723</v>
      </c>
      <c r="CY80" s="1208" t="s">
        <v>1724</v>
      </c>
      <c r="CZ80" s="1213">
        <v>0.8</v>
      </c>
      <c r="DA80" s="1213">
        <v>0.8</v>
      </c>
      <c r="DB80" s="1213">
        <v>0.8</v>
      </c>
      <c r="DC80" s="1213">
        <v>0.8</v>
      </c>
      <c r="DD80" s="1220">
        <v>0.8</v>
      </c>
      <c r="DE80" s="1213">
        <v>0.8</v>
      </c>
      <c r="DF80" s="1213">
        <v>0.8</v>
      </c>
      <c r="DG80" s="1213">
        <v>0.8</v>
      </c>
      <c r="DH80" s="1213">
        <v>0.8</v>
      </c>
      <c r="DI80" s="1213">
        <v>0.8</v>
      </c>
      <c r="DJ80" s="1214"/>
      <c r="DK80" s="1213"/>
      <c r="DL80" s="1213"/>
      <c r="DN80" s="1207" t="s">
        <v>3274</v>
      </c>
      <c r="DO80" s="1211" t="s">
        <v>1723</v>
      </c>
      <c r="DP80" s="1208" t="s">
        <v>1724</v>
      </c>
      <c r="DQ80" s="1213">
        <v>0.8</v>
      </c>
      <c r="DR80" s="1213">
        <v>0.8</v>
      </c>
      <c r="DS80" s="1213">
        <v>0.8</v>
      </c>
      <c r="DT80" s="1213">
        <v>0.8</v>
      </c>
      <c r="DU80" s="1220">
        <v>0.8</v>
      </c>
      <c r="DV80" s="1213">
        <v>0.8</v>
      </c>
      <c r="DW80" s="1213">
        <v>0.8</v>
      </c>
      <c r="DX80" s="1213">
        <v>0.8</v>
      </c>
      <c r="DY80" s="1213">
        <v>0.8</v>
      </c>
      <c r="DZ80" s="1213">
        <v>0.8</v>
      </c>
      <c r="EA80" s="1214"/>
      <c r="EB80" s="1213"/>
      <c r="EC80" s="1213"/>
      <c r="ED80" s="1469"/>
      <c r="EF80" s="1207" t="s">
        <v>3273</v>
      </c>
      <c r="EG80" s="1211" t="s">
        <v>1723</v>
      </c>
      <c r="EH80" s="1208" t="s">
        <v>1724</v>
      </c>
      <c r="EI80" s="1678">
        <v>1</v>
      </c>
      <c r="EJ80" s="1678">
        <v>1</v>
      </c>
      <c r="EK80" s="1678">
        <v>1</v>
      </c>
      <c r="EL80" s="1678">
        <v>1</v>
      </c>
      <c r="EM80" s="1678">
        <v>1</v>
      </c>
      <c r="EN80" s="1678">
        <v>1</v>
      </c>
      <c r="EO80" s="1678">
        <v>1</v>
      </c>
      <c r="EP80" s="1678">
        <v>1</v>
      </c>
      <c r="EQ80" s="1678">
        <v>1</v>
      </c>
      <c r="ER80" s="1678">
        <v>1</v>
      </c>
      <c r="ES80" s="1691">
        <f t="shared" si="160"/>
        <v>0</v>
      </c>
      <c r="ET80" s="1689">
        <f t="shared" si="160"/>
        <v>0</v>
      </c>
      <c r="EU80" s="1689">
        <f t="shared" si="160"/>
        <v>0</v>
      </c>
      <c r="EW80" s="1207" t="s">
        <v>3272</v>
      </c>
      <c r="EX80" s="1211" t="s">
        <v>1723</v>
      </c>
      <c r="EY80" s="1208" t="s">
        <v>1724</v>
      </c>
      <c r="EZ80" s="1678">
        <f>DQ80</f>
        <v>0.8</v>
      </c>
      <c r="FA80" s="1678"/>
      <c r="FB80" s="1678"/>
      <c r="FC80" s="1678"/>
      <c r="FD80" s="1678"/>
      <c r="FE80" s="1678"/>
      <c r="FF80" s="1678"/>
      <c r="FG80" s="1678"/>
      <c r="FH80" s="1678"/>
      <c r="FI80" s="1678"/>
      <c r="FJ80" s="1795"/>
      <c r="FK80" s="1678"/>
      <c r="FL80" s="1678"/>
    </row>
    <row r="81" spans="2:168" ht="14.25" thickBot="1">
      <c r="B81" s="2023" t="str">
        <f t="shared" si="142"/>
        <v>2.1.2</v>
      </c>
      <c r="C81" s="829" t="str">
        <f t="shared" si="120"/>
        <v>免震・制震・制振性能</v>
      </c>
      <c r="D81" s="2100" t="e">
        <f>IF(I$79&gt;0,G81/I$79,0)</f>
        <v>#REF!</v>
      </c>
      <c r="E81" s="2021" t="e">
        <f>IF(J$79&gt;0,H81/J$79,0)</f>
        <v>#REF!</v>
      </c>
      <c r="G81" s="2021" t="e">
        <f t="shared" si="121"/>
        <v>#REF!</v>
      </c>
      <c r="H81" s="2021" t="e">
        <f t="shared" si="122"/>
        <v>#REF!</v>
      </c>
      <c r="I81" s="2021"/>
      <c r="J81" s="2021"/>
      <c r="K81" s="2021" t="e">
        <f>IF(#REF!=0,0,1)</f>
        <v>#REF!</v>
      </c>
      <c r="L81" s="2021" t="e">
        <f>IF(#REF!=0,0,1)</f>
        <v>#REF!</v>
      </c>
      <c r="M81" s="2021">
        <f t="shared" si="123"/>
        <v>0.2</v>
      </c>
      <c r="N81" s="2021">
        <f t="shared" si="124"/>
        <v>0</v>
      </c>
      <c r="P81" s="2123"/>
      <c r="Q81" s="2067"/>
      <c r="R81" s="993">
        <v>2</v>
      </c>
      <c r="S81" s="1655" t="s">
        <v>2869</v>
      </c>
      <c r="T81" s="2036"/>
      <c r="U81" s="2017"/>
      <c r="V81" s="2016">
        <f t="shared" si="158"/>
        <v>0</v>
      </c>
      <c r="W81" s="2015">
        <f t="shared" si="159"/>
        <v>0</v>
      </c>
      <c r="Y81" s="1">
        <f t="shared" si="143"/>
        <v>0</v>
      </c>
      <c r="Z81" s="1">
        <f t="shared" si="144"/>
        <v>0</v>
      </c>
      <c r="AA81" s="1">
        <f t="shared" si="145"/>
        <v>0</v>
      </c>
      <c r="AB81" s="1">
        <f t="shared" si="146"/>
        <v>0</v>
      </c>
      <c r="AC81" s="1">
        <f t="shared" si="147"/>
        <v>0</v>
      </c>
      <c r="AD81" s="1">
        <f t="shared" si="148"/>
        <v>0</v>
      </c>
      <c r="AE81" s="1">
        <f t="shared" si="149"/>
        <v>0</v>
      </c>
      <c r="AF81" s="1">
        <f t="shared" si="150"/>
        <v>0</v>
      </c>
      <c r="AG81" s="1">
        <f t="shared" si="151"/>
        <v>0</v>
      </c>
      <c r="AH81" s="1">
        <f t="shared" si="152"/>
        <v>0</v>
      </c>
      <c r="AI81" s="1">
        <f t="shared" si="153"/>
        <v>0</v>
      </c>
      <c r="AJ81" s="1">
        <f t="shared" si="154"/>
        <v>0</v>
      </c>
      <c r="AK81" s="1">
        <f t="shared" si="155"/>
        <v>0</v>
      </c>
      <c r="AM81" s="1831"/>
      <c r="AN81" s="1831"/>
      <c r="AO81" s="1831"/>
      <c r="AP81" s="1831"/>
      <c r="AQ81" s="1831"/>
      <c r="AR81" s="1831"/>
      <c r="AS81" s="1831"/>
      <c r="AT81" s="1831"/>
      <c r="AU81" s="1831"/>
      <c r="AV81" s="1831"/>
      <c r="AW81" s="1831"/>
      <c r="AX81" s="1831"/>
      <c r="AY81" s="1831"/>
      <c r="BA81" s="2014"/>
      <c r="BB81" s="2014" t="e">
        <f t="shared" si="125"/>
        <v>#REF!</v>
      </c>
      <c r="BC81" s="2014"/>
      <c r="BD81" s="2013" t="e">
        <f>BR81*#REF!</f>
        <v>#REF!</v>
      </c>
      <c r="BE81" s="2013" t="e">
        <f>BS81*#REF!</f>
        <v>#REF!</v>
      </c>
      <c r="BF81" s="2013" t="e">
        <f>BT81*#REF!</f>
        <v>#REF!</v>
      </c>
      <c r="BG81" s="2013" t="e">
        <f>BU81*#REF!</f>
        <v>#REF!</v>
      </c>
      <c r="BH81" s="2094" t="e">
        <f>BV81*#REF!</f>
        <v>#REF!</v>
      </c>
      <c r="BI81" s="2013" t="e">
        <f>BW81*#REF!</f>
        <v>#REF!</v>
      </c>
      <c r="BJ81" s="2013" t="e">
        <f>BX81*#REF!</f>
        <v>#REF!</v>
      </c>
      <c r="BK81" s="2013" t="e">
        <f>BY81*#REF!</f>
        <v>#REF!</v>
      </c>
      <c r="BL81" s="2013" t="e">
        <f>BZ81*#REF!</f>
        <v>#REF!</v>
      </c>
      <c r="BM81" s="2013" t="e">
        <f>CA81*#REF!</f>
        <v>#REF!</v>
      </c>
      <c r="BO81" s="2040" t="str">
        <f t="shared" si="126"/>
        <v>2.1.2</v>
      </c>
      <c r="BP81" s="2040" t="str">
        <f t="shared" si="127"/>
        <v xml:space="preserve"> Q2 2.1</v>
      </c>
      <c r="BQ81" s="829" t="str">
        <f t="shared" si="128"/>
        <v>免震・制震・制振性能</v>
      </c>
      <c r="BR81" s="2010">
        <f t="shared" si="129"/>
        <v>0.2</v>
      </c>
      <c r="BS81" s="2010">
        <f t="shared" si="130"/>
        <v>0.2</v>
      </c>
      <c r="BT81" s="2010">
        <f t="shared" si="131"/>
        <v>0.2</v>
      </c>
      <c r="BU81" s="2010">
        <f t="shared" si="132"/>
        <v>0.2</v>
      </c>
      <c r="BV81" s="2093">
        <f t="shared" si="133"/>
        <v>0.2</v>
      </c>
      <c r="BW81" s="2010">
        <f t="shared" si="134"/>
        <v>0.2</v>
      </c>
      <c r="BX81" s="2010">
        <f t="shared" si="135"/>
        <v>0.2</v>
      </c>
      <c r="BY81" s="2010">
        <f t="shared" si="136"/>
        <v>0.2</v>
      </c>
      <c r="BZ81" s="2010">
        <f t="shared" si="137"/>
        <v>0.2</v>
      </c>
      <c r="CA81" s="2010">
        <f t="shared" si="138"/>
        <v>0.2</v>
      </c>
      <c r="CB81" s="2039">
        <f t="shared" si="139"/>
        <v>0</v>
      </c>
      <c r="CC81" s="2010">
        <f t="shared" si="140"/>
        <v>0</v>
      </c>
      <c r="CD81" s="2010">
        <f t="shared" si="141"/>
        <v>0</v>
      </c>
      <c r="CF81" s="1207" t="s">
        <v>2314</v>
      </c>
      <c r="CG81" s="1211" t="s">
        <v>1723</v>
      </c>
      <c r="CH81" s="1208" t="s">
        <v>1725</v>
      </c>
      <c r="CI81" s="1209">
        <v>0.2</v>
      </c>
      <c r="CJ81" s="1209">
        <v>0.2</v>
      </c>
      <c r="CK81" s="1209">
        <v>0.2</v>
      </c>
      <c r="CL81" s="1209">
        <v>0.2</v>
      </c>
      <c r="CM81" s="1217">
        <v>0.2</v>
      </c>
      <c r="CN81" s="1209">
        <v>0.2</v>
      </c>
      <c r="CO81" s="1213">
        <v>0.2</v>
      </c>
      <c r="CP81" s="1209">
        <v>0.2</v>
      </c>
      <c r="CQ81" s="1209">
        <v>0.2</v>
      </c>
      <c r="CR81" s="1209">
        <v>0.2</v>
      </c>
      <c r="CS81" s="1214">
        <v>0</v>
      </c>
      <c r="CT81" s="1213">
        <v>0</v>
      </c>
      <c r="CU81" s="1213">
        <v>0</v>
      </c>
      <c r="CW81" s="1207" t="s">
        <v>2314</v>
      </c>
      <c r="CX81" s="1211" t="s">
        <v>1723</v>
      </c>
      <c r="CY81" s="1208" t="s">
        <v>1702</v>
      </c>
      <c r="CZ81" s="1213">
        <v>0.2</v>
      </c>
      <c r="DA81" s="1213">
        <v>0.2</v>
      </c>
      <c r="DB81" s="1213">
        <v>0.2</v>
      </c>
      <c r="DC81" s="1213">
        <v>0.2</v>
      </c>
      <c r="DD81" s="1220">
        <v>0.2</v>
      </c>
      <c r="DE81" s="1213">
        <v>0.2</v>
      </c>
      <c r="DF81" s="1213">
        <v>0.2</v>
      </c>
      <c r="DG81" s="1213">
        <v>0.2</v>
      </c>
      <c r="DH81" s="1213">
        <v>0.2</v>
      </c>
      <c r="DI81" s="1213">
        <v>0.2</v>
      </c>
      <c r="DJ81" s="1214"/>
      <c r="DK81" s="1213"/>
      <c r="DL81" s="1213"/>
      <c r="DN81" s="1207" t="s">
        <v>3271</v>
      </c>
      <c r="DO81" s="1211" t="s">
        <v>1723</v>
      </c>
      <c r="DP81" s="1208" t="s">
        <v>2868</v>
      </c>
      <c r="DQ81" s="1213">
        <v>0.2</v>
      </c>
      <c r="DR81" s="1213">
        <v>0.2</v>
      </c>
      <c r="DS81" s="1213">
        <v>0.2</v>
      </c>
      <c r="DT81" s="1213">
        <v>0.2</v>
      </c>
      <c r="DU81" s="1220">
        <v>0.2</v>
      </c>
      <c r="DV81" s="1213">
        <v>0.2</v>
      </c>
      <c r="DW81" s="1213">
        <v>0.2</v>
      </c>
      <c r="DX81" s="1213">
        <v>0.2</v>
      </c>
      <c r="DY81" s="1213">
        <v>0.2</v>
      </c>
      <c r="DZ81" s="1213">
        <v>0.2</v>
      </c>
      <c r="EA81" s="1214"/>
      <c r="EB81" s="1213"/>
      <c r="EC81" s="1213"/>
      <c r="ED81" s="1469"/>
      <c r="EF81" s="1207" t="s">
        <v>2314</v>
      </c>
      <c r="EG81" s="1211" t="s">
        <v>1723</v>
      </c>
      <c r="EH81" s="1208" t="s">
        <v>2868</v>
      </c>
      <c r="EI81" s="1689">
        <v>0</v>
      </c>
      <c r="EJ81" s="1689">
        <v>0</v>
      </c>
      <c r="EK81" s="1689">
        <v>0</v>
      </c>
      <c r="EL81" s="1689">
        <v>0</v>
      </c>
      <c r="EM81" s="1689">
        <v>0</v>
      </c>
      <c r="EN81" s="1689">
        <v>0</v>
      </c>
      <c r="EO81" s="1689">
        <v>0</v>
      </c>
      <c r="EP81" s="1689">
        <v>0</v>
      </c>
      <c r="EQ81" s="1689">
        <v>0</v>
      </c>
      <c r="ER81" s="1689">
        <v>0</v>
      </c>
      <c r="ES81" s="1691">
        <f t="shared" si="160"/>
        <v>0</v>
      </c>
      <c r="ET81" s="1689">
        <f t="shared" si="160"/>
        <v>0</v>
      </c>
      <c r="EU81" s="1689">
        <f t="shared" si="160"/>
        <v>0</v>
      </c>
      <c r="EW81" s="1207" t="s">
        <v>3270</v>
      </c>
      <c r="EX81" s="1211" t="s">
        <v>1723</v>
      </c>
      <c r="EY81" s="1208" t="s">
        <v>2868</v>
      </c>
      <c r="EZ81" s="1678">
        <f>DQ81</f>
        <v>0.2</v>
      </c>
      <c r="FA81" s="1678"/>
      <c r="FB81" s="1678"/>
      <c r="FC81" s="1678"/>
      <c r="FD81" s="1678"/>
      <c r="FE81" s="1678"/>
      <c r="FF81" s="1678"/>
      <c r="FG81" s="1678"/>
      <c r="FH81" s="1678"/>
      <c r="FI81" s="1678"/>
      <c r="FJ81" s="1795"/>
      <c r="FK81" s="1678"/>
      <c r="FL81" s="1678"/>
    </row>
    <row r="82" spans="2:168" ht="14.25" thickBot="1">
      <c r="B82" s="2023">
        <f t="shared" si="142"/>
        <v>2.2000000000000002</v>
      </c>
      <c r="C82" s="829" t="str">
        <f t="shared" si="120"/>
        <v>部品・部材の耐用年数</v>
      </c>
      <c r="D82" s="2022" t="e">
        <f>IF(I$78=0,0,G82/I$78)</f>
        <v>#REF!</v>
      </c>
      <c r="E82" s="2021" t="e">
        <f>IF(J$78=0,0,H82/J$78)</f>
        <v>#REF!</v>
      </c>
      <c r="G82" s="2021" t="e">
        <f t="shared" si="121"/>
        <v>#REF!</v>
      </c>
      <c r="H82" s="2021" t="e">
        <f t="shared" si="122"/>
        <v>#REF!</v>
      </c>
      <c r="I82" s="2021" t="e">
        <f>SUM(G83:G88)</f>
        <v>#REF!</v>
      </c>
      <c r="J82" s="2021" t="e">
        <f>SUM(H83:H88)</f>
        <v>#REF!</v>
      </c>
      <c r="K82" s="2021" t="e">
        <f>IF(#REF!=0,0,1)</f>
        <v>#REF!</v>
      </c>
      <c r="L82" s="2021" t="e">
        <f>IF(#REF!=0,0,1)</f>
        <v>#REF!</v>
      </c>
      <c r="M82" s="2021">
        <f t="shared" si="123"/>
        <v>0.3</v>
      </c>
      <c r="N82" s="2021">
        <f t="shared" si="124"/>
        <v>0</v>
      </c>
      <c r="P82" s="2123"/>
      <c r="Q82" s="2068">
        <v>2.2000000000000002</v>
      </c>
      <c r="R82" s="2129" t="s">
        <v>1841</v>
      </c>
      <c r="S82" s="2106"/>
      <c r="T82" s="2106"/>
      <c r="U82" s="2017"/>
      <c r="V82" s="2105">
        <f t="shared" si="158"/>
        <v>0</v>
      </c>
      <c r="W82" s="2104">
        <f t="shared" si="159"/>
        <v>0</v>
      </c>
      <c r="Y82" s="1">
        <f t="shared" si="143"/>
        <v>0</v>
      </c>
      <c r="Z82" s="1">
        <f t="shared" si="144"/>
        <v>0</v>
      </c>
      <c r="AA82" s="1">
        <f t="shared" si="145"/>
        <v>0</v>
      </c>
      <c r="AB82" s="1">
        <f t="shared" si="146"/>
        <v>0</v>
      </c>
      <c r="AC82" s="1">
        <f t="shared" si="147"/>
        <v>0</v>
      </c>
      <c r="AD82" s="1">
        <f t="shared" si="148"/>
        <v>0</v>
      </c>
      <c r="AE82" s="1">
        <f t="shared" si="149"/>
        <v>0</v>
      </c>
      <c r="AF82" s="1">
        <f t="shared" si="150"/>
        <v>0</v>
      </c>
      <c r="AG82" s="1">
        <f t="shared" si="151"/>
        <v>0</v>
      </c>
      <c r="AH82" s="1">
        <f t="shared" si="152"/>
        <v>0</v>
      </c>
      <c r="AI82" s="1">
        <f t="shared" si="153"/>
        <v>0</v>
      </c>
      <c r="AJ82" s="1">
        <f t="shared" si="154"/>
        <v>0</v>
      </c>
      <c r="AK82" s="1">
        <f t="shared" si="155"/>
        <v>0</v>
      </c>
      <c r="AM82" s="2103" t="s">
        <v>3268</v>
      </c>
      <c r="AN82" s="2103" t="s">
        <v>177</v>
      </c>
      <c r="AO82" s="2103" t="s">
        <v>3269</v>
      </c>
      <c r="AP82" s="2103" t="s">
        <v>3268</v>
      </c>
      <c r="AQ82" s="2103" t="s">
        <v>3268</v>
      </c>
      <c r="AR82" s="2103" t="s">
        <v>177</v>
      </c>
      <c r="AS82" s="2103" t="s">
        <v>3268</v>
      </c>
      <c r="AT82" s="2103" t="s">
        <v>3267</v>
      </c>
      <c r="AU82" s="2103" t="s">
        <v>3267</v>
      </c>
      <c r="AV82" s="2103" t="s">
        <v>3266</v>
      </c>
      <c r="AW82" s="2103" t="s">
        <v>177</v>
      </c>
      <c r="AX82" s="2103" t="s">
        <v>3266</v>
      </c>
      <c r="AY82" s="2103" t="s">
        <v>3266</v>
      </c>
      <c r="BA82" s="2014"/>
      <c r="BB82" s="2014" t="e">
        <f t="shared" si="125"/>
        <v>#REF!</v>
      </c>
      <c r="BC82" s="2014"/>
      <c r="BD82" s="2013" t="e">
        <f>BR82*#REF!</f>
        <v>#REF!</v>
      </c>
      <c r="BE82" s="2013" t="e">
        <f>BS82*#REF!</f>
        <v>#REF!</v>
      </c>
      <c r="BF82" s="2013" t="e">
        <f>BT82*#REF!</f>
        <v>#REF!</v>
      </c>
      <c r="BG82" s="2013" t="e">
        <f>BU82*#REF!</f>
        <v>#REF!</v>
      </c>
      <c r="BH82" s="2094" t="e">
        <f>BV82*#REF!</f>
        <v>#REF!</v>
      </c>
      <c r="BI82" s="2013" t="e">
        <f>BW82*#REF!</f>
        <v>#REF!</v>
      </c>
      <c r="BJ82" s="2013" t="e">
        <f>BX82*#REF!</f>
        <v>#REF!</v>
      </c>
      <c r="BK82" s="2013" t="e">
        <f>BY82*#REF!</f>
        <v>#REF!</v>
      </c>
      <c r="BL82" s="2013" t="e">
        <f>BZ82*#REF!</f>
        <v>#REF!</v>
      </c>
      <c r="BM82" s="2013" t="e">
        <f>CA82*#REF!</f>
        <v>#REF!</v>
      </c>
      <c r="BO82" s="2040">
        <f t="shared" si="126"/>
        <v>2.2000000000000002</v>
      </c>
      <c r="BP82" s="2040" t="str">
        <f t="shared" si="127"/>
        <v xml:space="preserve"> Q2 2</v>
      </c>
      <c r="BQ82" s="829" t="str">
        <f t="shared" si="128"/>
        <v>部品・部材の耐用年数</v>
      </c>
      <c r="BR82" s="2010">
        <f t="shared" si="129"/>
        <v>0.3</v>
      </c>
      <c r="BS82" s="2010">
        <f t="shared" si="130"/>
        <v>0.3</v>
      </c>
      <c r="BT82" s="2010">
        <f t="shared" si="131"/>
        <v>0.3</v>
      </c>
      <c r="BU82" s="2010">
        <f t="shared" si="132"/>
        <v>0.3</v>
      </c>
      <c r="BV82" s="2093">
        <f t="shared" si="133"/>
        <v>0.3</v>
      </c>
      <c r="BW82" s="2010">
        <f t="shared" si="134"/>
        <v>0.3</v>
      </c>
      <c r="BX82" s="2010">
        <f t="shared" si="135"/>
        <v>0.3</v>
      </c>
      <c r="BY82" s="2010">
        <f t="shared" si="136"/>
        <v>0.3</v>
      </c>
      <c r="BZ82" s="2010">
        <f t="shared" si="137"/>
        <v>0.3</v>
      </c>
      <c r="CA82" s="2010">
        <f t="shared" si="138"/>
        <v>0.3</v>
      </c>
      <c r="CB82" s="2039">
        <f t="shared" si="139"/>
        <v>0</v>
      </c>
      <c r="CC82" s="2010">
        <f t="shared" si="140"/>
        <v>0</v>
      </c>
      <c r="CD82" s="2010">
        <f t="shared" si="141"/>
        <v>0</v>
      </c>
      <c r="CF82" s="1207">
        <v>2.2000000000000002</v>
      </c>
      <c r="CG82" s="1211" t="s">
        <v>1722</v>
      </c>
      <c r="CH82" s="1208" t="s">
        <v>1841</v>
      </c>
      <c r="CI82" s="1209">
        <v>0.25</v>
      </c>
      <c r="CJ82" s="1209">
        <v>0.25</v>
      </c>
      <c r="CK82" s="1209">
        <v>0.25</v>
      </c>
      <c r="CL82" s="1209">
        <v>0.25</v>
      </c>
      <c r="CM82" s="1217">
        <v>0.25</v>
      </c>
      <c r="CN82" s="1209">
        <v>0.25</v>
      </c>
      <c r="CO82" s="1213">
        <v>0.25</v>
      </c>
      <c r="CP82" s="1209">
        <v>0.25</v>
      </c>
      <c r="CQ82" s="1209">
        <v>0.25</v>
      </c>
      <c r="CR82" s="1209">
        <v>0.25</v>
      </c>
      <c r="CS82" s="1214">
        <v>0</v>
      </c>
      <c r="CT82" s="1213">
        <v>0</v>
      </c>
      <c r="CU82" s="1213">
        <v>0</v>
      </c>
      <c r="CW82" s="1207">
        <v>2.2000000000000002</v>
      </c>
      <c r="CX82" s="1211" t="s">
        <v>1722</v>
      </c>
      <c r="CY82" s="1208" t="s">
        <v>1703</v>
      </c>
      <c r="CZ82" s="1213">
        <v>0.3</v>
      </c>
      <c r="DA82" s="1213">
        <v>0.3</v>
      </c>
      <c r="DB82" s="1213">
        <v>0.3</v>
      </c>
      <c r="DC82" s="1213">
        <v>0.3</v>
      </c>
      <c r="DD82" s="1220">
        <v>0.3</v>
      </c>
      <c r="DE82" s="1213">
        <v>0.3</v>
      </c>
      <c r="DF82" s="1213">
        <v>0.3</v>
      </c>
      <c r="DG82" s="1213">
        <v>0.3</v>
      </c>
      <c r="DH82" s="1213">
        <v>0.3</v>
      </c>
      <c r="DI82" s="1213">
        <v>0.3</v>
      </c>
      <c r="DJ82" s="1214"/>
      <c r="DK82" s="1213"/>
      <c r="DL82" s="1213"/>
      <c r="DN82" s="1207">
        <v>2.2000000000000002</v>
      </c>
      <c r="DO82" s="1211" t="s">
        <v>1722</v>
      </c>
      <c r="DP82" s="1208" t="s">
        <v>1841</v>
      </c>
      <c r="DQ82" s="1213">
        <v>0.3</v>
      </c>
      <c r="DR82" s="1213">
        <v>0.3</v>
      </c>
      <c r="DS82" s="1213">
        <v>0.3</v>
      </c>
      <c r="DT82" s="1213">
        <v>0.3</v>
      </c>
      <c r="DU82" s="1220">
        <v>0.3</v>
      </c>
      <c r="DV82" s="1213">
        <v>0.3</v>
      </c>
      <c r="DW82" s="1213">
        <v>0.3</v>
      </c>
      <c r="DX82" s="1213">
        <v>0.3</v>
      </c>
      <c r="DY82" s="1213">
        <v>0.3</v>
      </c>
      <c r="DZ82" s="1213">
        <v>0.3</v>
      </c>
      <c r="EA82" s="1214"/>
      <c r="EB82" s="1213"/>
      <c r="EC82" s="1213"/>
      <c r="ED82" s="1469"/>
      <c r="EF82" s="1207">
        <v>2.2000000000000002</v>
      </c>
      <c r="EG82" s="1211" t="s">
        <v>1722</v>
      </c>
      <c r="EH82" s="1208" t="s">
        <v>1841</v>
      </c>
      <c r="EI82" s="1689">
        <v>0</v>
      </c>
      <c r="EJ82" s="1689">
        <v>0</v>
      </c>
      <c r="EK82" s="1689">
        <v>0</v>
      </c>
      <c r="EL82" s="1689">
        <v>0</v>
      </c>
      <c r="EM82" s="1689">
        <v>0</v>
      </c>
      <c r="EN82" s="1689">
        <v>0</v>
      </c>
      <c r="EO82" s="1689">
        <v>0</v>
      </c>
      <c r="EP82" s="1689">
        <v>0</v>
      </c>
      <c r="EQ82" s="1689">
        <v>0</v>
      </c>
      <c r="ER82" s="1689">
        <v>0</v>
      </c>
      <c r="ES82" s="1691">
        <f t="shared" si="160"/>
        <v>0</v>
      </c>
      <c r="ET82" s="1689">
        <f t="shared" si="160"/>
        <v>0</v>
      </c>
      <c r="EU82" s="1689">
        <f t="shared" si="160"/>
        <v>0</v>
      </c>
      <c r="EW82" s="1207">
        <v>2.2000000000000002</v>
      </c>
      <c r="EX82" s="1211" t="s">
        <v>1722</v>
      </c>
      <c r="EY82" s="1208" t="s">
        <v>1841</v>
      </c>
      <c r="EZ82" s="1814">
        <v>0</v>
      </c>
      <c r="FA82" s="1678"/>
      <c r="FB82" s="1678"/>
      <c r="FC82" s="1678"/>
      <c r="FD82" s="1678"/>
      <c r="FE82" s="1678"/>
      <c r="FF82" s="1678"/>
      <c r="FG82" s="1678"/>
      <c r="FH82" s="1678"/>
      <c r="FI82" s="1678"/>
      <c r="FJ82" s="1795"/>
      <c r="FK82" s="1678"/>
      <c r="FL82" s="1678"/>
    </row>
    <row r="83" spans="2:168">
      <c r="B83" s="2023" t="str">
        <f t="shared" si="142"/>
        <v>2.2.1</v>
      </c>
      <c r="C83" s="829" t="str">
        <f t="shared" si="120"/>
        <v>躯体材料の耐用年数</v>
      </c>
      <c r="D83" s="2100" t="e">
        <f t="shared" ref="D83:E88" si="161">IF(I$82&gt;0,G83/I$82,0)</f>
        <v>#REF!</v>
      </c>
      <c r="E83" s="2021" t="e">
        <f t="shared" si="161"/>
        <v>#REF!</v>
      </c>
      <c r="G83" s="2021" t="e">
        <f t="shared" si="121"/>
        <v>#REF!</v>
      </c>
      <c r="H83" s="2021" t="e">
        <f t="shared" si="122"/>
        <v>#REF!</v>
      </c>
      <c r="I83" s="2021"/>
      <c r="J83" s="2021"/>
      <c r="K83" s="2021" t="e">
        <f>IF(#REF!=0,0,1)</f>
        <v>#REF!</v>
      </c>
      <c r="L83" s="2021" t="e">
        <f>IF(#REF!=0,0,1)</f>
        <v>#REF!</v>
      </c>
      <c r="M83" s="2021">
        <f t="shared" si="123"/>
        <v>0.2</v>
      </c>
      <c r="N83" s="2021">
        <f t="shared" si="124"/>
        <v>0</v>
      </c>
      <c r="P83" s="2123"/>
      <c r="Q83" s="2019"/>
      <c r="R83" s="993">
        <v>1</v>
      </c>
      <c r="S83" s="1655" t="s">
        <v>648</v>
      </c>
      <c r="T83" s="2036"/>
      <c r="U83" s="2017"/>
      <c r="V83" s="2025">
        <f t="shared" si="158"/>
        <v>0</v>
      </c>
      <c r="W83" s="2024">
        <f t="shared" si="159"/>
        <v>0</v>
      </c>
      <c r="Y83" s="1">
        <f t="shared" si="143"/>
        <v>0</v>
      </c>
      <c r="Z83" s="1">
        <f t="shared" si="144"/>
        <v>0</v>
      </c>
      <c r="AA83" s="1">
        <f t="shared" si="145"/>
        <v>0</v>
      </c>
      <c r="AB83" s="1">
        <f t="shared" si="146"/>
        <v>0</v>
      </c>
      <c r="AC83" s="1">
        <f t="shared" si="147"/>
        <v>0</v>
      </c>
      <c r="AD83" s="1">
        <f t="shared" si="148"/>
        <v>0</v>
      </c>
      <c r="AE83" s="1">
        <f t="shared" si="149"/>
        <v>0</v>
      </c>
      <c r="AF83" s="1">
        <f t="shared" si="150"/>
        <v>0</v>
      </c>
      <c r="AG83" s="1">
        <f t="shared" si="151"/>
        <v>0</v>
      </c>
      <c r="AH83" s="1">
        <f t="shared" si="152"/>
        <v>0</v>
      </c>
      <c r="AI83" s="1">
        <f t="shared" si="153"/>
        <v>0</v>
      </c>
      <c r="AJ83" s="1">
        <f t="shared" si="154"/>
        <v>0</v>
      </c>
      <c r="AK83" s="1">
        <f t="shared" si="155"/>
        <v>0</v>
      </c>
      <c r="AM83" s="1827"/>
      <c r="AN83" s="1827"/>
      <c r="AO83" s="1827"/>
      <c r="AP83" s="1827"/>
      <c r="AQ83" s="1827"/>
      <c r="AR83" s="1827"/>
      <c r="AS83" s="1827"/>
      <c r="AT83" s="1827"/>
      <c r="AU83" s="1827"/>
      <c r="AV83" s="1827"/>
      <c r="AW83" s="1827"/>
      <c r="AX83" s="1827"/>
      <c r="AY83" s="1827"/>
      <c r="BA83" s="2014"/>
      <c r="BB83" s="2014" t="e">
        <f t="shared" si="125"/>
        <v>#REF!</v>
      </c>
      <c r="BC83" s="2014"/>
      <c r="BD83" s="2013" t="e">
        <f>BR83*#REF!</f>
        <v>#REF!</v>
      </c>
      <c r="BE83" s="2013" t="e">
        <f>BS83*#REF!</f>
        <v>#REF!</v>
      </c>
      <c r="BF83" s="2013" t="e">
        <f>BT83*#REF!</f>
        <v>#REF!</v>
      </c>
      <c r="BG83" s="2013" t="e">
        <f>BU83*#REF!</f>
        <v>#REF!</v>
      </c>
      <c r="BH83" s="2094" t="e">
        <f>BV83*#REF!</f>
        <v>#REF!</v>
      </c>
      <c r="BI83" s="2013" t="e">
        <f>BW83*#REF!</f>
        <v>#REF!</v>
      </c>
      <c r="BJ83" s="2013" t="e">
        <f>BX83*#REF!</f>
        <v>#REF!</v>
      </c>
      <c r="BK83" s="2013" t="e">
        <f>BY83*#REF!</f>
        <v>#REF!</v>
      </c>
      <c r="BL83" s="2013" t="e">
        <f>BZ83*#REF!</f>
        <v>#REF!</v>
      </c>
      <c r="BM83" s="2013" t="e">
        <f>CA83*#REF!</f>
        <v>#REF!</v>
      </c>
      <c r="BO83" s="2040" t="str">
        <f t="shared" si="126"/>
        <v>2.2.1</v>
      </c>
      <c r="BP83" s="2040" t="str">
        <f t="shared" si="127"/>
        <v xml:space="preserve"> Q2 2.2</v>
      </c>
      <c r="BQ83" s="829" t="str">
        <f t="shared" si="128"/>
        <v>躯体材料の耐用年数</v>
      </c>
      <c r="BR83" s="2010">
        <f t="shared" si="129"/>
        <v>0.2</v>
      </c>
      <c r="BS83" s="2010">
        <f t="shared" si="130"/>
        <v>0.2</v>
      </c>
      <c r="BT83" s="2010">
        <f t="shared" si="131"/>
        <v>0.2</v>
      </c>
      <c r="BU83" s="2010">
        <f t="shared" si="132"/>
        <v>0.2</v>
      </c>
      <c r="BV83" s="2093">
        <f t="shared" si="133"/>
        <v>0.2</v>
      </c>
      <c r="BW83" s="2010">
        <f t="shared" si="134"/>
        <v>0.2</v>
      </c>
      <c r="BX83" s="2010">
        <f t="shared" si="135"/>
        <v>0.2</v>
      </c>
      <c r="BY83" s="2010">
        <f t="shared" si="136"/>
        <v>0.2</v>
      </c>
      <c r="BZ83" s="2010">
        <f t="shared" si="137"/>
        <v>0.2</v>
      </c>
      <c r="CA83" s="2010">
        <f t="shared" si="138"/>
        <v>0.2</v>
      </c>
      <c r="CB83" s="2039">
        <f t="shared" si="139"/>
        <v>0</v>
      </c>
      <c r="CC83" s="2010">
        <f t="shared" si="140"/>
        <v>0</v>
      </c>
      <c r="CD83" s="2010">
        <f t="shared" si="141"/>
        <v>0</v>
      </c>
      <c r="CF83" s="1207" t="s">
        <v>3265</v>
      </c>
      <c r="CG83" s="1211" t="s">
        <v>1726</v>
      </c>
      <c r="CH83" s="1208" t="s">
        <v>648</v>
      </c>
      <c r="CI83" s="1210">
        <v>0.2</v>
      </c>
      <c r="CJ83" s="1210">
        <v>0.2</v>
      </c>
      <c r="CK83" s="1210">
        <v>0.2</v>
      </c>
      <c r="CL83" s="1210">
        <v>0.2</v>
      </c>
      <c r="CM83" s="1210">
        <v>0.2</v>
      </c>
      <c r="CN83" s="1210">
        <v>0.2</v>
      </c>
      <c r="CO83" s="1213">
        <v>0.25</v>
      </c>
      <c r="CP83" s="1210">
        <v>0.2</v>
      </c>
      <c r="CQ83" s="1210">
        <v>0.2</v>
      </c>
      <c r="CR83" s="1210">
        <v>0.2</v>
      </c>
      <c r="CS83" s="1214">
        <v>0</v>
      </c>
      <c r="CT83" s="1213">
        <v>0</v>
      </c>
      <c r="CU83" s="1213">
        <v>0</v>
      </c>
      <c r="CW83" s="1207" t="s">
        <v>3265</v>
      </c>
      <c r="CX83" s="1211" t="s">
        <v>1726</v>
      </c>
      <c r="CY83" s="1208" t="s">
        <v>1704</v>
      </c>
      <c r="CZ83" s="1213">
        <v>0.2</v>
      </c>
      <c r="DA83" s="1213">
        <v>0.2</v>
      </c>
      <c r="DB83" s="1213">
        <v>0.2</v>
      </c>
      <c r="DC83" s="1213">
        <v>0.2</v>
      </c>
      <c r="DD83" s="1213">
        <v>0.2</v>
      </c>
      <c r="DE83" s="1213">
        <v>0.2</v>
      </c>
      <c r="DF83" s="1213">
        <v>0.2</v>
      </c>
      <c r="DG83" s="1213">
        <v>0.2</v>
      </c>
      <c r="DH83" s="1213">
        <v>0.2</v>
      </c>
      <c r="DI83" s="1213">
        <v>0.2</v>
      </c>
      <c r="DJ83" s="1214"/>
      <c r="DK83" s="1213"/>
      <c r="DL83" s="1213"/>
      <c r="DN83" s="1207" t="s">
        <v>3265</v>
      </c>
      <c r="DO83" s="1211" t="s">
        <v>1726</v>
      </c>
      <c r="DP83" s="1208" t="s">
        <v>648</v>
      </c>
      <c r="DQ83" s="1213">
        <v>0.2</v>
      </c>
      <c r="DR83" s="1213">
        <v>0.2</v>
      </c>
      <c r="DS83" s="1213">
        <v>0.2</v>
      </c>
      <c r="DT83" s="1213">
        <v>0.2</v>
      </c>
      <c r="DU83" s="1213">
        <v>0.2</v>
      </c>
      <c r="DV83" s="1213">
        <v>0.2</v>
      </c>
      <c r="DW83" s="1213">
        <v>0.2</v>
      </c>
      <c r="DX83" s="1213">
        <v>0.2</v>
      </c>
      <c r="DY83" s="1213">
        <v>0.2</v>
      </c>
      <c r="DZ83" s="1213">
        <v>0.2</v>
      </c>
      <c r="EA83" s="1214"/>
      <c r="EB83" s="1213"/>
      <c r="EC83" s="1213"/>
      <c r="ED83" s="1469"/>
      <c r="EF83" s="1207" t="s">
        <v>3265</v>
      </c>
      <c r="EG83" s="1211" t="s">
        <v>1726</v>
      </c>
      <c r="EH83" s="1208" t="s">
        <v>648</v>
      </c>
      <c r="EI83" s="1689">
        <v>0</v>
      </c>
      <c r="EJ83" s="1689">
        <v>0</v>
      </c>
      <c r="EK83" s="1689">
        <v>0</v>
      </c>
      <c r="EL83" s="1689">
        <v>0</v>
      </c>
      <c r="EM83" s="1689">
        <v>0</v>
      </c>
      <c r="EN83" s="1689">
        <v>0</v>
      </c>
      <c r="EO83" s="1689">
        <v>0</v>
      </c>
      <c r="EP83" s="1689">
        <v>0</v>
      </c>
      <c r="EQ83" s="1689">
        <v>0</v>
      </c>
      <c r="ER83" s="1689">
        <v>0</v>
      </c>
      <c r="ES83" s="1689">
        <v>0</v>
      </c>
      <c r="ET83" s="1689">
        <f t="shared" ref="ET83:ET100" si="162">EB83</f>
        <v>0</v>
      </c>
      <c r="EU83" s="1689">
        <f t="shared" ref="EU83:EU100" si="163">EC83</f>
        <v>0</v>
      </c>
      <c r="EW83" s="1207" t="s">
        <v>3264</v>
      </c>
      <c r="EX83" s="1211" t="s">
        <v>1726</v>
      </c>
      <c r="EY83" s="1208" t="s">
        <v>648</v>
      </c>
      <c r="EZ83" s="1814">
        <v>0</v>
      </c>
      <c r="FA83" s="1678"/>
      <c r="FB83" s="1678"/>
      <c r="FC83" s="1678"/>
      <c r="FD83" s="1678"/>
      <c r="FE83" s="1678"/>
      <c r="FF83" s="1678"/>
      <c r="FG83" s="1678"/>
      <c r="FH83" s="1678"/>
      <c r="FI83" s="1678"/>
      <c r="FJ83" s="1678"/>
      <c r="FK83" s="1678"/>
      <c r="FL83" s="1678"/>
    </row>
    <row r="84" spans="2:168">
      <c r="B84" s="2023" t="str">
        <f t="shared" si="142"/>
        <v>2.2.2</v>
      </c>
      <c r="C84" s="829" t="str">
        <f t="shared" si="120"/>
        <v>外壁仕上げ材の補修必要間隔</v>
      </c>
      <c r="D84" s="2100" t="e">
        <f t="shared" si="161"/>
        <v>#REF!</v>
      </c>
      <c r="E84" s="2021" t="e">
        <f t="shared" si="161"/>
        <v>#REF!</v>
      </c>
      <c r="G84" s="2021" t="e">
        <f t="shared" si="121"/>
        <v>#REF!</v>
      </c>
      <c r="H84" s="2021" t="e">
        <f t="shared" si="122"/>
        <v>#REF!</v>
      </c>
      <c r="I84" s="2021"/>
      <c r="J84" s="2021"/>
      <c r="K84" s="2021" t="e">
        <f>IF(#REF!=0,0,1)</f>
        <v>#REF!</v>
      </c>
      <c r="L84" s="2021" t="e">
        <f>IF(#REF!=0,0,1)</f>
        <v>#REF!</v>
      </c>
      <c r="M84" s="2021">
        <f t="shared" si="123"/>
        <v>0.2</v>
      </c>
      <c r="N84" s="2021">
        <f t="shared" si="124"/>
        <v>0</v>
      </c>
      <c r="P84" s="2123"/>
      <c r="Q84" s="2019"/>
      <c r="R84" s="993">
        <v>2</v>
      </c>
      <c r="S84" s="1655" t="s">
        <v>649</v>
      </c>
      <c r="T84" s="2036"/>
      <c r="U84" s="2017"/>
      <c r="V84" s="2038">
        <f t="shared" si="158"/>
        <v>0</v>
      </c>
      <c r="W84" s="2037">
        <f t="shared" si="159"/>
        <v>0</v>
      </c>
      <c r="Y84" s="1">
        <f t="shared" si="143"/>
        <v>0</v>
      </c>
      <c r="Z84" s="1">
        <f t="shared" si="144"/>
        <v>0</v>
      </c>
      <c r="AA84" s="1">
        <f t="shared" si="145"/>
        <v>0</v>
      </c>
      <c r="AB84" s="1">
        <f t="shared" si="146"/>
        <v>0</v>
      </c>
      <c r="AC84" s="1">
        <f t="shared" si="147"/>
        <v>0</v>
      </c>
      <c r="AD84" s="1">
        <f t="shared" si="148"/>
        <v>0</v>
      </c>
      <c r="AE84" s="1">
        <f t="shared" si="149"/>
        <v>0</v>
      </c>
      <c r="AF84" s="1">
        <f t="shared" si="150"/>
        <v>0</v>
      </c>
      <c r="AG84" s="1">
        <f t="shared" si="151"/>
        <v>0</v>
      </c>
      <c r="AH84" s="1">
        <f t="shared" si="152"/>
        <v>0</v>
      </c>
      <c r="AI84" s="1">
        <f t="shared" si="153"/>
        <v>0</v>
      </c>
      <c r="AJ84" s="1">
        <f t="shared" si="154"/>
        <v>0</v>
      </c>
      <c r="AK84" s="1">
        <f t="shared" si="155"/>
        <v>0</v>
      </c>
      <c r="AM84" s="1828"/>
      <c r="AN84" s="1828"/>
      <c r="AO84" s="1828"/>
      <c r="AP84" s="1828"/>
      <c r="AQ84" s="1828"/>
      <c r="AR84" s="1828"/>
      <c r="AS84" s="1828"/>
      <c r="AT84" s="1828"/>
      <c r="AU84" s="1828"/>
      <c r="AV84" s="1828"/>
      <c r="AW84" s="1828"/>
      <c r="AX84" s="1828"/>
      <c r="AY84" s="1828"/>
      <c r="BA84" s="2014"/>
      <c r="BB84" s="2014" t="e">
        <f t="shared" si="125"/>
        <v>#REF!</v>
      </c>
      <c r="BC84" s="2014"/>
      <c r="BD84" s="2013" t="e">
        <f>BR84*#REF!</f>
        <v>#REF!</v>
      </c>
      <c r="BE84" s="2013" t="e">
        <f>BS84*#REF!</f>
        <v>#REF!</v>
      </c>
      <c r="BF84" s="2013" t="e">
        <f>BT84*#REF!</f>
        <v>#REF!</v>
      </c>
      <c r="BG84" s="2013" t="e">
        <f>BU84*#REF!</f>
        <v>#REF!</v>
      </c>
      <c r="BH84" s="2094" t="e">
        <f>BV84*#REF!</f>
        <v>#REF!</v>
      </c>
      <c r="BI84" s="2013" t="e">
        <f>BW84*#REF!</f>
        <v>#REF!</v>
      </c>
      <c r="BJ84" s="2013" t="e">
        <f>BX84*#REF!</f>
        <v>#REF!</v>
      </c>
      <c r="BK84" s="2013" t="e">
        <f>BY84*#REF!</f>
        <v>#REF!</v>
      </c>
      <c r="BL84" s="2013" t="e">
        <f>BZ84*#REF!</f>
        <v>#REF!</v>
      </c>
      <c r="BM84" s="2013" t="e">
        <f>CA84*#REF!</f>
        <v>#REF!</v>
      </c>
      <c r="BO84" s="2040" t="str">
        <f t="shared" si="126"/>
        <v>2.2.2</v>
      </c>
      <c r="BP84" s="2040" t="str">
        <f t="shared" si="127"/>
        <v xml:space="preserve"> Q2 2.2</v>
      </c>
      <c r="BQ84" s="829" t="str">
        <f t="shared" si="128"/>
        <v>外壁仕上げ材の補修必要間隔</v>
      </c>
      <c r="BR84" s="2010">
        <f t="shared" si="129"/>
        <v>0.2</v>
      </c>
      <c r="BS84" s="2010">
        <f t="shared" si="130"/>
        <v>0.2</v>
      </c>
      <c r="BT84" s="2010">
        <f t="shared" si="131"/>
        <v>0.2</v>
      </c>
      <c r="BU84" s="2010">
        <f t="shared" si="132"/>
        <v>0.2</v>
      </c>
      <c r="BV84" s="2093">
        <f t="shared" si="133"/>
        <v>0.2</v>
      </c>
      <c r="BW84" s="2010">
        <f t="shared" si="134"/>
        <v>0.2</v>
      </c>
      <c r="BX84" s="2010">
        <f t="shared" si="135"/>
        <v>0.2</v>
      </c>
      <c r="BY84" s="2010">
        <f t="shared" si="136"/>
        <v>0.2</v>
      </c>
      <c r="BZ84" s="2010">
        <f t="shared" si="137"/>
        <v>0.2</v>
      </c>
      <c r="CA84" s="2010">
        <f t="shared" si="138"/>
        <v>0.2</v>
      </c>
      <c r="CB84" s="2039">
        <f t="shared" si="139"/>
        <v>0</v>
      </c>
      <c r="CC84" s="2010">
        <f t="shared" si="140"/>
        <v>0</v>
      </c>
      <c r="CD84" s="2010">
        <f t="shared" si="141"/>
        <v>0</v>
      </c>
      <c r="CF84" s="1207" t="s">
        <v>3263</v>
      </c>
      <c r="CG84" s="1211" t="s">
        <v>1726</v>
      </c>
      <c r="CH84" s="1208" t="s">
        <v>1727</v>
      </c>
      <c r="CI84" s="1210">
        <v>0.2</v>
      </c>
      <c r="CJ84" s="1210">
        <v>0.2</v>
      </c>
      <c r="CK84" s="1210">
        <v>0.2</v>
      </c>
      <c r="CL84" s="1210">
        <v>0.2</v>
      </c>
      <c r="CM84" s="1210">
        <v>0.2</v>
      </c>
      <c r="CN84" s="1210">
        <v>0.2</v>
      </c>
      <c r="CO84" s="1213">
        <v>0.25</v>
      </c>
      <c r="CP84" s="1210">
        <v>0.2</v>
      </c>
      <c r="CQ84" s="1210">
        <v>0.2</v>
      </c>
      <c r="CR84" s="1210">
        <v>0.2</v>
      </c>
      <c r="CS84" s="1214">
        <v>0</v>
      </c>
      <c r="CT84" s="1213">
        <v>0</v>
      </c>
      <c r="CU84" s="1213">
        <v>0</v>
      </c>
      <c r="CW84" s="1207" t="s">
        <v>3262</v>
      </c>
      <c r="CX84" s="1211" t="s">
        <v>1726</v>
      </c>
      <c r="CY84" s="1208" t="s">
        <v>1727</v>
      </c>
      <c r="CZ84" s="1213">
        <v>0.2</v>
      </c>
      <c r="DA84" s="1213">
        <v>0.2</v>
      </c>
      <c r="DB84" s="1213">
        <v>0.2</v>
      </c>
      <c r="DC84" s="1213">
        <v>0.2</v>
      </c>
      <c r="DD84" s="1213">
        <v>0.2</v>
      </c>
      <c r="DE84" s="1213">
        <v>0.2</v>
      </c>
      <c r="DF84" s="1213">
        <v>0.2</v>
      </c>
      <c r="DG84" s="1213">
        <v>0.2</v>
      </c>
      <c r="DH84" s="1213">
        <v>0.2</v>
      </c>
      <c r="DI84" s="1213">
        <v>0.2</v>
      </c>
      <c r="DJ84" s="1214"/>
      <c r="DK84" s="1213"/>
      <c r="DL84" s="1213"/>
      <c r="DN84" s="1207" t="s">
        <v>3262</v>
      </c>
      <c r="DO84" s="1211" t="s">
        <v>1726</v>
      </c>
      <c r="DP84" s="1208" t="s">
        <v>1727</v>
      </c>
      <c r="DQ84" s="1213">
        <v>0.2</v>
      </c>
      <c r="DR84" s="1213">
        <v>0.2</v>
      </c>
      <c r="DS84" s="1213">
        <v>0.2</v>
      </c>
      <c r="DT84" s="1213">
        <v>0.2</v>
      </c>
      <c r="DU84" s="1213">
        <v>0.2</v>
      </c>
      <c r="DV84" s="1213">
        <v>0.2</v>
      </c>
      <c r="DW84" s="1213">
        <v>0.2</v>
      </c>
      <c r="DX84" s="1213">
        <v>0.2</v>
      </c>
      <c r="DY84" s="1213">
        <v>0.2</v>
      </c>
      <c r="DZ84" s="1213">
        <v>0.2</v>
      </c>
      <c r="EA84" s="1214"/>
      <c r="EB84" s="1213"/>
      <c r="EC84" s="1213"/>
      <c r="ED84" s="1469"/>
      <c r="EF84" s="1207" t="s">
        <v>2318</v>
      </c>
      <c r="EG84" s="1211" t="s">
        <v>1726</v>
      </c>
      <c r="EH84" s="1208" t="s">
        <v>1727</v>
      </c>
      <c r="EI84" s="1689">
        <v>0</v>
      </c>
      <c r="EJ84" s="1689">
        <v>0</v>
      </c>
      <c r="EK84" s="1689">
        <v>0</v>
      </c>
      <c r="EL84" s="1689">
        <v>0</v>
      </c>
      <c r="EM84" s="1689">
        <v>0</v>
      </c>
      <c r="EN84" s="1689">
        <v>0</v>
      </c>
      <c r="EO84" s="1689">
        <v>0</v>
      </c>
      <c r="EP84" s="1689">
        <v>0</v>
      </c>
      <c r="EQ84" s="1689">
        <v>0</v>
      </c>
      <c r="ER84" s="1689">
        <v>0</v>
      </c>
      <c r="ES84" s="1689">
        <v>0</v>
      </c>
      <c r="ET84" s="1689">
        <f t="shared" si="162"/>
        <v>0</v>
      </c>
      <c r="EU84" s="1689">
        <f t="shared" si="163"/>
        <v>0</v>
      </c>
      <c r="EW84" s="1207" t="s">
        <v>3261</v>
      </c>
      <c r="EX84" s="1211" t="s">
        <v>1726</v>
      </c>
      <c r="EY84" s="1208" t="s">
        <v>1727</v>
      </c>
      <c r="EZ84" s="1814">
        <v>0</v>
      </c>
      <c r="FA84" s="1678"/>
      <c r="FB84" s="1678"/>
      <c r="FC84" s="1678"/>
      <c r="FD84" s="1678"/>
      <c r="FE84" s="1678"/>
      <c r="FF84" s="1678"/>
      <c r="FG84" s="1678"/>
      <c r="FH84" s="1678"/>
      <c r="FI84" s="1678"/>
      <c r="FJ84" s="1678"/>
      <c r="FK84" s="1678"/>
      <c r="FL84" s="1678"/>
    </row>
    <row r="85" spans="2:168">
      <c r="B85" s="2023" t="str">
        <f t="shared" si="142"/>
        <v>2.2.3</v>
      </c>
      <c r="C85" s="829" t="str">
        <f t="shared" si="120"/>
        <v>主要内装仕上げ材の更新必要間隔</v>
      </c>
      <c r="D85" s="2100" t="e">
        <f t="shared" si="161"/>
        <v>#REF!</v>
      </c>
      <c r="E85" s="2021" t="e">
        <f t="shared" si="161"/>
        <v>#REF!</v>
      </c>
      <c r="G85" s="2021" t="e">
        <f t="shared" si="121"/>
        <v>#REF!</v>
      </c>
      <c r="H85" s="2021" t="e">
        <f t="shared" si="122"/>
        <v>#REF!</v>
      </c>
      <c r="I85" s="2021"/>
      <c r="J85" s="2021"/>
      <c r="K85" s="2021" t="e">
        <f>IF(#REF!=0,0,1)</f>
        <v>#REF!</v>
      </c>
      <c r="L85" s="2021" t="e">
        <f>IF(#REF!=0,0,1)</f>
        <v>#REF!</v>
      </c>
      <c r="M85" s="2021">
        <f t="shared" si="123"/>
        <v>0.1</v>
      </c>
      <c r="N85" s="2021">
        <f t="shared" si="124"/>
        <v>0</v>
      </c>
      <c r="P85" s="2123"/>
      <c r="Q85" s="2019"/>
      <c r="R85" s="993">
        <v>3</v>
      </c>
      <c r="S85" s="3125" t="s">
        <v>650</v>
      </c>
      <c r="T85" s="3117"/>
      <c r="U85" s="2017"/>
      <c r="V85" s="2038">
        <f t="shared" si="158"/>
        <v>0</v>
      </c>
      <c r="W85" s="2037">
        <f t="shared" si="159"/>
        <v>0</v>
      </c>
      <c r="Y85" s="1">
        <f t="shared" si="143"/>
        <v>0</v>
      </c>
      <c r="Z85" s="1">
        <f t="shared" si="144"/>
        <v>0</v>
      </c>
      <c r="AA85" s="1">
        <f t="shared" si="145"/>
        <v>0</v>
      </c>
      <c r="AB85" s="1">
        <f t="shared" si="146"/>
        <v>0</v>
      </c>
      <c r="AC85" s="1">
        <f t="shared" si="147"/>
        <v>0</v>
      </c>
      <c r="AD85" s="1">
        <f t="shared" si="148"/>
        <v>0</v>
      </c>
      <c r="AE85" s="1">
        <f t="shared" si="149"/>
        <v>0</v>
      </c>
      <c r="AF85" s="1">
        <f t="shared" si="150"/>
        <v>0</v>
      </c>
      <c r="AG85" s="1">
        <f t="shared" si="151"/>
        <v>0</v>
      </c>
      <c r="AH85" s="1">
        <f t="shared" si="152"/>
        <v>0</v>
      </c>
      <c r="AI85" s="1">
        <f t="shared" si="153"/>
        <v>0</v>
      </c>
      <c r="AJ85" s="1">
        <f t="shared" si="154"/>
        <v>0</v>
      </c>
      <c r="AK85" s="1">
        <f t="shared" si="155"/>
        <v>0</v>
      </c>
      <c r="AM85" s="1828"/>
      <c r="AN85" s="1828"/>
      <c r="AO85" s="1828"/>
      <c r="AP85" s="1828"/>
      <c r="AQ85" s="1828"/>
      <c r="AR85" s="1828"/>
      <c r="AS85" s="1828"/>
      <c r="AT85" s="1828"/>
      <c r="AU85" s="1828"/>
      <c r="AV85" s="1828"/>
      <c r="AW85" s="1828"/>
      <c r="AX85" s="1828"/>
      <c r="AY85" s="1828"/>
      <c r="BA85" s="2014"/>
      <c r="BB85" s="2014" t="e">
        <f t="shared" si="125"/>
        <v>#REF!</v>
      </c>
      <c r="BC85" s="2014"/>
      <c r="BD85" s="2013" t="e">
        <f>BR85*#REF!</f>
        <v>#REF!</v>
      </c>
      <c r="BE85" s="2013" t="e">
        <f>BS85*#REF!</f>
        <v>#REF!</v>
      </c>
      <c r="BF85" s="2013" t="e">
        <f>BT85*#REF!</f>
        <v>#REF!</v>
      </c>
      <c r="BG85" s="2013" t="e">
        <f>BU85*#REF!</f>
        <v>#REF!</v>
      </c>
      <c r="BH85" s="2094" t="e">
        <f>BV85*#REF!</f>
        <v>#REF!</v>
      </c>
      <c r="BI85" s="2013" t="e">
        <f>BW85*#REF!</f>
        <v>#REF!</v>
      </c>
      <c r="BJ85" s="2013" t="e">
        <f>BX85*#REF!</f>
        <v>#REF!</v>
      </c>
      <c r="BK85" s="2013" t="e">
        <f>BY85*#REF!</f>
        <v>#REF!</v>
      </c>
      <c r="BL85" s="2013" t="e">
        <f>BZ85*#REF!</f>
        <v>#REF!</v>
      </c>
      <c r="BM85" s="2013" t="e">
        <f>CA85*#REF!</f>
        <v>#REF!</v>
      </c>
      <c r="BO85" s="2040" t="str">
        <f t="shared" si="126"/>
        <v>2.2.3</v>
      </c>
      <c r="BP85" s="2040" t="str">
        <f t="shared" si="127"/>
        <v xml:space="preserve"> Q2 2.2</v>
      </c>
      <c r="BQ85" s="829" t="str">
        <f t="shared" si="128"/>
        <v>主要内装仕上げ材の更新必要間隔</v>
      </c>
      <c r="BR85" s="2010">
        <f t="shared" si="129"/>
        <v>0.1</v>
      </c>
      <c r="BS85" s="2010">
        <f t="shared" si="130"/>
        <v>0.1</v>
      </c>
      <c r="BT85" s="2010">
        <f t="shared" si="131"/>
        <v>0.1</v>
      </c>
      <c r="BU85" s="2010">
        <f t="shared" si="132"/>
        <v>0.1</v>
      </c>
      <c r="BV85" s="2093">
        <f t="shared" si="133"/>
        <v>0.1</v>
      </c>
      <c r="BW85" s="2010">
        <f t="shared" si="134"/>
        <v>0.1</v>
      </c>
      <c r="BX85" s="2010">
        <f t="shared" si="135"/>
        <v>0.1</v>
      </c>
      <c r="BY85" s="2010">
        <f t="shared" si="136"/>
        <v>0.1</v>
      </c>
      <c r="BZ85" s="2010">
        <f t="shared" si="137"/>
        <v>0.1</v>
      </c>
      <c r="CA85" s="2010">
        <f t="shared" si="138"/>
        <v>0.1</v>
      </c>
      <c r="CB85" s="2039">
        <f t="shared" si="139"/>
        <v>0</v>
      </c>
      <c r="CC85" s="2010">
        <f t="shared" si="140"/>
        <v>0</v>
      </c>
      <c r="CD85" s="2010">
        <f t="shared" si="141"/>
        <v>0</v>
      </c>
      <c r="CF85" s="1207" t="s">
        <v>3259</v>
      </c>
      <c r="CG85" s="1211" t="s">
        <v>1726</v>
      </c>
      <c r="CH85" s="1208" t="s">
        <v>1728</v>
      </c>
      <c r="CI85" s="1218">
        <v>0</v>
      </c>
      <c r="CJ85" s="1218">
        <v>0</v>
      </c>
      <c r="CK85" s="1218">
        <v>0</v>
      </c>
      <c r="CL85" s="1218">
        <v>0</v>
      </c>
      <c r="CM85" s="1218">
        <v>0</v>
      </c>
      <c r="CN85" s="1218">
        <v>0</v>
      </c>
      <c r="CO85" s="1213">
        <v>0</v>
      </c>
      <c r="CP85" s="1218">
        <v>0</v>
      </c>
      <c r="CQ85" s="1218">
        <v>0</v>
      </c>
      <c r="CR85" s="1218">
        <v>0</v>
      </c>
      <c r="CS85" s="1214">
        <v>0</v>
      </c>
      <c r="CT85" s="1213">
        <v>0</v>
      </c>
      <c r="CU85" s="1213">
        <v>0</v>
      </c>
      <c r="CW85" s="1207" t="s">
        <v>3260</v>
      </c>
      <c r="CX85" s="1211" t="s">
        <v>1726</v>
      </c>
      <c r="CY85" s="1208" t="s">
        <v>1728</v>
      </c>
      <c r="CZ85" s="1213">
        <v>0.1</v>
      </c>
      <c r="DA85" s="1213">
        <v>0.1</v>
      </c>
      <c r="DB85" s="1213">
        <v>0.1</v>
      </c>
      <c r="DC85" s="1213">
        <v>0.1</v>
      </c>
      <c r="DD85" s="1213">
        <v>0.1</v>
      </c>
      <c r="DE85" s="1213">
        <v>0.1</v>
      </c>
      <c r="DF85" s="1213">
        <v>0.1</v>
      </c>
      <c r="DG85" s="1213">
        <v>0.1</v>
      </c>
      <c r="DH85" s="1213">
        <v>0.1</v>
      </c>
      <c r="DI85" s="1213">
        <v>0.1</v>
      </c>
      <c r="DJ85" s="1214"/>
      <c r="DK85" s="1213"/>
      <c r="DL85" s="1213"/>
      <c r="DN85" s="1207" t="s">
        <v>3259</v>
      </c>
      <c r="DO85" s="1211" t="s">
        <v>1726</v>
      </c>
      <c r="DP85" s="1208" t="s">
        <v>1728</v>
      </c>
      <c r="DQ85" s="1213">
        <v>0.1</v>
      </c>
      <c r="DR85" s="1213">
        <v>0.1</v>
      </c>
      <c r="DS85" s="1213">
        <v>0.1</v>
      </c>
      <c r="DT85" s="1213">
        <v>0.1</v>
      </c>
      <c r="DU85" s="1213">
        <v>0.1</v>
      </c>
      <c r="DV85" s="1213">
        <v>0.1</v>
      </c>
      <c r="DW85" s="1213">
        <v>0.1</v>
      </c>
      <c r="DX85" s="1213">
        <v>0.1</v>
      </c>
      <c r="DY85" s="1213">
        <v>0.1</v>
      </c>
      <c r="DZ85" s="1213">
        <v>0.1</v>
      </c>
      <c r="EA85" s="1214"/>
      <c r="EB85" s="1213"/>
      <c r="EC85" s="1213"/>
      <c r="ED85" s="1469"/>
      <c r="EF85" s="1207" t="s">
        <v>2319</v>
      </c>
      <c r="EG85" s="1211" t="s">
        <v>1726</v>
      </c>
      <c r="EH85" s="1208" t="s">
        <v>1728</v>
      </c>
      <c r="EI85" s="1689">
        <v>0</v>
      </c>
      <c r="EJ85" s="1689">
        <v>0</v>
      </c>
      <c r="EK85" s="1689">
        <v>0</v>
      </c>
      <c r="EL85" s="1689">
        <v>0</v>
      </c>
      <c r="EM85" s="1689">
        <v>0</v>
      </c>
      <c r="EN85" s="1689">
        <v>0</v>
      </c>
      <c r="EO85" s="1689">
        <v>0</v>
      </c>
      <c r="EP85" s="1689">
        <v>0</v>
      </c>
      <c r="EQ85" s="1689">
        <v>0</v>
      </c>
      <c r="ER85" s="1689">
        <v>0</v>
      </c>
      <c r="ES85" s="1689">
        <v>0</v>
      </c>
      <c r="ET85" s="1689">
        <f t="shared" si="162"/>
        <v>0</v>
      </c>
      <c r="EU85" s="1689">
        <f t="shared" si="163"/>
        <v>0</v>
      </c>
      <c r="EW85" s="1207" t="s">
        <v>2319</v>
      </c>
      <c r="EX85" s="1211" t="s">
        <v>1726</v>
      </c>
      <c r="EY85" s="1208" t="s">
        <v>1728</v>
      </c>
      <c r="EZ85" s="1814">
        <v>0</v>
      </c>
      <c r="FA85" s="1678"/>
      <c r="FB85" s="1678"/>
      <c r="FC85" s="1678"/>
      <c r="FD85" s="1678"/>
      <c r="FE85" s="1678"/>
      <c r="FF85" s="1678"/>
      <c r="FG85" s="1678"/>
      <c r="FH85" s="1678"/>
      <c r="FI85" s="1678"/>
      <c r="FJ85" s="1678"/>
      <c r="FK85" s="1678"/>
      <c r="FL85" s="1678"/>
    </row>
    <row r="86" spans="2:168">
      <c r="B86" s="2023" t="str">
        <f t="shared" si="142"/>
        <v>2.2.4</v>
      </c>
      <c r="C86" s="829" t="str">
        <f t="shared" si="120"/>
        <v>空調換気ダクトの更新必要間隔</v>
      </c>
      <c r="D86" s="2100" t="e">
        <f t="shared" si="161"/>
        <v>#REF!</v>
      </c>
      <c r="E86" s="2021" t="e">
        <f t="shared" si="161"/>
        <v>#REF!</v>
      </c>
      <c r="G86" s="2021" t="e">
        <f t="shared" si="121"/>
        <v>#REF!</v>
      </c>
      <c r="H86" s="2021" t="e">
        <f t="shared" si="122"/>
        <v>#REF!</v>
      </c>
      <c r="I86" s="2021"/>
      <c r="J86" s="2021"/>
      <c r="K86" s="2021" t="e">
        <f>IF(#REF!=0,0,1)</f>
        <v>#REF!</v>
      </c>
      <c r="L86" s="2021" t="e">
        <f>IF(#REF!=0,0,1)</f>
        <v>#REF!</v>
      </c>
      <c r="M86" s="2021">
        <f t="shared" si="123"/>
        <v>0.1</v>
      </c>
      <c r="N86" s="2021">
        <f t="shared" si="124"/>
        <v>0</v>
      </c>
      <c r="P86" s="2123"/>
      <c r="Q86" s="2019"/>
      <c r="R86" s="993">
        <v>4</v>
      </c>
      <c r="S86" s="1655" t="s">
        <v>651</v>
      </c>
      <c r="T86" s="2036"/>
      <c r="U86" s="2017"/>
      <c r="V86" s="2038">
        <f t="shared" si="158"/>
        <v>0</v>
      </c>
      <c r="W86" s="2037">
        <f t="shared" si="159"/>
        <v>0</v>
      </c>
      <c r="Y86" s="1">
        <f t="shared" si="143"/>
        <v>0</v>
      </c>
      <c r="Z86" s="1">
        <f t="shared" si="144"/>
        <v>0</v>
      </c>
      <c r="AA86" s="1">
        <f t="shared" si="145"/>
        <v>0</v>
      </c>
      <c r="AB86" s="1">
        <f t="shared" si="146"/>
        <v>0</v>
      </c>
      <c r="AC86" s="1">
        <f t="shared" si="147"/>
        <v>0</v>
      </c>
      <c r="AD86" s="1">
        <f t="shared" si="148"/>
        <v>0</v>
      </c>
      <c r="AE86" s="1">
        <f t="shared" si="149"/>
        <v>0</v>
      </c>
      <c r="AF86" s="1">
        <f t="shared" si="150"/>
        <v>0</v>
      </c>
      <c r="AG86" s="1">
        <f t="shared" si="151"/>
        <v>0</v>
      </c>
      <c r="AH86" s="1">
        <f t="shared" si="152"/>
        <v>0</v>
      </c>
      <c r="AI86" s="1">
        <f t="shared" si="153"/>
        <v>0</v>
      </c>
      <c r="AJ86" s="1">
        <f t="shared" si="154"/>
        <v>0</v>
      </c>
      <c r="AK86" s="1">
        <f t="shared" si="155"/>
        <v>0</v>
      </c>
      <c r="AM86" s="1828"/>
      <c r="AN86" s="1828"/>
      <c r="AO86" s="1828"/>
      <c r="AP86" s="1828"/>
      <c r="AQ86" s="1828"/>
      <c r="AR86" s="1828"/>
      <c r="AS86" s="1828"/>
      <c r="AT86" s="1828"/>
      <c r="AU86" s="1828"/>
      <c r="AV86" s="1828"/>
      <c r="AW86" s="1828"/>
      <c r="AX86" s="1828"/>
      <c r="AY86" s="1828"/>
      <c r="BA86" s="2014"/>
      <c r="BB86" s="2014" t="e">
        <f t="shared" si="125"/>
        <v>#REF!</v>
      </c>
      <c r="BC86" s="2014"/>
      <c r="BD86" s="2013" t="e">
        <f>BR86*#REF!</f>
        <v>#REF!</v>
      </c>
      <c r="BE86" s="2013" t="e">
        <f>BS86*#REF!</f>
        <v>#REF!</v>
      </c>
      <c r="BF86" s="2013" t="e">
        <f>BT86*#REF!</f>
        <v>#REF!</v>
      </c>
      <c r="BG86" s="2013" t="e">
        <f>BU86*#REF!</f>
        <v>#REF!</v>
      </c>
      <c r="BH86" s="2094" t="e">
        <f>BV86*#REF!</f>
        <v>#REF!</v>
      </c>
      <c r="BI86" s="2013" t="e">
        <f>BW86*#REF!</f>
        <v>#REF!</v>
      </c>
      <c r="BJ86" s="2013" t="e">
        <f>BX86*#REF!</f>
        <v>#REF!</v>
      </c>
      <c r="BK86" s="2013" t="e">
        <f>BY86*#REF!</f>
        <v>#REF!</v>
      </c>
      <c r="BL86" s="2013" t="e">
        <f>BZ86*#REF!</f>
        <v>#REF!</v>
      </c>
      <c r="BM86" s="2013" t="e">
        <f>CA86*#REF!</f>
        <v>#REF!</v>
      </c>
      <c r="BO86" s="2040" t="str">
        <f t="shared" si="126"/>
        <v>2.2.4</v>
      </c>
      <c r="BP86" s="2040" t="str">
        <f t="shared" si="127"/>
        <v xml:space="preserve"> Q2 2.2</v>
      </c>
      <c r="BQ86" s="829" t="str">
        <f t="shared" si="128"/>
        <v>空調換気ダクトの更新必要間隔</v>
      </c>
      <c r="BR86" s="2010">
        <f t="shared" si="129"/>
        <v>0.1</v>
      </c>
      <c r="BS86" s="2010">
        <f t="shared" si="130"/>
        <v>0.1</v>
      </c>
      <c r="BT86" s="2010">
        <f t="shared" si="131"/>
        <v>0.1</v>
      </c>
      <c r="BU86" s="2010">
        <f t="shared" si="132"/>
        <v>0.1</v>
      </c>
      <c r="BV86" s="2093">
        <f t="shared" si="133"/>
        <v>0.1</v>
      </c>
      <c r="BW86" s="2010">
        <f t="shared" si="134"/>
        <v>0.1</v>
      </c>
      <c r="BX86" s="2010">
        <f t="shared" si="135"/>
        <v>0.1</v>
      </c>
      <c r="BY86" s="2010">
        <f t="shared" si="136"/>
        <v>0.1</v>
      </c>
      <c r="BZ86" s="2010">
        <f t="shared" si="137"/>
        <v>0.1</v>
      </c>
      <c r="CA86" s="2010">
        <f t="shared" si="138"/>
        <v>0.1</v>
      </c>
      <c r="CB86" s="2039">
        <f t="shared" si="139"/>
        <v>0</v>
      </c>
      <c r="CC86" s="2010">
        <f t="shared" si="140"/>
        <v>0</v>
      </c>
      <c r="CD86" s="2010">
        <f t="shared" si="141"/>
        <v>0</v>
      </c>
      <c r="CF86" s="1207" t="s">
        <v>3257</v>
      </c>
      <c r="CG86" s="1211" t="s">
        <v>1726</v>
      </c>
      <c r="CH86" s="1208" t="s">
        <v>1729</v>
      </c>
      <c r="CI86" s="1210">
        <v>0.1</v>
      </c>
      <c r="CJ86" s="1210">
        <v>0.1</v>
      </c>
      <c r="CK86" s="1210">
        <v>0.1</v>
      </c>
      <c r="CL86" s="1210">
        <v>0.1</v>
      </c>
      <c r="CM86" s="1210">
        <v>0.1</v>
      </c>
      <c r="CN86" s="1210">
        <v>0.1</v>
      </c>
      <c r="CO86" s="1213">
        <v>0.1</v>
      </c>
      <c r="CP86" s="1210">
        <v>0.1</v>
      </c>
      <c r="CQ86" s="1210">
        <v>0.1</v>
      </c>
      <c r="CR86" s="1210">
        <v>0.1</v>
      </c>
      <c r="CS86" s="1214">
        <v>0</v>
      </c>
      <c r="CT86" s="1213">
        <v>0</v>
      </c>
      <c r="CU86" s="1213">
        <v>0</v>
      </c>
      <c r="CW86" s="1207" t="s">
        <v>3258</v>
      </c>
      <c r="CX86" s="1211" t="s">
        <v>1726</v>
      </c>
      <c r="CY86" s="1208" t="s">
        <v>1705</v>
      </c>
      <c r="CZ86" s="1213">
        <v>0.1</v>
      </c>
      <c r="DA86" s="1213">
        <v>0.1</v>
      </c>
      <c r="DB86" s="1213">
        <v>0.1</v>
      </c>
      <c r="DC86" s="1213">
        <v>0.1</v>
      </c>
      <c r="DD86" s="1213">
        <v>0.1</v>
      </c>
      <c r="DE86" s="1213">
        <v>0.1</v>
      </c>
      <c r="DF86" s="1213">
        <v>0.1</v>
      </c>
      <c r="DG86" s="1213">
        <v>0.1</v>
      </c>
      <c r="DH86" s="1213">
        <v>0.1</v>
      </c>
      <c r="DI86" s="1213">
        <v>0.1</v>
      </c>
      <c r="DJ86" s="1214"/>
      <c r="DK86" s="1213"/>
      <c r="DL86" s="1213"/>
      <c r="DN86" s="1207" t="s">
        <v>3257</v>
      </c>
      <c r="DO86" s="1211" t="s">
        <v>1726</v>
      </c>
      <c r="DP86" s="1208" t="s">
        <v>1729</v>
      </c>
      <c r="DQ86" s="1213">
        <v>0.1</v>
      </c>
      <c r="DR86" s="1213">
        <v>0.1</v>
      </c>
      <c r="DS86" s="1213">
        <v>0.1</v>
      </c>
      <c r="DT86" s="1213">
        <v>0.1</v>
      </c>
      <c r="DU86" s="1213">
        <v>0.1</v>
      </c>
      <c r="DV86" s="1213">
        <v>0.1</v>
      </c>
      <c r="DW86" s="1213">
        <v>0.1</v>
      </c>
      <c r="DX86" s="1213">
        <v>0.1</v>
      </c>
      <c r="DY86" s="1213">
        <v>0.1</v>
      </c>
      <c r="DZ86" s="1213">
        <v>0.1</v>
      </c>
      <c r="EA86" s="1214"/>
      <c r="EB86" s="1213"/>
      <c r="EC86" s="1213"/>
      <c r="ED86" s="1469"/>
      <c r="EF86" s="1207" t="s">
        <v>3256</v>
      </c>
      <c r="EG86" s="1211" t="s">
        <v>1726</v>
      </c>
      <c r="EH86" s="1208" t="s">
        <v>1729</v>
      </c>
      <c r="EI86" s="1689">
        <v>0</v>
      </c>
      <c r="EJ86" s="1689">
        <v>0</v>
      </c>
      <c r="EK86" s="1689">
        <v>0</v>
      </c>
      <c r="EL86" s="1689">
        <v>0</v>
      </c>
      <c r="EM86" s="1689">
        <v>0</v>
      </c>
      <c r="EN86" s="1689">
        <v>0</v>
      </c>
      <c r="EO86" s="1689">
        <v>0</v>
      </c>
      <c r="EP86" s="1689">
        <v>0</v>
      </c>
      <c r="EQ86" s="1689">
        <v>0</v>
      </c>
      <c r="ER86" s="1689">
        <v>0</v>
      </c>
      <c r="ES86" s="1689">
        <v>0</v>
      </c>
      <c r="ET86" s="1689">
        <f t="shared" si="162"/>
        <v>0</v>
      </c>
      <c r="EU86" s="1689">
        <f t="shared" si="163"/>
        <v>0</v>
      </c>
      <c r="EW86" s="1207" t="s">
        <v>2320</v>
      </c>
      <c r="EX86" s="1211" t="s">
        <v>1726</v>
      </c>
      <c r="EY86" s="1208" t="s">
        <v>1729</v>
      </c>
      <c r="EZ86" s="1814">
        <v>0</v>
      </c>
      <c r="FA86" s="1678"/>
      <c r="FB86" s="1678"/>
      <c r="FC86" s="1678"/>
      <c r="FD86" s="1678"/>
      <c r="FE86" s="1678"/>
      <c r="FF86" s="1678"/>
      <c r="FG86" s="1678"/>
      <c r="FH86" s="1678"/>
      <c r="FI86" s="1678"/>
      <c r="FJ86" s="1678"/>
      <c r="FK86" s="1678"/>
      <c r="FL86" s="1678"/>
    </row>
    <row r="87" spans="2:168">
      <c r="B87" s="2023" t="str">
        <f t="shared" si="142"/>
        <v>2.2.5</v>
      </c>
      <c r="C87" s="829" t="str">
        <f t="shared" si="120"/>
        <v>空調・給排水配管の更新必要間隔</v>
      </c>
      <c r="D87" s="2100" t="e">
        <f t="shared" si="161"/>
        <v>#REF!</v>
      </c>
      <c r="E87" s="2021" t="e">
        <f t="shared" si="161"/>
        <v>#REF!</v>
      </c>
      <c r="G87" s="2021" t="e">
        <f t="shared" si="121"/>
        <v>#REF!</v>
      </c>
      <c r="H87" s="2021" t="e">
        <f t="shared" si="122"/>
        <v>#REF!</v>
      </c>
      <c r="I87" s="2021"/>
      <c r="J87" s="2021"/>
      <c r="K87" s="2021" t="e">
        <f>IF(#REF!=0,0,1)</f>
        <v>#REF!</v>
      </c>
      <c r="L87" s="2021" t="e">
        <f>IF(#REF!=0,0,1)</f>
        <v>#REF!</v>
      </c>
      <c r="M87" s="2021">
        <f t="shared" si="123"/>
        <v>0.2</v>
      </c>
      <c r="N87" s="2021">
        <f t="shared" si="124"/>
        <v>0</v>
      </c>
      <c r="P87" s="2123"/>
      <c r="Q87" s="2019"/>
      <c r="R87" s="993">
        <v>5</v>
      </c>
      <c r="S87" s="3125" t="s">
        <v>652</v>
      </c>
      <c r="T87" s="3117"/>
      <c r="U87" s="2017"/>
      <c r="V87" s="2038">
        <f t="shared" si="158"/>
        <v>0</v>
      </c>
      <c r="W87" s="2037">
        <f t="shared" si="159"/>
        <v>0</v>
      </c>
      <c r="Y87" s="1">
        <f t="shared" si="143"/>
        <v>0</v>
      </c>
      <c r="Z87" s="1">
        <f t="shared" si="144"/>
        <v>0</v>
      </c>
      <c r="AA87" s="1">
        <f t="shared" si="145"/>
        <v>0</v>
      </c>
      <c r="AB87" s="1">
        <f t="shared" si="146"/>
        <v>0</v>
      </c>
      <c r="AC87" s="1">
        <f t="shared" si="147"/>
        <v>0</v>
      </c>
      <c r="AD87" s="1">
        <f t="shared" si="148"/>
        <v>0</v>
      </c>
      <c r="AE87" s="1">
        <f t="shared" si="149"/>
        <v>0</v>
      </c>
      <c r="AF87" s="1">
        <f t="shared" si="150"/>
        <v>0</v>
      </c>
      <c r="AG87" s="1">
        <f t="shared" si="151"/>
        <v>0</v>
      </c>
      <c r="AH87" s="1">
        <f t="shared" si="152"/>
        <v>0</v>
      </c>
      <c r="AI87" s="1">
        <f t="shared" si="153"/>
        <v>0</v>
      </c>
      <c r="AJ87" s="1">
        <f t="shared" si="154"/>
        <v>0</v>
      </c>
      <c r="AK87" s="1">
        <f t="shared" si="155"/>
        <v>0</v>
      </c>
      <c r="AM87" s="1828"/>
      <c r="AN87" s="1828"/>
      <c r="AO87" s="1828"/>
      <c r="AP87" s="1828"/>
      <c r="AQ87" s="1828"/>
      <c r="AR87" s="1828"/>
      <c r="AS87" s="1828"/>
      <c r="AT87" s="1828"/>
      <c r="AU87" s="1828"/>
      <c r="AV87" s="1828"/>
      <c r="AW87" s="1828"/>
      <c r="AX87" s="1828"/>
      <c r="AY87" s="1828"/>
      <c r="BA87" s="2014"/>
      <c r="BB87" s="2014" t="e">
        <f t="shared" si="125"/>
        <v>#REF!</v>
      </c>
      <c r="BC87" s="2014"/>
      <c r="BD87" s="2013" t="e">
        <f>BR87*#REF!</f>
        <v>#REF!</v>
      </c>
      <c r="BE87" s="2013" t="e">
        <f>BS87*#REF!</f>
        <v>#REF!</v>
      </c>
      <c r="BF87" s="2013" t="e">
        <f>BT87*#REF!</f>
        <v>#REF!</v>
      </c>
      <c r="BG87" s="2013" t="e">
        <f>BU87*#REF!</f>
        <v>#REF!</v>
      </c>
      <c r="BH87" s="2094" t="e">
        <f>BV87*#REF!</f>
        <v>#REF!</v>
      </c>
      <c r="BI87" s="2013" t="e">
        <f>BW87*#REF!</f>
        <v>#REF!</v>
      </c>
      <c r="BJ87" s="2013" t="e">
        <f>BX87*#REF!</f>
        <v>#REF!</v>
      </c>
      <c r="BK87" s="2013" t="e">
        <f>BY87*#REF!</f>
        <v>#REF!</v>
      </c>
      <c r="BL87" s="2013" t="e">
        <f>BZ87*#REF!</f>
        <v>#REF!</v>
      </c>
      <c r="BM87" s="2013" t="e">
        <f>CA87*#REF!</f>
        <v>#REF!</v>
      </c>
      <c r="BO87" s="2040" t="str">
        <f t="shared" si="126"/>
        <v>2.2.5</v>
      </c>
      <c r="BP87" s="2040" t="str">
        <f t="shared" si="127"/>
        <v xml:space="preserve"> Q2 2.2</v>
      </c>
      <c r="BQ87" s="829" t="str">
        <f t="shared" si="128"/>
        <v>空調・給排水配管の更新必要間隔</v>
      </c>
      <c r="BR87" s="2010">
        <f t="shared" si="129"/>
        <v>0.2</v>
      </c>
      <c r="BS87" s="2010">
        <f t="shared" si="130"/>
        <v>0.2</v>
      </c>
      <c r="BT87" s="2010">
        <f t="shared" si="131"/>
        <v>0.2</v>
      </c>
      <c r="BU87" s="2010">
        <f t="shared" si="132"/>
        <v>0.2</v>
      </c>
      <c r="BV87" s="2093">
        <f t="shared" si="133"/>
        <v>0.2</v>
      </c>
      <c r="BW87" s="2010">
        <f t="shared" si="134"/>
        <v>0.2</v>
      </c>
      <c r="BX87" s="2010">
        <f t="shared" si="135"/>
        <v>0.2</v>
      </c>
      <c r="BY87" s="2010">
        <f t="shared" si="136"/>
        <v>0.2</v>
      </c>
      <c r="BZ87" s="2010">
        <f t="shared" si="137"/>
        <v>0.2</v>
      </c>
      <c r="CA87" s="2010">
        <f t="shared" si="138"/>
        <v>0.2</v>
      </c>
      <c r="CB87" s="2039">
        <f t="shared" si="139"/>
        <v>0</v>
      </c>
      <c r="CC87" s="2010">
        <f t="shared" si="140"/>
        <v>0</v>
      </c>
      <c r="CD87" s="2010">
        <f t="shared" si="141"/>
        <v>0</v>
      </c>
      <c r="CF87" s="1207" t="s">
        <v>3255</v>
      </c>
      <c r="CG87" s="1211" t="s">
        <v>1726</v>
      </c>
      <c r="CH87" s="1208" t="s">
        <v>1730</v>
      </c>
      <c r="CI87" s="1210">
        <v>0.1</v>
      </c>
      <c r="CJ87" s="1210">
        <v>0.1</v>
      </c>
      <c r="CK87" s="1210">
        <v>0.1</v>
      </c>
      <c r="CL87" s="1210">
        <v>0.1</v>
      </c>
      <c r="CM87" s="1210">
        <v>0.1</v>
      </c>
      <c r="CN87" s="1210">
        <v>0.1</v>
      </c>
      <c r="CO87" s="1213">
        <v>0.1</v>
      </c>
      <c r="CP87" s="1210">
        <v>0.1</v>
      </c>
      <c r="CQ87" s="1210">
        <v>0.1</v>
      </c>
      <c r="CR87" s="1210">
        <v>0.1</v>
      </c>
      <c r="CS87" s="1214"/>
      <c r="CT87" s="1213"/>
      <c r="CU87" s="1213"/>
      <c r="CW87" s="1207" t="s">
        <v>3255</v>
      </c>
      <c r="CX87" s="1211" t="s">
        <v>1726</v>
      </c>
      <c r="CY87" s="1208" t="s">
        <v>1706</v>
      </c>
      <c r="CZ87" s="1213">
        <v>0.2</v>
      </c>
      <c r="DA87" s="1213">
        <v>0.2</v>
      </c>
      <c r="DB87" s="1213">
        <v>0.2</v>
      </c>
      <c r="DC87" s="1213">
        <v>0.2</v>
      </c>
      <c r="DD87" s="1213">
        <v>0.2</v>
      </c>
      <c r="DE87" s="1213">
        <v>0.2</v>
      </c>
      <c r="DF87" s="1213">
        <v>0.2</v>
      </c>
      <c r="DG87" s="1213">
        <v>0.2</v>
      </c>
      <c r="DH87" s="1213">
        <v>0.2</v>
      </c>
      <c r="DI87" s="1213">
        <v>0.2</v>
      </c>
      <c r="DJ87" s="1214"/>
      <c r="DK87" s="1213"/>
      <c r="DL87" s="1213"/>
      <c r="DN87" s="1207" t="s">
        <v>2322</v>
      </c>
      <c r="DO87" s="1211" t="s">
        <v>1726</v>
      </c>
      <c r="DP87" s="1208" t="s">
        <v>1730</v>
      </c>
      <c r="DQ87" s="1213">
        <v>0.2</v>
      </c>
      <c r="DR87" s="1213">
        <v>0.2</v>
      </c>
      <c r="DS87" s="1213">
        <v>0.2</v>
      </c>
      <c r="DT87" s="1213">
        <v>0.2</v>
      </c>
      <c r="DU87" s="1213">
        <v>0.2</v>
      </c>
      <c r="DV87" s="1213">
        <v>0.2</v>
      </c>
      <c r="DW87" s="1213">
        <v>0.2</v>
      </c>
      <c r="DX87" s="1213">
        <v>0.2</v>
      </c>
      <c r="DY87" s="1213">
        <v>0.2</v>
      </c>
      <c r="DZ87" s="1213">
        <v>0.2</v>
      </c>
      <c r="EA87" s="1214"/>
      <c r="EB87" s="1213"/>
      <c r="EC87" s="1213"/>
      <c r="ED87" s="1469"/>
      <c r="EF87" s="1207" t="s">
        <v>3254</v>
      </c>
      <c r="EG87" s="1211" t="s">
        <v>1726</v>
      </c>
      <c r="EH87" s="1208" t="s">
        <v>1730</v>
      </c>
      <c r="EI87" s="1689">
        <v>0</v>
      </c>
      <c r="EJ87" s="1689">
        <v>0</v>
      </c>
      <c r="EK87" s="1689">
        <v>0</v>
      </c>
      <c r="EL87" s="1689">
        <v>0</v>
      </c>
      <c r="EM87" s="1689">
        <v>0</v>
      </c>
      <c r="EN87" s="1689">
        <v>0</v>
      </c>
      <c r="EO87" s="1689">
        <v>0</v>
      </c>
      <c r="EP87" s="1689">
        <v>0</v>
      </c>
      <c r="EQ87" s="1689">
        <v>0</v>
      </c>
      <c r="ER87" s="1689">
        <v>0</v>
      </c>
      <c r="ES87" s="1689">
        <v>0</v>
      </c>
      <c r="ET87" s="1689">
        <f t="shared" si="162"/>
        <v>0</v>
      </c>
      <c r="EU87" s="1689">
        <f t="shared" si="163"/>
        <v>0</v>
      </c>
      <c r="EW87" s="1207" t="s">
        <v>2322</v>
      </c>
      <c r="EX87" s="1211" t="s">
        <v>1726</v>
      </c>
      <c r="EY87" s="1208" t="s">
        <v>1730</v>
      </c>
      <c r="EZ87" s="1814">
        <v>0</v>
      </c>
      <c r="FA87" s="1678"/>
      <c r="FB87" s="1678"/>
      <c r="FC87" s="1678"/>
      <c r="FD87" s="1678"/>
      <c r="FE87" s="1678"/>
      <c r="FF87" s="1678"/>
      <c r="FG87" s="1678"/>
      <c r="FH87" s="1678"/>
      <c r="FI87" s="1678"/>
      <c r="FJ87" s="1678"/>
      <c r="FK87" s="1678"/>
      <c r="FL87" s="1678"/>
    </row>
    <row r="88" spans="2:168" ht="14.25" thickBot="1">
      <c r="B88" s="2023" t="str">
        <f t="shared" si="142"/>
        <v>2.2.6</v>
      </c>
      <c r="C88" s="2220" t="str">
        <f t="shared" si="120"/>
        <v>主要設備機器の更新必要間隔</v>
      </c>
      <c r="D88" s="2100" t="e">
        <f t="shared" si="161"/>
        <v>#REF!</v>
      </c>
      <c r="E88" s="2021" t="e">
        <f t="shared" si="161"/>
        <v>#REF!</v>
      </c>
      <c r="G88" s="2021" t="e">
        <f t="shared" si="121"/>
        <v>#REF!</v>
      </c>
      <c r="H88" s="2021" t="e">
        <f t="shared" si="122"/>
        <v>#REF!</v>
      </c>
      <c r="I88" s="2021"/>
      <c r="J88" s="2021"/>
      <c r="K88" s="2021" t="e">
        <f>IF(#REF!=0,0,1)</f>
        <v>#REF!</v>
      </c>
      <c r="L88" s="2021" t="e">
        <f>IF(#REF!=0,0,1)</f>
        <v>#REF!</v>
      </c>
      <c r="M88" s="2021">
        <f t="shared" si="123"/>
        <v>0.2</v>
      </c>
      <c r="N88" s="2021">
        <f t="shared" si="124"/>
        <v>0</v>
      </c>
      <c r="P88" s="2123"/>
      <c r="Q88" s="2067"/>
      <c r="R88" s="993">
        <v>6</v>
      </c>
      <c r="S88" s="1655" t="s">
        <v>653</v>
      </c>
      <c r="T88" s="2036"/>
      <c r="U88" s="2017"/>
      <c r="V88" s="2016">
        <f t="shared" si="158"/>
        <v>0</v>
      </c>
      <c r="W88" s="2015">
        <f t="shared" si="159"/>
        <v>0</v>
      </c>
      <c r="Y88" s="1">
        <f t="shared" si="143"/>
        <v>0</v>
      </c>
      <c r="Z88" s="1">
        <f t="shared" si="144"/>
        <v>0</v>
      </c>
      <c r="AA88" s="1">
        <f t="shared" si="145"/>
        <v>0</v>
      </c>
      <c r="AB88" s="1">
        <f t="shared" si="146"/>
        <v>0</v>
      </c>
      <c r="AC88" s="1">
        <f t="shared" si="147"/>
        <v>0</v>
      </c>
      <c r="AD88" s="1">
        <f t="shared" si="148"/>
        <v>0</v>
      </c>
      <c r="AE88" s="1">
        <f t="shared" si="149"/>
        <v>0</v>
      </c>
      <c r="AF88" s="1">
        <f t="shared" si="150"/>
        <v>0</v>
      </c>
      <c r="AG88" s="1">
        <f t="shared" si="151"/>
        <v>0</v>
      </c>
      <c r="AH88" s="1">
        <f t="shared" si="152"/>
        <v>0</v>
      </c>
      <c r="AI88" s="1">
        <f t="shared" si="153"/>
        <v>0</v>
      </c>
      <c r="AJ88" s="1">
        <f t="shared" si="154"/>
        <v>0</v>
      </c>
      <c r="AK88" s="1">
        <f t="shared" si="155"/>
        <v>0</v>
      </c>
      <c r="AM88" s="1831"/>
      <c r="AN88" s="1831"/>
      <c r="AO88" s="1831"/>
      <c r="AP88" s="1831"/>
      <c r="AQ88" s="1831"/>
      <c r="AR88" s="1831"/>
      <c r="AS88" s="1831"/>
      <c r="AT88" s="1831"/>
      <c r="AU88" s="1831"/>
      <c r="AV88" s="1831"/>
      <c r="AW88" s="1831"/>
      <c r="AX88" s="1831"/>
      <c r="AY88" s="1831"/>
      <c r="BA88" s="2014"/>
      <c r="BB88" s="2014" t="e">
        <f t="shared" si="125"/>
        <v>#REF!</v>
      </c>
      <c r="BC88" s="2014"/>
      <c r="BD88" s="2013" t="e">
        <f>BR88*#REF!</f>
        <v>#REF!</v>
      </c>
      <c r="BE88" s="2013" t="e">
        <f>BS88*#REF!</f>
        <v>#REF!</v>
      </c>
      <c r="BF88" s="2013" t="e">
        <f>BT88*#REF!</f>
        <v>#REF!</v>
      </c>
      <c r="BG88" s="2013" t="e">
        <f>BU88*#REF!</f>
        <v>#REF!</v>
      </c>
      <c r="BH88" s="2094" t="e">
        <f>BV88*#REF!</f>
        <v>#REF!</v>
      </c>
      <c r="BI88" s="2013" t="e">
        <f>BW88*#REF!</f>
        <v>#REF!</v>
      </c>
      <c r="BJ88" s="2013" t="e">
        <f>BX88*#REF!</f>
        <v>#REF!</v>
      </c>
      <c r="BK88" s="2013" t="e">
        <f>BY88*#REF!</f>
        <v>#REF!</v>
      </c>
      <c r="BL88" s="2013" t="e">
        <f>BZ88*#REF!</f>
        <v>#REF!</v>
      </c>
      <c r="BM88" s="2013" t="e">
        <f>CA88*#REF!</f>
        <v>#REF!</v>
      </c>
      <c r="BO88" s="2040" t="str">
        <f t="shared" si="126"/>
        <v>2.2.6</v>
      </c>
      <c r="BP88" s="2040" t="str">
        <f t="shared" si="127"/>
        <v xml:space="preserve"> Q2 2.2</v>
      </c>
      <c r="BQ88" s="829" t="str">
        <f t="shared" si="128"/>
        <v>主要設備機器の更新必要間隔</v>
      </c>
      <c r="BR88" s="2010">
        <f t="shared" si="129"/>
        <v>0.2</v>
      </c>
      <c r="BS88" s="2010">
        <f t="shared" si="130"/>
        <v>0.2</v>
      </c>
      <c r="BT88" s="2010">
        <f t="shared" si="131"/>
        <v>0.2</v>
      </c>
      <c r="BU88" s="2010">
        <f t="shared" si="132"/>
        <v>0.2</v>
      </c>
      <c r="BV88" s="2093">
        <f t="shared" si="133"/>
        <v>0.2</v>
      </c>
      <c r="BW88" s="2010">
        <f t="shared" si="134"/>
        <v>0.2</v>
      </c>
      <c r="BX88" s="2010">
        <f t="shared" si="135"/>
        <v>0.2</v>
      </c>
      <c r="BY88" s="2010">
        <f t="shared" si="136"/>
        <v>0.2</v>
      </c>
      <c r="BZ88" s="2010">
        <f t="shared" si="137"/>
        <v>0.2</v>
      </c>
      <c r="CA88" s="2010">
        <f t="shared" si="138"/>
        <v>0.2</v>
      </c>
      <c r="CB88" s="2039">
        <f t="shared" si="139"/>
        <v>0</v>
      </c>
      <c r="CC88" s="2010">
        <f t="shared" si="140"/>
        <v>0</v>
      </c>
      <c r="CD88" s="2010">
        <f t="shared" si="141"/>
        <v>0</v>
      </c>
      <c r="CF88" s="1207" t="s">
        <v>3252</v>
      </c>
      <c r="CG88" s="1211" t="s">
        <v>1726</v>
      </c>
      <c r="CH88" s="1208" t="s">
        <v>1731</v>
      </c>
      <c r="CI88" s="1210">
        <v>0.2</v>
      </c>
      <c r="CJ88" s="1210">
        <v>0.2</v>
      </c>
      <c r="CK88" s="1210">
        <v>0.2</v>
      </c>
      <c r="CL88" s="1210">
        <v>0.2</v>
      </c>
      <c r="CM88" s="1210">
        <v>0.2</v>
      </c>
      <c r="CN88" s="1210">
        <v>0.2</v>
      </c>
      <c r="CO88" s="1213">
        <v>0.25</v>
      </c>
      <c r="CP88" s="1210">
        <v>0.2</v>
      </c>
      <c r="CQ88" s="1210">
        <v>0.2</v>
      </c>
      <c r="CR88" s="1210">
        <v>0.2</v>
      </c>
      <c r="CS88" s="1214">
        <v>0</v>
      </c>
      <c r="CT88" s="1213">
        <v>0</v>
      </c>
      <c r="CU88" s="1213">
        <v>0</v>
      </c>
      <c r="CW88" s="1207" t="s">
        <v>3252</v>
      </c>
      <c r="CX88" s="1211" t="s">
        <v>1726</v>
      </c>
      <c r="CY88" s="1208" t="s">
        <v>1731</v>
      </c>
      <c r="CZ88" s="1213">
        <v>0.2</v>
      </c>
      <c r="DA88" s="1213">
        <v>0.2</v>
      </c>
      <c r="DB88" s="1213">
        <v>0.2</v>
      </c>
      <c r="DC88" s="1213">
        <v>0.2</v>
      </c>
      <c r="DD88" s="1213">
        <v>0.2</v>
      </c>
      <c r="DE88" s="1213">
        <v>0.2</v>
      </c>
      <c r="DF88" s="1213">
        <v>0.2</v>
      </c>
      <c r="DG88" s="1213">
        <v>0.2</v>
      </c>
      <c r="DH88" s="1213">
        <v>0.2</v>
      </c>
      <c r="DI88" s="1213">
        <v>0.2</v>
      </c>
      <c r="DJ88" s="1214"/>
      <c r="DK88" s="1213"/>
      <c r="DL88" s="1213"/>
      <c r="DN88" s="1207" t="s">
        <v>3253</v>
      </c>
      <c r="DO88" s="1211" t="s">
        <v>1726</v>
      </c>
      <c r="DP88" s="1208" t="s">
        <v>1731</v>
      </c>
      <c r="DQ88" s="1213">
        <v>0.2</v>
      </c>
      <c r="DR88" s="1213">
        <v>0.2</v>
      </c>
      <c r="DS88" s="1213">
        <v>0.2</v>
      </c>
      <c r="DT88" s="1213">
        <v>0.2</v>
      </c>
      <c r="DU88" s="1213">
        <v>0.2</v>
      </c>
      <c r="DV88" s="1213">
        <v>0.2</v>
      </c>
      <c r="DW88" s="1213">
        <v>0.2</v>
      </c>
      <c r="DX88" s="1213">
        <v>0.2</v>
      </c>
      <c r="DY88" s="1213">
        <v>0.2</v>
      </c>
      <c r="DZ88" s="1213">
        <v>0.2</v>
      </c>
      <c r="EA88" s="1214"/>
      <c r="EB88" s="1213"/>
      <c r="EC88" s="1213"/>
      <c r="ED88" s="1469"/>
      <c r="EF88" s="1207" t="s">
        <v>3252</v>
      </c>
      <c r="EG88" s="1211" t="s">
        <v>1726</v>
      </c>
      <c r="EH88" s="1208" t="s">
        <v>1731</v>
      </c>
      <c r="EI88" s="1689">
        <v>0</v>
      </c>
      <c r="EJ88" s="1689">
        <v>0</v>
      </c>
      <c r="EK88" s="1689">
        <v>0</v>
      </c>
      <c r="EL88" s="1689">
        <v>0</v>
      </c>
      <c r="EM88" s="1689">
        <v>0</v>
      </c>
      <c r="EN88" s="1689">
        <v>0</v>
      </c>
      <c r="EO88" s="1689">
        <v>0</v>
      </c>
      <c r="EP88" s="1689">
        <v>0</v>
      </c>
      <c r="EQ88" s="1689">
        <v>0</v>
      </c>
      <c r="ER88" s="1689">
        <v>0</v>
      </c>
      <c r="ES88" s="1689">
        <v>0</v>
      </c>
      <c r="ET88" s="1689">
        <f t="shared" si="162"/>
        <v>0</v>
      </c>
      <c r="EU88" s="1689">
        <f t="shared" si="163"/>
        <v>0</v>
      </c>
      <c r="EW88" s="1207" t="s">
        <v>3251</v>
      </c>
      <c r="EX88" s="1211" t="s">
        <v>1726</v>
      </c>
      <c r="EY88" s="1208" t="s">
        <v>1731</v>
      </c>
      <c r="EZ88" s="1814">
        <v>0</v>
      </c>
      <c r="FA88" s="1678"/>
      <c r="FB88" s="1678"/>
      <c r="FC88" s="1678"/>
      <c r="FD88" s="1678"/>
      <c r="FE88" s="1678"/>
      <c r="FF88" s="1678"/>
      <c r="FG88" s="1678"/>
      <c r="FH88" s="1678"/>
      <c r="FI88" s="1678"/>
      <c r="FJ88" s="1678"/>
      <c r="FK88" s="1678"/>
      <c r="FL88" s="1678"/>
    </row>
    <row r="89" spans="2:168" hidden="1">
      <c r="B89" s="2023">
        <f t="shared" si="142"/>
        <v>2.2999999999999998</v>
      </c>
      <c r="C89" s="2220" t="str">
        <f t="shared" si="120"/>
        <v>適切な更新</v>
      </c>
      <c r="D89" s="2022" t="e">
        <f>IF(I$78=0,0,G89/I$78)</f>
        <v>#REF!</v>
      </c>
      <c r="E89" s="2021" t="e">
        <f>IF(J$78=0,0,H89/J$78)</f>
        <v>#REF!</v>
      </c>
      <c r="G89" s="2021" t="e">
        <f t="shared" si="121"/>
        <v>#REF!</v>
      </c>
      <c r="H89" s="2021" t="e">
        <f t="shared" si="122"/>
        <v>#REF!</v>
      </c>
      <c r="I89" s="2021" t="e">
        <f>G90+G91+G92</f>
        <v>#REF!</v>
      </c>
      <c r="J89" s="2021" t="e">
        <f>H90+H91+H92</f>
        <v>#REF!</v>
      </c>
      <c r="K89" s="2021" t="e">
        <f>IF(#REF!=0,0,1)</f>
        <v>#REF!</v>
      </c>
      <c r="L89" s="2021" t="e">
        <f>IF(#REF!=0,0,1)</f>
        <v>#REF!</v>
      </c>
      <c r="M89" s="2021">
        <f t="shared" si="123"/>
        <v>0</v>
      </c>
      <c r="N89" s="2021">
        <f t="shared" si="124"/>
        <v>0</v>
      </c>
      <c r="P89" s="2123"/>
      <c r="Q89" s="2224">
        <v>2.2999999999999998</v>
      </c>
      <c r="R89" s="2223" t="s">
        <v>654</v>
      </c>
      <c r="S89" s="2222"/>
      <c r="T89" s="2222"/>
      <c r="U89" s="2017"/>
      <c r="V89" s="2105">
        <f t="shared" si="158"/>
        <v>0</v>
      </c>
      <c r="W89" s="2104">
        <f t="shared" si="159"/>
        <v>0</v>
      </c>
      <c r="Y89" s="1">
        <f t="shared" si="143"/>
        <v>0</v>
      </c>
      <c r="Z89" s="1">
        <f t="shared" si="144"/>
        <v>0</v>
      </c>
      <c r="AA89" s="1">
        <f t="shared" si="145"/>
        <v>0</v>
      </c>
      <c r="AB89" s="1">
        <f t="shared" si="146"/>
        <v>0</v>
      </c>
      <c r="AC89" s="1">
        <f t="shared" si="147"/>
        <v>0</v>
      </c>
      <c r="AD89" s="1">
        <f t="shared" si="148"/>
        <v>0</v>
      </c>
      <c r="AE89" s="1">
        <f t="shared" si="149"/>
        <v>0</v>
      </c>
      <c r="AF89" s="1">
        <f t="shared" si="150"/>
        <v>0</v>
      </c>
      <c r="AG89" s="1">
        <f t="shared" si="151"/>
        <v>0</v>
      </c>
      <c r="AH89" s="1">
        <f t="shared" si="152"/>
        <v>0</v>
      </c>
      <c r="AI89" s="1">
        <f t="shared" si="153"/>
        <v>0</v>
      </c>
      <c r="AJ89" s="1">
        <f t="shared" si="154"/>
        <v>0</v>
      </c>
      <c r="AK89" s="1">
        <f t="shared" si="155"/>
        <v>0</v>
      </c>
      <c r="AM89" s="2103" t="s">
        <v>3248</v>
      </c>
      <c r="AN89" s="2103" t="s">
        <v>3249</v>
      </c>
      <c r="AO89" s="2103" t="s">
        <v>3249</v>
      </c>
      <c r="AP89" s="2103" t="s">
        <v>3248</v>
      </c>
      <c r="AQ89" s="2103" t="s">
        <v>3248</v>
      </c>
      <c r="AR89" s="2103" t="s">
        <v>3248</v>
      </c>
      <c r="AS89" s="2103" t="s">
        <v>3250</v>
      </c>
      <c r="AT89" s="2103" t="s">
        <v>3248</v>
      </c>
      <c r="AU89" s="2103" t="s">
        <v>3249</v>
      </c>
      <c r="AV89" s="2103" t="s">
        <v>3248</v>
      </c>
      <c r="AW89" s="2103" t="s">
        <v>3250</v>
      </c>
      <c r="AX89" s="2103" t="s">
        <v>3249</v>
      </c>
      <c r="AY89" s="2103" t="s">
        <v>3248</v>
      </c>
      <c r="BA89" s="2014"/>
      <c r="BB89" s="2014" t="e">
        <f t="shared" si="125"/>
        <v>#REF!</v>
      </c>
      <c r="BC89" s="2014"/>
      <c r="BD89" s="2013" t="e">
        <f>BR89*#REF!</f>
        <v>#REF!</v>
      </c>
      <c r="BE89" s="2013" t="e">
        <f>BS89*#REF!</f>
        <v>#REF!</v>
      </c>
      <c r="BF89" s="2013" t="e">
        <f>BT89*#REF!</f>
        <v>#REF!</v>
      </c>
      <c r="BG89" s="2013" t="e">
        <f>BU89*#REF!</f>
        <v>#REF!</v>
      </c>
      <c r="BH89" s="2094" t="e">
        <f>BV89*#REF!</f>
        <v>#REF!</v>
      </c>
      <c r="BI89" s="2013" t="e">
        <f>BW89*#REF!</f>
        <v>#REF!</v>
      </c>
      <c r="BJ89" s="2013" t="e">
        <f>BX89*#REF!</f>
        <v>#REF!</v>
      </c>
      <c r="BK89" s="2013" t="e">
        <f>BY89*#REF!</f>
        <v>#REF!</v>
      </c>
      <c r="BL89" s="2013" t="e">
        <f>BZ89*#REF!</f>
        <v>#REF!</v>
      </c>
      <c r="BM89" s="2013" t="e">
        <f>CA89*#REF!</f>
        <v>#REF!</v>
      </c>
      <c r="BO89" s="2040">
        <f t="shared" si="126"/>
        <v>2.2999999999999998</v>
      </c>
      <c r="BP89" s="2040" t="str">
        <f t="shared" si="127"/>
        <v xml:space="preserve"> Q2 2</v>
      </c>
      <c r="BQ89" s="829" t="str">
        <f t="shared" si="128"/>
        <v>適切な更新</v>
      </c>
      <c r="BR89" s="2010">
        <f t="shared" si="129"/>
        <v>0</v>
      </c>
      <c r="BS89" s="2010">
        <f t="shared" si="130"/>
        <v>0</v>
      </c>
      <c r="BT89" s="2010">
        <f t="shared" si="131"/>
        <v>0</v>
      </c>
      <c r="BU89" s="2010">
        <f t="shared" si="132"/>
        <v>0</v>
      </c>
      <c r="BV89" s="2093">
        <f t="shared" si="133"/>
        <v>0</v>
      </c>
      <c r="BW89" s="2010">
        <f t="shared" si="134"/>
        <v>0</v>
      </c>
      <c r="BX89" s="2010">
        <f t="shared" si="135"/>
        <v>0</v>
      </c>
      <c r="BY89" s="2010">
        <f t="shared" si="136"/>
        <v>0</v>
      </c>
      <c r="BZ89" s="2010">
        <f t="shared" si="137"/>
        <v>0</v>
      </c>
      <c r="CA89" s="2010">
        <f t="shared" si="138"/>
        <v>0</v>
      </c>
      <c r="CB89" s="2039">
        <f t="shared" si="139"/>
        <v>0</v>
      </c>
      <c r="CC89" s="2010">
        <f t="shared" si="140"/>
        <v>0</v>
      </c>
      <c r="CD89" s="2010">
        <f t="shared" si="141"/>
        <v>0</v>
      </c>
      <c r="CF89" s="1207">
        <v>2.2999999999999998</v>
      </c>
      <c r="CG89" s="1207" t="s">
        <v>3247</v>
      </c>
      <c r="CH89" s="1211" t="s">
        <v>654</v>
      </c>
      <c r="CI89" s="1209">
        <v>0.25</v>
      </c>
      <c r="CJ89" s="1209">
        <v>0.25</v>
      </c>
      <c r="CK89" s="1209">
        <v>0.25</v>
      </c>
      <c r="CL89" s="1209">
        <v>0.25</v>
      </c>
      <c r="CM89" s="1217">
        <v>0.25</v>
      </c>
      <c r="CN89" s="1209">
        <v>0.25</v>
      </c>
      <c r="CO89" s="1213">
        <v>0.25</v>
      </c>
      <c r="CP89" s="1209">
        <v>0.25</v>
      </c>
      <c r="CQ89" s="1209">
        <v>0.25</v>
      </c>
      <c r="CR89" s="1209">
        <v>0.25</v>
      </c>
      <c r="CS89" s="1213"/>
      <c r="CT89" s="1214"/>
      <c r="CU89" s="1213"/>
      <c r="CW89" s="1229">
        <v>2.2999999999999998</v>
      </c>
      <c r="CX89" s="1253" t="s">
        <v>1722</v>
      </c>
      <c r="CY89" s="1230" t="s">
        <v>1707</v>
      </c>
      <c r="CZ89" s="1233">
        <v>0</v>
      </c>
      <c r="DA89" s="1233">
        <v>0</v>
      </c>
      <c r="DB89" s="1233">
        <v>0</v>
      </c>
      <c r="DC89" s="1233">
        <v>0</v>
      </c>
      <c r="DD89" s="1233">
        <v>0</v>
      </c>
      <c r="DE89" s="1233">
        <v>0</v>
      </c>
      <c r="DF89" s="1233">
        <v>0</v>
      </c>
      <c r="DG89" s="1233">
        <v>0</v>
      </c>
      <c r="DH89" s="1233">
        <v>0</v>
      </c>
      <c r="DI89" s="1233">
        <v>0</v>
      </c>
      <c r="DJ89" s="1235"/>
      <c r="DK89" s="1233"/>
      <c r="DL89" s="1233"/>
      <c r="DN89" s="1229">
        <v>2.2999999999999998</v>
      </c>
      <c r="DO89" s="1253" t="s">
        <v>1722</v>
      </c>
      <c r="DP89" s="1230" t="s">
        <v>654</v>
      </c>
      <c r="DQ89" s="1233">
        <v>0</v>
      </c>
      <c r="DR89" s="1233">
        <v>0</v>
      </c>
      <c r="DS89" s="1233">
        <v>0</v>
      </c>
      <c r="DT89" s="1233">
        <v>0</v>
      </c>
      <c r="DU89" s="1233">
        <v>0</v>
      </c>
      <c r="DV89" s="1233">
        <v>0</v>
      </c>
      <c r="DW89" s="1233">
        <v>0</v>
      </c>
      <c r="DX89" s="1233">
        <v>0</v>
      </c>
      <c r="DY89" s="1233">
        <v>0</v>
      </c>
      <c r="DZ89" s="1233">
        <v>0</v>
      </c>
      <c r="EA89" s="1233"/>
      <c r="EB89" s="1233"/>
      <c r="EC89" s="1233"/>
      <c r="ED89" s="1469"/>
      <c r="EF89" s="1229">
        <v>2.2999999999999998</v>
      </c>
      <c r="EG89" s="1253" t="s">
        <v>1722</v>
      </c>
      <c r="EH89" s="1230" t="s">
        <v>654</v>
      </c>
      <c r="EI89" s="1696">
        <f t="shared" ref="EI89:ES92" si="164">DQ89</f>
        <v>0</v>
      </c>
      <c r="EJ89" s="1696">
        <f t="shared" si="164"/>
        <v>0</v>
      </c>
      <c r="EK89" s="1696">
        <f t="shared" si="164"/>
        <v>0</v>
      </c>
      <c r="EL89" s="1696">
        <f t="shared" si="164"/>
        <v>0</v>
      </c>
      <c r="EM89" s="1696">
        <f t="shared" si="164"/>
        <v>0</v>
      </c>
      <c r="EN89" s="1696">
        <f t="shared" si="164"/>
        <v>0</v>
      </c>
      <c r="EO89" s="1696">
        <f t="shared" si="164"/>
        <v>0</v>
      </c>
      <c r="EP89" s="1696">
        <f t="shared" si="164"/>
        <v>0</v>
      </c>
      <c r="EQ89" s="1696">
        <f t="shared" si="164"/>
        <v>0</v>
      </c>
      <c r="ER89" s="1696">
        <f t="shared" si="164"/>
        <v>0</v>
      </c>
      <c r="ES89" s="1696">
        <f t="shared" si="164"/>
        <v>0</v>
      </c>
      <c r="ET89" s="1696">
        <f t="shared" si="162"/>
        <v>0</v>
      </c>
      <c r="EU89" s="1696">
        <f t="shared" si="163"/>
        <v>0</v>
      </c>
      <c r="EW89" s="1229">
        <v>2.2999999999999998</v>
      </c>
      <c r="EX89" s="1253" t="s">
        <v>1722</v>
      </c>
      <c r="EY89" s="1230" t="s">
        <v>654</v>
      </c>
      <c r="EZ89" s="1799">
        <f>DQ89</f>
        <v>0</v>
      </c>
      <c r="FA89" s="1799"/>
      <c r="FB89" s="1799"/>
      <c r="FC89" s="1799"/>
      <c r="FD89" s="1799"/>
      <c r="FE89" s="1799"/>
      <c r="FF89" s="1799"/>
      <c r="FG89" s="1799"/>
      <c r="FH89" s="1799"/>
      <c r="FI89" s="1799"/>
      <c r="FJ89" s="1799"/>
      <c r="FK89" s="1799"/>
      <c r="FL89" s="1799"/>
    </row>
    <row r="90" spans="2:168" hidden="1">
      <c r="B90" s="2023" t="str">
        <f t="shared" si="142"/>
        <v>2.3.1</v>
      </c>
      <c r="C90" s="2220">
        <f t="shared" si="120"/>
        <v>0</v>
      </c>
      <c r="D90" s="2100" t="e">
        <f t="shared" ref="D90:E92" si="165">IF(I$89&gt;0,G90/I$89,0)</f>
        <v>#REF!</v>
      </c>
      <c r="E90" s="2100" t="e">
        <f t="shared" si="165"/>
        <v>#REF!</v>
      </c>
      <c r="G90" s="2021" t="e">
        <f t="shared" si="121"/>
        <v>#REF!</v>
      </c>
      <c r="H90" s="2021" t="e">
        <f t="shared" si="122"/>
        <v>#REF!</v>
      </c>
      <c r="I90" s="2021"/>
      <c r="J90" s="2021"/>
      <c r="K90" s="2021" t="e">
        <f>IF(#REF!=0,0,1)</f>
        <v>#REF!</v>
      </c>
      <c r="L90" s="2021" t="e">
        <f>IF(#REF!=0,0,1)</f>
        <v>#REF!</v>
      </c>
      <c r="M90" s="2021">
        <f t="shared" si="123"/>
        <v>0</v>
      </c>
      <c r="N90" s="2021">
        <f t="shared" si="124"/>
        <v>0</v>
      </c>
      <c r="P90" s="2123"/>
      <c r="Q90" s="2221"/>
      <c r="R90" s="2218">
        <v>1</v>
      </c>
      <c r="S90" s="2217" t="s">
        <v>63</v>
      </c>
      <c r="T90" s="2216"/>
      <c r="U90" s="2017"/>
      <c r="V90" s="2025">
        <f t="shared" si="158"/>
        <v>0</v>
      </c>
      <c r="W90" s="2024">
        <f t="shared" si="159"/>
        <v>0</v>
      </c>
      <c r="Y90" s="1">
        <f t="shared" si="143"/>
        <v>0</v>
      </c>
      <c r="Z90" s="1">
        <f t="shared" si="144"/>
        <v>0</v>
      </c>
      <c r="AA90" s="1">
        <f t="shared" si="145"/>
        <v>0</v>
      </c>
      <c r="AB90" s="1">
        <f t="shared" si="146"/>
        <v>0</v>
      </c>
      <c r="AC90" s="1">
        <f t="shared" si="147"/>
        <v>0</v>
      </c>
      <c r="AD90" s="1">
        <f t="shared" si="148"/>
        <v>0</v>
      </c>
      <c r="AE90" s="1">
        <f t="shared" si="149"/>
        <v>0</v>
      </c>
      <c r="AF90" s="1">
        <f t="shared" si="150"/>
        <v>0</v>
      </c>
      <c r="AG90" s="1">
        <f t="shared" si="151"/>
        <v>0</v>
      </c>
      <c r="AH90" s="1">
        <f t="shared" si="152"/>
        <v>0</v>
      </c>
      <c r="AI90" s="1">
        <f t="shared" si="153"/>
        <v>0</v>
      </c>
      <c r="AJ90" s="1">
        <f t="shared" si="154"/>
        <v>0</v>
      </c>
      <c r="AK90" s="1">
        <f t="shared" si="155"/>
        <v>0</v>
      </c>
      <c r="AM90" s="2149"/>
      <c r="AN90" s="2149"/>
      <c r="AO90" s="2149"/>
      <c r="AP90" s="2149"/>
      <c r="AQ90" s="2149"/>
      <c r="AR90" s="2149"/>
      <c r="AS90" s="2149"/>
      <c r="AT90" s="2149"/>
      <c r="AU90" s="2149"/>
      <c r="AV90" s="2149"/>
      <c r="AW90" s="2149"/>
      <c r="AX90" s="2149"/>
      <c r="AY90" s="2149"/>
      <c r="BA90" s="2014"/>
      <c r="BB90" s="2014" t="e">
        <f t="shared" si="125"/>
        <v>#REF!</v>
      </c>
      <c r="BC90" s="2014"/>
      <c r="BD90" s="2013" t="e">
        <f>BR90*#REF!</f>
        <v>#REF!</v>
      </c>
      <c r="BE90" s="2013" t="e">
        <f>BS90*#REF!</f>
        <v>#REF!</v>
      </c>
      <c r="BF90" s="2013" t="e">
        <f>BT90*#REF!</f>
        <v>#REF!</v>
      </c>
      <c r="BG90" s="2013" t="e">
        <f>BU90*#REF!</f>
        <v>#REF!</v>
      </c>
      <c r="BH90" s="2094" t="e">
        <f>BV90*#REF!</f>
        <v>#REF!</v>
      </c>
      <c r="BI90" s="2013" t="e">
        <f>BW90*#REF!</f>
        <v>#REF!</v>
      </c>
      <c r="BJ90" s="2013" t="e">
        <f>BX90*#REF!</f>
        <v>#REF!</v>
      </c>
      <c r="BK90" s="2013" t="e">
        <f>BY90*#REF!</f>
        <v>#REF!</v>
      </c>
      <c r="BL90" s="2013" t="e">
        <f>BZ90*#REF!</f>
        <v>#REF!</v>
      </c>
      <c r="BM90" s="2013" t="e">
        <f>CA90*#REF!</f>
        <v>#REF!</v>
      </c>
      <c r="BO90" s="2040" t="str">
        <f t="shared" si="126"/>
        <v>2.3.1</v>
      </c>
      <c r="BP90" s="2040" t="str">
        <f t="shared" si="127"/>
        <v xml:space="preserve"> Q2 2.3</v>
      </c>
      <c r="BQ90" s="829">
        <f t="shared" si="128"/>
        <v>0</v>
      </c>
      <c r="BR90" s="2010">
        <f t="shared" si="129"/>
        <v>0</v>
      </c>
      <c r="BS90" s="2010">
        <f t="shared" si="130"/>
        <v>0</v>
      </c>
      <c r="BT90" s="2010">
        <f t="shared" si="131"/>
        <v>0</v>
      </c>
      <c r="BU90" s="2010">
        <f t="shared" si="132"/>
        <v>0</v>
      </c>
      <c r="BV90" s="2093">
        <f t="shared" si="133"/>
        <v>0</v>
      </c>
      <c r="BW90" s="2010">
        <f t="shared" si="134"/>
        <v>0</v>
      </c>
      <c r="BX90" s="2010">
        <f t="shared" si="135"/>
        <v>0</v>
      </c>
      <c r="BY90" s="2010">
        <f t="shared" si="136"/>
        <v>0</v>
      </c>
      <c r="BZ90" s="2010">
        <f t="shared" si="137"/>
        <v>0</v>
      </c>
      <c r="CA90" s="2010">
        <f t="shared" si="138"/>
        <v>0</v>
      </c>
      <c r="CB90" s="2039">
        <f t="shared" si="139"/>
        <v>0</v>
      </c>
      <c r="CC90" s="2010">
        <f t="shared" si="140"/>
        <v>0</v>
      </c>
      <c r="CD90" s="2010">
        <f t="shared" si="141"/>
        <v>0</v>
      </c>
      <c r="CF90" s="1207" t="s">
        <v>213</v>
      </c>
      <c r="CG90" s="1207" t="s">
        <v>3246</v>
      </c>
      <c r="CH90" s="1211" t="s">
        <v>63</v>
      </c>
      <c r="CI90" s="1244">
        <v>0.33333333333333331</v>
      </c>
      <c r="CJ90" s="1244">
        <v>0.33333333333333331</v>
      </c>
      <c r="CK90" s="1244">
        <v>0.33333333333333331</v>
      </c>
      <c r="CL90" s="1244">
        <v>0.33333333333333331</v>
      </c>
      <c r="CM90" s="1244">
        <v>0.33333333333333331</v>
      </c>
      <c r="CN90" s="1244">
        <v>0.33333333333333331</v>
      </c>
      <c r="CO90" s="1213">
        <v>0.33333333333333331</v>
      </c>
      <c r="CP90" s="1244">
        <v>0.33333333333333331</v>
      </c>
      <c r="CQ90" s="1244">
        <v>0.33333333333333331</v>
      </c>
      <c r="CR90" s="1244">
        <v>0.33333333333333331</v>
      </c>
      <c r="CS90" s="1213"/>
      <c r="CT90" s="1214"/>
      <c r="CU90" s="1213"/>
      <c r="CW90" s="1229" t="s">
        <v>213</v>
      </c>
      <c r="CX90" s="455" t="s">
        <v>1732</v>
      </c>
      <c r="CY90" s="1230" t="s">
        <v>1708</v>
      </c>
      <c r="CZ90" s="1233">
        <v>0</v>
      </c>
      <c r="DA90" s="1233">
        <v>0</v>
      </c>
      <c r="DB90" s="1233">
        <v>0</v>
      </c>
      <c r="DC90" s="1233">
        <v>0</v>
      </c>
      <c r="DD90" s="1233">
        <v>0</v>
      </c>
      <c r="DE90" s="1233">
        <v>0</v>
      </c>
      <c r="DF90" s="1233">
        <v>0</v>
      </c>
      <c r="DG90" s="1233">
        <v>0</v>
      </c>
      <c r="DH90" s="1233">
        <v>0</v>
      </c>
      <c r="DI90" s="1233">
        <v>0</v>
      </c>
      <c r="DJ90" s="1235"/>
      <c r="DK90" s="1233"/>
      <c r="DL90" s="1233"/>
      <c r="DN90" s="1229" t="s">
        <v>213</v>
      </c>
      <c r="DO90" s="455" t="s">
        <v>1732</v>
      </c>
      <c r="DP90" s="1230"/>
      <c r="DQ90" s="1233">
        <v>0</v>
      </c>
      <c r="DR90" s="1233">
        <v>0</v>
      </c>
      <c r="DS90" s="1233">
        <v>0</v>
      </c>
      <c r="DT90" s="1233">
        <v>0</v>
      </c>
      <c r="DU90" s="1233">
        <v>0</v>
      </c>
      <c r="DV90" s="1233">
        <v>0</v>
      </c>
      <c r="DW90" s="1233">
        <v>0</v>
      </c>
      <c r="DX90" s="1233">
        <v>0</v>
      </c>
      <c r="DY90" s="1233">
        <v>0</v>
      </c>
      <c r="DZ90" s="1233">
        <v>0</v>
      </c>
      <c r="EA90" s="1233"/>
      <c r="EB90" s="1233"/>
      <c r="EC90" s="1233"/>
      <c r="ED90" s="1469"/>
      <c r="EF90" s="1229" t="s">
        <v>3245</v>
      </c>
      <c r="EG90" s="455" t="s">
        <v>1732</v>
      </c>
      <c r="EH90" s="1230"/>
      <c r="EI90" s="1696">
        <f t="shared" si="164"/>
        <v>0</v>
      </c>
      <c r="EJ90" s="1696">
        <f t="shared" si="164"/>
        <v>0</v>
      </c>
      <c r="EK90" s="1696">
        <f t="shared" si="164"/>
        <v>0</v>
      </c>
      <c r="EL90" s="1696">
        <f t="shared" si="164"/>
        <v>0</v>
      </c>
      <c r="EM90" s="1696">
        <f t="shared" si="164"/>
        <v>0</v>
      </c>
      <c r="EN90" s="1696">
        <f t="shared" si="164"/>
        <v>0</v>
      </c>
      <c r="EO90" s="1696">
        <f t="shared" si="164"/>
        <v>0</v>
      </c>
      <c r="EP90" s="1696">
        <f t="shared" si="164"/>
        <v>0</v>
      </c>
      <c r="EQ90" s="1696">
        <f t="shared" si="164"/>
        <v>0</v>
      </c>
      <c r="ER90" s="1696">
        <f t="shared" si="164"/>
        <v>0</v>
      </c>
      <c r="ES90" s="1696">
        <f t="shared" si="164"/>
        <v>0</v>
      </c>
      <c r="ET90" s="1696">
        <f t="shared" si="162"/>
        <v>0</v>
      </c>
      <c r="EU90" s="1696">
        <f t="shared" si="163"/>
        <v>0</v>
      </c>
      <c r="EW90" s="1229" t="s">
        <v>3244</v>
      </c>
      <c r="EX90" s="455" t="s">
        <v>1732</v>
      </c>
      <c r="EY90" s="1230" t="s">
        <v>63</v>
      </c>
      <c r="EZ90" s="1799">
        <f>DQ90</f>
        <v>0</v>
      </c>
      <c r="FA90" s="1799"/>
      <c r="FB90" s="1799"/>
      <c r="FC90" s="1799"/>
      <c r="FD90" s="1799"/>
      <c r="FE90" s="1799"/>
      <c r="FF90" s="1799"/>
      <c r="FG90" s="1799"/>
      <c r="FH90" s="1799"/>
      <c r="FI90" s="1799"/>
      <c r="FJ90" s="1799"/>
      <c r="FK90" s="1799"/>
      <c r="FL90" s="1799"/>
    </row>
    <row r="91" spans="2:168" hidden="1">
      <c r="B91" s="2023" t="str">
        <f t="shared" si="142"/>
        <v>2.3.2</v>
      </c>
      <c r="C91" s="2220">
        <f t="shared" si="120"/>
        <v>0</v>
      </c>
      <c r="D91" s="2100" t="e">
        <f t="shared" si="165"/>
        <v>#REF!</v>
      </c>
      <c r="E91" s="2100" t="e">
        <f t="shared" si="165"/>
        <v>#REF!</v>
      </c>
      <c r="G91" s="2021" t="e">
        <f t="shared" si="121"/>
        <v>#REF!</v>
      </c>
      <c r="H91" s="2021" t="e">
        <f t="shared" si="122"/>
        <v>#REF!</v>
      </c>
      <c r="I91" s="2021"/>
      <c r="J91" s="2021"/>
      <c r="K91" s="2021" t="e">
        <f>IF(#REF!=0,0,1)</f>
        <v>#REF!</v>
      </c>
      <c r="L91" s="2021" t="e">
        <f>IF(#REF!=0,0,1)</f>
        <v>#REF!</v>
      </c>
      <c r="M91" s="2021">
        <f t="shared" si="123"/>
        <v>0</v>
      </c>
      <c r="N91" s="2021">
        <f t="shared" si="124"/>
        <v>0</v>
      </c>
      <c r="P91" s="2123"/>
      <c r="Q91" s="2221"/>
      <c r="R91" s="2218">
        <v>2</v>
      </c>
      <c r="S91" s="2217" t="s">
        <v>64</v>
      </c>
      <c r="T91" s="2216"/>
      <c r="U91" s="2017"/>
      <c r="V91" s="2038">
        <f t="shared" si="158"/>
        <v>0</v>
      </c>
      <c r="W91" s="2037">
        <f t="shared" si="159"/>
        <v>0</v>
      </c>
      <c r="Y91" s="1">
        <f t="shared" si="143"/>
        <v>0</v>
      </c>
      <c r="Z91" s="1">
        <f t="shared" si="144"/>
        <v>0</v>
      </c>
      <c r="AA91" s="1">
        <f t="shared" si="145"/>
        <v>0</v>
      </c>
      <c r="AB91" s="1">
        <f t="shared" si="146"/>
        <v>0</v>
      </c>
      <c r="AC91" s="1">
        <f t="shared" si="147"/>
        <v>0</v>
      </c>
      <c r="AD91" s="1">
        <f t="shared" si="148"/>
        <v>0</v>
      </c>
      <c r="AE91" s="1">
        <f t="shared" si="149"/>
        <v>0</v>
      </c>
      <c r="AF91" s="1">
        <f t="shared" si="150"/>
        <v>0</v>
      </c>
      <c r="AG91" s="1">
        <f t="shared" si="151"/>
        <v>0</v>
      </c>
      <c r="AH91" s="1">
        <f t="shared" si="152"/>
        <v>0</v>
      </c>
      <c r="AI91" s="1">
        <f t="shared" si="153"/>
        <v>0</v>
      </c>
      <c r="AJ91" s="1">
        <f t="shared" si="154"/>
        <v>0</v>
      </c>
      <c r="AK91" s="1">
        <f t="shared" si="155"/>
        <v>0</v>
      </c>
      <c r="AM91" s="2063"/>
      <c r="AN91" s="2063"/>
      <c r="AO91" s="2063"/>
      <c r="AP91" s="2063"/>
      <c r="AQ91" s="2063"/>
      <c r="AR91" s="2063"/>
      <c r="AS91" s="2063"/>
      <c r="AT91" s="2063"/>
      <c r="AU91" s="2063"/>
      <c r="AV91" s="2063"/>
      <c r="AW91" s="2063"/>
      <c r="AX91" s="2063"/>
      <c r="AY91" s="2063"/>
      <c r="BA91" s="2014"/>
      <c r="BB91" s="2014" t="e">
        <f t="shared" si="125"/>
        <v>#REF!</v>
      </c>
      <c r="BC91" s="2014"/>
      <c r="BD91" s="2013" t="e">
        <f>BR91*#REF!</f>
        <v>#REF!</v>
      </c>
      <c r="BE91" s="2013" t="e">
        <f>BS91*#REF!</f>
        <v>#REF!</v>
      </c>
      <c r="BF91" s="2013" t="e">
        <f>BT91*#REF!</f>
        <v>#REF!</v>
      </c>
      <c r="BG91" s="2013" t="e">
        <f>BU91*#REF!</f>
        <v>#REF!</v>
      </c>
      <c r="BH91" s="2094" t="e">
        <f>BV91*#REF!</f>
        <v>#REF!</v>
      </c>
      <c r="BI91" s="2013" t="e">
        <f>BW91*#REF!</f>
        <v>#REF!</v>
      </c>
      <c r="BJ91" s="2013" t="e">
        <f>BX91*#REF!</f>
        <v>#REF!</v>
      </c>
      <c r="BK91" s="2013" t="e">
        <f>BY91*#REF!</f>
        <v>#REF!</v>
      </c>
      <c r="BL91" s="2013" t="e">
        <f>BZ91*#REF!</f>
        <v>#REF!</v>
      </c>
      <c r="BM91" s="2013" t="e">
        <f>CA91*#REF!</f>
        <v>#REF!</v>
      </c>
      <c r="BO91" s="2040" t="str">
        <f t="shared" si="126"/>
        <v>2.3.2</v>
      </c>
      <c r="BP91" s="2040" t="str">
        <f t="shared" si="127"/>
        <v xml:space="preserve"> Q2 2.3</v>
      </c>
      <c r="BQ91" s="829">
        <f t="shared" si="128"/>
        <v>0</v>
      </c>
      <c r="BR91" s="2010">
        <f t="shared" si="129"/>
        <v>0</v>
      </c>
      <c r="BS91" s="2010">
        <f t="shared" si="130"/>
        <v>0</v>
      </c>
      <c r="BT91" s="2010">
        <f t="shared" si="131"/>
        <v>0</v>
      </c>
      <c r="BU91" s="2010">
        <f t="shared" si="132"/>
        <v>0</v>
      </c>
      <c r="BV91" s="2093">
        <f t="shared" si="133"/>
        <v>0</v>
      </c>
      <c r="BW91" s="2010">
        <f t="shared" si="134"/>
        <v>0</v>
      </c>
      <c r="BX91" s="2010">
        <f t="shared" si="135"/>
        <v>0</v>
      </c>
      <c r="BY91" s="2010">
        <f t="shared" si="136"/>
        <v>0</v>
      </c>
      <c r="BZ91" s="2010">
        <f t="shared" si="137"/>
        <v>0</v>
      </c>
      <c r="CA91" s="2010">
        <f t="shared" si="138"/>
        <v>0</v>
      </c>
      <c r="CB91" s="2039">
        <f t="shared" si="139"/>
        <v>0</v>
      </c>
      <c r="CC91" s="2010">
        <f t="shared" si="140"/>
        <v>0</v>
      </c>
      <c r="CD91" s="2010">
        <f t="shared" si="141"/>
        <v>0</v>
      </c>
      <c r="CF91" s="1207" t="s">
        <v>3242</v>
      </c>
      <c r="CG91" s="1207" t="s">
        <v>3243</v>
      </c>
      <c r="CH91" s="1211" t="s">
        <v>64</v>
      </c>
      <c r="CI91" s="1244">
        <v>0.33333333333333331</v>
      </c>
      <c r="CJ91" s="1244">
        <v>0.33333333333333331</v>
      </c>
      <c r="CK91" s="1244">
        <v>0.33333333333333331</v>
      </c>
      <c r="CL91" s="1244">
        <v>0.33333333333333331</v>
      </c>
      <c r="CM91" s="1244">
        <v>0.33333333333333331</v>
      </c>
      <c r="CN91" s="1244">
        <v>0.33333333333333331</v>
      </c>
      <c r="CO91" s="1213">
        <v>0.33333333333333331</v>
      </c>
      <c r="CP91" s="1244">
        <v>0.33333333333333331</v>
      </c>
      <c r="CQ91" s="1244">
        <v>0.33333333333333331</v>
      </c>
      <c r="CR91" s="1244">
        <v>0.33333333333333331</v>
      </c>
      <c r="CS91" s="1213"/>
      <c r="CT91" s="1214"/>
      <c r="CU91" s="1213"/>
      <c r="CW91" s="1229" t="s">
        <v>3242</v>
      </c>
      <c r="CX91" s="455" t="s">
        <v>1732</v>
      </c>
      <c r="CY91" s="1230" t="s">
        <v>1709</v>
      </c>
      <c r="CZ91" s="1233">
        <v>0</v>
      </c>
      <c r="DA91" s="1233">
        <v>0</v>
      </c>
      <c r="DB91" s="1233">
        <v>0</v>
      </c>
      <c r="DC91" s="1233">
        <v>0</v>
      </c>
      <c r="DD91" s="1233">
        <v>0</v>
      </c>
      <c r="DE91" s="1233">
        <v>0</v>
      </c>
      <c r="DF91" s="1233">
        <v>0</v>
      </c>
      <c r="DG91" s="1233">
        <v>0</v>
      </c>
      <c r="DH91" s="1233">
        <v>0</v>
      </c>
      <c r="DI91" s="1233">
        <v>0</v>
      </c>
      <c r="DJ91" s="1235"/>
      <c r="DK91" s="1233"/>
      <c r="DL91" s="1233"/>
      <c r="DN91" s="1229" t="s">
        <v>3242</v>
      </c>
      <c r="DO91" s="455" t="s">
        <v>1732</v>
      </c>
      <c r="DP91" s="1230"/>
      <c r="DQ91" s="1233">
        <v>0</v>
      </c>
      <c r="DR91" s="1233">
        <v>0</v>
      </c>
      <c r="DS91" s="1233">
        <v>0</v>
      </c>
      <c r="DT91" s="1233">
        <v>0</v>
      </c>
      <c r="DU91" s="1233">
        <v>0</v>
      </c>
      <c r="DV91" s="1233">
        <v>0</v>
      </c>
      <c r="DW91" s="1233">
        <v>0</v>
      </c>
      <c r="DX91" s="1233">
        <v>0</v>
      </c>
      <c r="DY91" s="1233">
        <v>0</v>
      </c>
      <c r="DZ91" s="1233">
        <v>0</v>
      </c>
      <c r="EA91" s="1233"/>
      <c r="EB91" s="1233"/>
      <c r="EC91" s="1233"/>
      <c r="ED91" s="1469"/>
      <c r="EF91" s="1229" t="s">
        <v>3242</v>
      </c>
      <c r="EG91" s="455" t="s">
        <v>1732</v>
      </c>
      <c r="EH91" s="1230"/>
      <c r="EI91" s="1696">
        <f t="shared" si="164"/>
        <v>0</v>
      </c>
      <c r="EJ91" s="1696">
        <f t="shared" si="164"/>
        <v>0</v>
      </c>
      <c r="EK91" s="1696">
        <f t="shared" si="164"/>
        <v>0</v>
      </c>
      <c r="EL91" s="1696">
        <f t="shared" si="164"/>
        <v>0</v>
      </c>
      <c r="EM91" s="1696">
        <f t="shared" si="164"/>
        <v>0</v>
      </c>
      <c r="EN91" s="1696">
        <f t="shared" si="164"/>
        <v>0</v>
      </c>
      <c r="EO91" s="1696">
        <f t="shared" si="164"/>
        <v>0</v>
      </c>
      <c r="EP91" s="1696">
        <f t="shared" si="164"/>
        <v>0</v>
      </c>
      <c r="EQ91" s="1696">
        <f t="shared" si="164"/>
        <v>0</v>
      </c>
      <c r="ER91" s="1696">
        <f t="shared" si="164"/>
        <v>0</v>
      </c>
      <c r="ES91" s="1696">
        <f t="shared" si="164"/>
        <v>0</v>
      </c>
      <c r="ET91" s="1696">
        <f t="shared" si="162"/>
        <v>0</v>
      </c>
      <c r="EU91" s="1696">
        <f t="shared" si="163"/>
        <v>0</v>
      </c>
      <c r="EW91" s="1229" t="s">
        <v>215</v>
      </c>
      <c r="EX91" s="455" t="s">
        <v>1732</v>
      </c>
      <c r="EY91" s="1230" t="s">
        <v>64</v>
      </c>
      <c r="EZ91" s="1799">
        <f>DQ91</f>
        <v>0</v>
      </c>
      <c r="FA91" s="1799"/>
      <c r="FB91" s="1799"/>
      <c r="FC91" s="1799"/>
      <c r="FD91" s="1799"/>
      <c r="FE91" s="1799"/>
      <c r="FF91" s="1799"/>
      <c r="FG91" s="1799"/>
      <c r="FH91" s="1799"/>
      <c r="FI91" s="1799"/>
      <c r="FJ91" s="1799"/>
      <c r="FK91" s="1799"/>
      <c r="FL91" s="1799"/>
    </row>
    <row r="92" spans="2:168" ht="14.25" hidden="1" thickBot="1">
      <c r="B92" s="2023" t="str">
        <f t="shared" si="142"/>
        <v>2.3.3</v>
      </c>
      <c r="C92" s="2220">
        <f t="shared" si="120"/>
        <v>0</v>
      </c>
      <c r="D92" s="2100" t="e">
        <f t="shared" si="165"/>
        <v>#REF!</v>
      </c>
      <c r="E92" s="2100" t="e">
        <f t="shared" si="165"/>
        <v>#REF!</v>
      </c>
      <c r="G92" s="2021" t="e">
        <f t="shared" si="121"/>
        <v>#REF!</v>
      </c>
      <c r="H92" s="2021" t="e">
        <f t="shared" si="122"/>
        <v>#REF!</v>
      </c>
      <c r="I92" s="2021"/>
      <c r="J92" s="2021"/>
      <c r="K92" s="2021" t="e">
        <f>IF(#REF!=0,0,1)</f>
        <v>#REF!</v>
      </c>
      <c r="L92" s="2021" t="e">
        <f>IF(#REF!=0,0,1)</f>
        <v>#REF!</v>
      </c>
      <c r="M92" s="2021">
        <f t="shared" si="123"/>
        <v>0</v>
      </c>
      <c r="N92" s="2021">
        <f t="shared" si="124"/>
        <v>0</v>
      </c>
      <c r="P92" s="2123"/>
      <c r="Q92" s="2219"/>
      <c r="R92" s="2218">
        <v>3</v>
      </c>
      <c r="S92" s="2217" t="s">
        <v>65</v>
      </c>
      <c r="T92" s="2216"/>
      <c r="U92" s="2017"/>
      <c r="V92" s="2016">
        <f t="shared" si="158"/>
        <v>0</v>
      </c>
      <c r="W92" s="2015">
        <f t="shared" si="159"/>
        <v>0</v>
      </c>
      <c r="Y92" s="1">
        <f t="shared" si="143"/>
        <v>0</v>
      </c>
      <c r="Z92" s="1">
        <f t="shared" si="144"/>
        <v>0</v>
      </c>
      <c r="AA92" s="1">
        <f t="shared" si="145"/>
        <v>0</v>
      </c>
      <c r="AB92" s="1">
        <f t="shared" si="146"/>
        <v>0</v>
      </c>
      <c r="AC92" s="1">
        <f t="shared" si="147"/>
        <v>0</v>
      </c>
      <c r="AD92" s="1">
        <f t="shared" si="148"/>
        <v>0</v>
      </c>
      <c r="AE92" s="1">
        <f t="shared" si="149"/>
        <v>0</v>
      </c>
      <c r="AF92" s="1">
        <f t="shared" si="150"/>
        <v>0</v>
      </c>
      <c r="AG92" s="1">
        <f t="shared" si="151"/>
        <v>0</v>
      </c>
      <c r="AH92" s="1">
        <f t="shared" si="152"/>
        <v>0</v>
      </c>
      <c r="AI92" s="1">
        <f t="shared" si="153"/>
        <v>0</v>
      </c>
      <c r="AJ92" s="1">
        <f t="shared" si="154"/>
        <v>0</v>
      </c>
      <c r="AK92" s="1">
        <f t="shared" si="155"/>
        <v>0</v>
      </c>
      <c r="AM92" s="2143"/>
      <c r="AN92" s="2143"/>
      <c r="AO92" s="2143"/>
      <c r="AP92" s="2143"/>
      <c r="AQ92" s="2143"/>
      <c r="AR92" s="2143"/>
      <c r="AS92" s="2143"/>
      <c r="AT92" s="2143"/>
      <c r="AU92" s="2143"/>
      <c r="AV92" s="2143"/>
      <c r="AW92" s="2143"/>
      <c r="AX92" s="2143"/>
      <c r="AY92" s="2143"/>
      <c r="BA92" s="2014"/>
      <c r="BB92" s="2014" t="e">
        <f t="shared" si="125"/>
        <v>#REF!</v>
      </c>
      <c r="BC92" s="2014"/>
      <c r="BD92" s="2013" t="e">
        <f>BR92*#REF!</f>
        <v>#REF!</v>
      </c>
      <c r="BE92" s="2013" t="e">
        <f>BS92*#REF!</f>
        <v>#REF!</v>
      </c>
      <c r="BF92" s="2013" t="e">
        <f>BT92*#REF!</f>
        <v>#REF!</v>
      </c>
      <c r="BG92" s="2013" t="e">
        <f>BU92*#REF!</f>
        <v>#REF!</v>
      </c>
      <c r="BH92" s="2094" t="e">
        <f>BV92*#REF!</f>
        <v>#REF!</v>
      </c>
      <c r="BI92" s="2013" t="e">
        <f>BW92*#REF!</f>
        <v>#REF!</v>
      </c>
      <c r="BJ92" s="2013" t="e">
        <f>BX92*#REF!</f>
        <v>#REF!</v>
      </c>
      <c r="BK92" s="2013" t="e">
        <f>BY92*#REF!</f>
        <v>#REF!</v>
      </c>
      <c r="BL92" s="2013" t="e">
        <f>BZ92*#REF!</f>
        <v>#REF!</v>
      </c>
      <c r="BM92" s="2013" t="e">
        <f>CA92*#REF!</f>
        <v>#REF!</v>
      </c>
      <c r="BO92" s="2040" t="str">
        <f t="shared" si="126"/>
        <v>2.3.3</v>
      </c>
      <c r="BP92" s="2040" t="str">
        <f t="shared" si="127"/>
        <v xml:space="preserve"> Q2 2.3</v>
      </c>
      <c r="BQ92" s="829">
        <f t="shared" si="128"/>
        <v>0</v>
      </c>
      <c r="BR92" s="2010">
        <f t="shared" si="129"/>
        <v>0</v>
      </c>
      <c r="BS92" s="2010">
        <f t="shared" si="130"/>
        <v>0</v>
      </c>
      <c r="BT92" s="2010">
        <f t="shared" si="131"/>
        <v>0</v>
      </c>
      <c r="BU92" s="2010">
        <f t="shared" si="132"/>
        <v>0</v>
      </c>
      <c r="BV92" s="2093">
        <f t="shared" si="133"/>
        <v>0</v>
      </c>
      <c r="BW92" s="2010">
        <f t="shared" si="134"/>
        <v>0</v>
      </c>
      <c r="BX92" s="2010">
        <f t="shared" si="135"/>
        <v>0</v>
      </c>
      <c r="BY92" s="2010">
        <f t="shared" si="136"/>
        <v>0</v>
      </c>
      <c r="BZ92" s="2010">
        <f t="shared" si="137"/>
        <v>0</v>
      </c>
      <c r="CA92" s="2010">
        <f t="shared" si="138"/>
        <v>0</v>
      </c>
      <c r="CB92" s="2039">
        <f t="shared" si="139"/>
        <v>0</v>
      </c>
      <c r="CC92" s="2010">
        <f t="shared" si="140"/>
        <v>0</v>
      </c>
      <c r="CD92" s="2010">
        <f t="shared" si="141"/>
        <v>0</v>
      </c>
      <c r="CF92" s="1207" t="s">
        <v>3241</v>
      </c>
      <c r="CG92" s="1207" t="s">
        <v>1153</v>
      </c>
      <c r="CH92" s="1211" t="s">
        <v>1733</v>
      </c>
      <c r="CI92" s="1244">
        <v>0.33333333333333331</v>
      </c>
      <c r="CJ92" s="1244">
        <v>0.33333333333333331</v>
      </c>
      <c r="CK92" s="1244">
        <v>0.33333333333333331</v>
      </c>
      <c r="CL92" s="1244">
        <v>0.33333333333333331</v>
      </c>
      <c r="CM92" s="1244">
        <v>0.33333333333333331</v>
      </c>
      <c r="CN92" s="1244">
        <v>0.33333333333333331</v>
      </c>
      <c r="CO92" s="1213">
        <v>0.33333333333333331</v>
      </c>
      <c r="CP92" s="1244">
        <v>0.33333333333333331</v>
      </c>
      <c r="CQ92" s="1244">
        <v>0.33333333333333331</v>
      </c>
      <c r="CR92" s="1244">
        <v>0.33333333333333331</v>
      </c>
      <c r="CS92" s="1213"/>
      <c r="CT92" s="1214"/>
      <c r="CU92" s="1213"/>
      <c r="CW92" s="1229" t="s">
        <v>1152</v>
      </c>
      <c r="CX92" s="455" t="s">
        <v>1732</v>
      </c>
      <c r="CY92" s="1230" t="s">
        <v>1710</v>
      </c>
      <c r="CZ92" s="1233">
        <v>0</v>
      </c>
      <c r="DA92" s="1233">
        <v>0</v>
      </c>
      <c r="DB92" s="1233">
        <v>0</v>
      </c>
      <c r="DC92" s="1233">
        <v>0</v>
      </c>
      <c r="DD92" s="1233">
        <v>0</v>
      </c>
      <c r="DE92" s="1233">
        <v>0</v>
      </c>
      <c r="DF92" s="1233">
        <v>0</v>
      </c>
      <c r="DG92" s="1233">
        <v>0</v>
      </c>
      <c r="DH92" s="1233">
        <v>0</v>
      </c>
      <c r="DI92" s="1233">
        <v>0</v>
      </c>
      <c r="DJ92" s="1235"/>
      <c r="DK92" s="1233"/>
      <c r="DL92" s="1233"/>
      <c r="DN92" s="1229" t="s">
        <v>3240</v>
      </c>
      <c r="DO92" s="455" t="s">
        <v>1732</v>
      </c>
      <c r="DP92" s="1230"/>
      <c r="DQ92" s="1233">
        <v>0</v>
      </c>
      <c r="DR92" s="1233">
        <v>0</v>
      </c>
      <c r="DS92" s="1233">
        <v>0</v>
      </c>
      <c r="DT92" s="1233">
        <v>0</v>
      </c>
      <c r="DU92" s="1233">
        <v>0</v>
      </c>
      <c r="DV92" s="1233">
        <v>0</v>
      </c>
      <c r="DW92" s="1233">
        <v>0</v>
      </c>
      <c r="DX92" s="1233">
        <v>0</v>
      </c>
      <c r="DY92" s="1233">
        <v>0</v>
      </c>
      <c r="DZ92" s="1233">
        <v>0</v>
      </c>
      <c r="EA92" s="1233"/>
      <c r="EB92" s="1233"/>
      <c r="EC92" s="1233"/>
      <c r="ED92" s="1469"/>
      <c r="EF92" s="1229" t="s">
        <v>1152</v>
      </c>
      <c r="EG92" s="455" t="s">
        <v>1732</v>
      </c>
      <c r="EH92" s="1230"/>
      <c r="EI92" s="1696">
        <f t="shared" si="164"/>
        <v>0</v>
      </c>
      <c r="EJ92" s="1696">
        <f t="shared" si="164"/>
        <v>0</v>
      </c>
      <c r="EK92" s="1696">
        <f t="shared" si="164"/>
        <v>0</v>
      </c>
      <c r="EL92" s="1696">
        <f t="shared" si="164"/>
        <v>0</v>
      </c>
      <c r="EM92" s="1696">
        <f t="shared" si="164"/>
        <v>0</v>
      </c>
      <c r="EN92" s="1696">
        <f t="shared" si="164"/>
        <v>0</v>
      </c>
      <c r="EO92" s="1696">
        <f t="shared" si="164"/>
        <v>0</v>
      </c>
      <c r="EP92" s="1696">
        <f t="shared" si="164"/>
        <v>0</v>
      </c>
      <c r="EQ92" s="1696">
        <f t="shared" si="164"/>
        <v>0</v>
      </c>
      <c r="ER92" s="1696">
        <f t="shared" si="164"/>
        <v>0</v>
      </c>
      <c r="ES92" s="1696">
        <f t="shared" si="164"/>
        <v>0</v>
      </c>
      <c r="ET92" s="1696">
        <f t="shared" si="162"/>
        <v>0</v>
      </c>
      <c r="EU92" s="1696">
        <f t="shared" si="163"/>
        <v>0</v>
      </c>
      <c r="EW92" s="1229" t="s">
        <v>3239</v>
      </c>
      <c r="EX92" s="455" t="s">
        <v>1732</v>
      </c>
      <c r="EY92" s="1230" t="s">
        <v>1733</v>
      </c>
      <c r="EZ92" s="1799">
        <f>DQ92</f>
        <v>0</v>
      </c>
      <c r="FA92" s="1799"/>
      <c r="FB92" s="1799"/>
      <c r="FC92" s="1799"/>
      <c r="FD92" s="1799"/>
      <c r="FE92" s="1799"/>
      <c r="FF92" s="1799"/>
      <c r="FG92" s="1799"/>
      <c r="FH92" s="1799"/>
      <c r="FI92" s="1799"/>
      <c r="FJ92" s="1799"/>
      <c r="FK92" s="1799"/>
      <c r="FL92" s="1799"/>
    </row>
    <row r="93" spans="2:168" ht="14.25" thickBot="1">
      <c r="B93" s="2023">
        <f t="shared" si="142"/>
        <v>2.4</v>
      </c>
      <c r="C93" s="829" t="str">
        <f t="shared" si="120"/>
        <v>信頼性</v>
      </c>
      <c r="D93" s="2022" t="e">
        <f>IF(I$78=0,0,G93/I$78)</f>
        <v>#REF!</v>
      </c>
      <c r="E93" s="2021" t="e">
        <f>IF(J$78=0,0,H93/J$78)</f>
        <v>#REF!</v>
      </c>
      <c r="G93" s="2021" t="e">
        <f t="shared" si="121"/>
        <v>#REF!</v>
      </c>
      <c r="H93" s="2021" t="e">
        <f t="shared" si="122"/>
        <v>#REF!</v>
      </c>
      <c r="I93" s="2021" t="e">
        <f>SUM(G94:G98)</f>
        <v>#REF!</v>
      </c>
      <c r="J93" s="2021" t="e">
        <f>SUM(H94:H98)</f>
        <v>#REF!</v>
      </c>
      <c r="K93" s="2021" t="e">
        <f>IF(#REF!=0,0,1)</f>
        <v>#REF!</v>
      </c>
      <c r="L93" s="2021" t="e">
        <f>IF(#REF!=0,0,1)</f>
        <v>#REF!</v>
      </c>
      <c r="M93" s="2021">
        <f t="shared" si="123"/>
        <v>0.2</v>
      </c>
      <c r="N93" s="2021">
        <f t="shared" si="124"/>
        <v>0</v>
      </c>
      <c r="P93" s="2214"/>
      <c r="Q93" s="2035">
        <v>2.4</v>
      </c>
      <c r="R93" s="2129" t="s">
        <v>66</v>
      </c>
      <c r="S93" s="2106"/>
      <c r="T93" s="2106"/>
      <c r="U93" s="2017"/>
      <c r="V93" s="2105">
        <f t="shared" si="158"/>
        <v>0</v>
      </c>
      <c r="W93" s="2104">
        <f t="shared" si="159"/>
        <v>0</v>
      </c>
      <c r="Y93" s="1">
        <f t="shared" si="143"/>
        <v>0</v>
      </c>
      <c r="Z93" s="1">
        <f t="shared" si="144"/>
        <v>0</v>
      </c>
      <c r="AA93" s="1">
        <f t="shared" si="145"/>
        <v>0</v>
      </c>
      <c r="AB93" s="1">
        <f t="shared" si="146"/>
        <v>0</v>
      </c>
      <c r="AC93" s="1">
        <f t="shared" si="147"/>
        <v>0</v>
      </c>
      <c r="AD93" s="1">
        <f t="shared" si="148"/>
        <v>0</v>
      </c>
      <c r="AE93" s="1">
        <f t="shared" si="149"/>
        <v>0</v>
      </c>
      <c r="AF93" s="1">
        <f t="shared" si="150"/>
        <v>0</v>
      </c>
      <c r="AG93" s="1">
        <f t="shared" si="151"/>
        <v>0</v>
      </c>
      <c r="AH93" s="1">
        <f t="shared" si="152"/>
        <v>0</v>
      </c>
      <c r="AI93" s="1">
        <f t="shared" si="153"/>
        <v>0</v>
      </c>
      <c r="AJ93" s="1">
        <f t="shared" si="154"/>
        <v>0</v>
      </c>
      <c r="AK93" s="1">
        <f t="shared" si="155"/>
        <v>0</v>
      </c>
      <c r="AM93" s="2103" t="s">
        <v>3164</v>
      </c>
      <c r="AN93" s="2103" t="s">
        <v>3167</v>
      </c>
      <c r="AO93" s="2103" t="s">
        <v>3238</v>
      </c>
      <c r="AP93" s="2103" t="s">
        <v>3158</v>
      </c>
      <c r="AQ93" s="2103" t="s">
        <v>3168</v>
      </c>
      <c r="AR93" s="2103" t="s">
        <v>3168</v>
      </c>
      <c r="AS93" s="2103" t="s">
        <v>3168</v>
      </c>
      <c r="AT93" s="2103" t="s">
        <v>3158</v>
      </c>
      <c r="AU93" s="2103" t="s">
        <v>3167</v>
      </c>
      <c r="AV93" s="2103" t="s">
        <v>3168</v>
      </c>
      <c r="AW93" s="2103" t="s">
        <v>3168</v>
      </c>
      <c r="AX93" s="2103" t="s">
        <v>3238</v>
      </c>
      <c r="AY93" s="2103" t="s">
        <v>3168</v>
      </c>
      <c r="BA93" s="2014"/>
      <c r="BB93" s="2014" t="e">
        <f t="shared" si="125"/>
        <v>#REF!</v>
      </c>
      <c r="BC93" s="2014"/>
      <c r="BD93" s="2013" t="e">
        <f>BR93*#REF!</f>
        <v>#REF!</v>
      </c>
      <c r="BE93" s="2013" t="e">
        <f>BS93*#REF!</f>
        <v>#REF!</v>
      </c>
      <c r="BF93" s="2013" t="e">
        <f>BT93*#REF!</f>
        <v>#REF!</v>
      </c>
      <c r="BG93" s="2013" t="e">
        <f>BU93*#REF!</f>
        <v>#REF!</v>
      </c>
      <c r="BH93" s="2094" t="e">
        <f>BV93*#REF!</f>
        <v>#REF!</v>
      </c>
      <c r="BI93" s="2013" t="e">
        <f>BW93*#REF!</f>
        <v>#REF!</v>
      </c>
      <c r="BJ93" s="2013" t="e">
        <f>BX93*#REF!</f>
        <v>#REF!</v>
      </c>
      <c r="BK93" s="2013" t="e">
        <f>BY93*#REF!</f>
        <v>#REF!</v>
      </c>
      <c r="BL93" s="2013" t="e">
        <f>BZ93*#REF!</f>
        <v>#REF!</v>
      </c>
      <c r="BM93" s="2013" t="e">
        <f>CA93*#REF!</f>
        <v>#REF!</v>
      </c>
      <c r="BO93" s="2040">
        <f t="shared" si="126"/>
        <v>2.4</v>
      </c>
      <c r="BP93" s="2040" t="str">
        <f t="shared" si="127"/>
        <v xml:space="preserve"> Q2 2</v>
      </c>
      <c r="BQ93" s="829" t="str">
        <f t="shared" si="128"/>
        <v>信頼性</v>
      </c>
      <c r="BR93" s="2010">
        <f t="shared" si="129"/>
        <v>0.2</v>
      </c>
      <c r="BS93" s="2010">
        <f t="shared" si="130"/>
        <v>0.2</v>
      </c>
      <c r="BT93" s="2010">
        <f t="shared" si="131"/>
        <v>0.2</v>
      </c>
      <c r="BU93" s="2010">
        <f t="shared" si="132"/>
        <v>0.2</v>
      </c>
      <c r="BV93" s="2093">
        <f t="shared" si="133"/>
        <v>0.2</v>
      </c>
      <c r="BW93" s="2010">
        <f t="shared" si="134"/>
        <v>0.2</v>
      </c>
      <c r="BX93" s="2010">
        <f t="shared" si="135"/>
        <v>0.2</v>
      </c>
      <c r="BY93" s="2010">
        <f t="shared" si="136"/>
        <v>0.2</v>
      </c>
      <c r="BZ93" s="2010">
        <f t="shared" si="137"/>
        <v>0.2</v>
      </c>
      <c r="CA93" s="2010">
        <f t="shared" si="138"/>
        <v>0.2</v>
      </c>
      <c r="CB93" s="2039">
        <f t="shared" si="139"/>
        <v>0</v>
      </c>
      <c r="CC93" s="2010">
        <f t="shared" si="140"/>
        <v>0</v>
      </c>
      <c r="CD93" s="2010">
        <f t="shared" si="141"/>
        <v>0</v>
      </c>
      <c r="CF93" s="1207">
        <v>2.4</v>
      </c>
      <c r="CG93" s="1211" t="s">
        <v>1722</v>
      </c>
      <c r="CH93" s="1208" t="s">
        <v>66</v>
      </c>
      <c r="CI93" s="1209">
        <v>0.25</v>
      </c>
      <c r="CJ93" s="1209">
        <v>0.25</v>
      </c>
      <c r="CK93" s="1209">
        <v>0.25</v>
      </c>
      <c r="CL93" s="1209">
        <v>0.25</v>
      </c>
      <c r="CM93" s="1217">
        <v>0.25</v>
      </c>
      <c r="CN93" s="1209">
        <v>0.25</v>
      </c>
      <c r="CO93" s="1213">
        <v>0.25</v>
      </c>
      <c r="CP93" s="1209">
        <v>0.25</v>
      </c>
      <c r="CQ93" s="1209">
        <v>0.25</v>
      </c>
      <c r="CR93" s="1209">
        <v>0.25</v>
      </c>
      <c r="CS93" s="1214">
        <v>0</v>
      </c>
      <c r="CT93" s="1213">
        <v>0</v>
      </c>
      <c r="CU93" s="1213">
        <v>0</v>
      </c>
      <c r="CW93" s="1207">
        <v>2.4</v>
      </c>
      <c r="CX93" s="1211" t="s">
        <v>1722</v>
      </c>
      <c r="CY93" s="1208" t="s">
        <v>1711</v>
      </c>
      <c r="CZ93" s="1213">
        <v>0.2</v>
      </c>
      <c r="DA93" s="1213">
        <v>0.2</v>
      </c>
      <c r="DB93" s="1213">
        <v>0.2</v>
      </c>
      <c r="DC93" s="1213">
        <v>0.2</v>
      </c>
      <c r="DD93" s="1220">
        <v>0.2</v>
      </c>
      <c r="DE93" s="1213">
        <v>0.2</v>
      </c>
      <c r="DF93" s="1213">
        <v>0.2</v>
      </c>
      <c r="DG93" s="1213">
        <v>0.2</v>
      </c>
      <c r="DH93" s="1213">
        <v>0.2</v>
      </c>
      <c r="DI93" s="1213">
        <v>0.2</v>
      </c>
      <c r="DJ93" s="1214"/>
      <c r="DK93" s="1213"/>
      <c r="DL93" s="1213"/>
      <c r="DN93" s="1207">
        <v>2.4</v>
      </c>
      <c r="DO93" s="1211" t="s">
        <v>1722</v>
      </c>
      <c r="DP93" s="1208" t="s">
        <v>66</v>
      </c>
      <c r="DQ93" s="1213">
        <v>0.2</v>
      </c>
      <c r="DR93" s="1213">
        <v>0.2</v>
      </c>
      <c r="DS93" s="1213">
        <v>0.2</v>
      </c>
      <c r="DT93" s="1213">
        <v>0.2</v>
      </c>
      <c r="DU93" s="1220">
        <v>0.2</v>
      </c>
      <c r="DV93" s="1213">
        <v>0.2</v>
      </c>
      <c r="DW93" s="1213">
        <v>0.2</v>
      </c>
      <c r="DX93" s="1213">
        <v>0.2</v>
      </c>
      <c r="DY93" s="1213">
        <v>0.2</v>
      </c>
      <c r="DZ93" s="1213">
        <v>0.2</v>
      </c>
      <c r="EA93" s="1214"/>
      <c r="EB93" s="1213"/>
      <c r="EC93" s="1213"/>
      <c r="ED93" s="1469"/>
      <c r="EF93" s="1207">
        <v>2.4</v>
      </c>
      <c r="EG93" s="1211" t="s">
        <v>1722</v>
      </c>
      <c r="EH93" s="1208" t="s">
        <v>66</v>
      </c>
      <c r="EI93" s="1678">
        <v>0.1</v>
      </c>
      <c r="EJ93" s="1678">
        <v>0.1</v>
      </c>
      <c r="EK93" s="1678">
        <v>0.1</v>
      </c>
      <c r="EL93" s="1678">
        <v>0.1</v>
      </c>
      <c r="EM93" s="1678">
        <v>0.1</v>
      </c>
      <c r="EN93" s="1678">
        <v>0.1</v>
      </c>
      <c r="EO93" s="1678">
        <v>0.1</v>
      </c>
      <c r="EP93" s="1678">
        <v>0.1</v>
      </c>
      <c r="EQ93" s="1678">
        <v>0.1</v>
      </c>
      <c r="ER93" s="1678">
        <v>0.1</v>
      </c>
      <c r="ES93" s="1691">
        <f t="shared" ref="ES93:ES100" si="166">EA93</f>
        <v>0</v>
      </c>
      <c r="ET93" s="1689">
        <f t="shared" si="162"/>
        <v>0</v>
      </c>
      <c r="EU93" s="1689">
        <f t="shared" si="163"/>
        <v>0</v>
      </c>
      <c r="EW93" s="1207">
        <v>2.4</v>
      </c>
      <c r="EX93" s="1211" t="s">
        <v>1722</v>
      </c>
      <c r="EY93" s="1208" t="s">
        <v>66</v>
      </c>
      <c r="EZ93" s="1814">
        <v>0.6</v>
      </c>
      <c r="FA93" s="1678"/>
      <c r="FB93" s="1678"/>
      <c r="FC93" s="1678"/>
      <c r="FD93" s="1738"/>
      <c r="FE93" s="1678"/>
      <c r="FF93" s="1678"/>
      <c r="FG93" s="1678"/>
      <c r="FH93" s="1678"/>
      <c r="FI93" s="1678"/>
      <c r="FJ93" s="1795"/>
      <c r="FK93" s="1678"/>
      <c r="FL93" s="1678"/>
    </row>
    <row r="94" spans="2:168">
      <c r="B94" s="2023" t="str">
        <f t="shared" si="142"/>
        <v>2.4.1</v>
      </c>
      <c r="C94" s="829" t="str">
        <f t="shared" si="120"/>
        <v>空調・換気設備</v>
      </c>
      <c r="D94" s="2100" t="e">
        <f t="shared" ref="D94:E98" si="167">IF(I$93&gt;0,G94/I$93,0)</f>
        <v>#REF!</v>
      </c>
      <c r="E94" s="2021" t="e">
        <f t="shared" si="167"/>
        <v>#REF!</v>
      </c>
      <c r="G94" s="2021" t="e">
        <f t="shared" si="121"/>
        <v>#REF!</v>
      </c>
      <c r="H94" s="2021" t="e">
        <f t="shared" si="122"/>
        <v>#REF!</v>
      </c>
      <c r="I94" s="2021"/>
      <c r="J94" s="2021"/>
      <c r="K94" s="2021" t="e">
        <f>IF(#REF!=0,0,1)</f>
        <v>#REF!</v>
      </c>
      <c r="L94" s="2021" t="e">
        <f>IF(#REF!=0,0,1)</f>
        <v>#REF!</v>
      </c>
      <c r="M94" s="2021">
        <f t="shared" si="123"/>
        <v>0.2</v>
      </c>
      <c r="N94" s="2021">
        <f t="shared" si="124"/>
        <v>0</v>
      </c>
      <c r="P94" s="2214"/>
      <c r="Q94" s="2019"/>
      <c r="R94" s="993">
        <v>1</v>
      </c>
      <c r="S94" s="1655" t="s">
        <v>67</v>
      </c>
      <c r="T94" s="2036"/>
      <c r="U94" s="2017"/>
      <c r="V94" s="2025">
        <f t="shared" si="158"/>
        <v>0</v>
      </c>
      <c r="W94" s="2024">
        <f t="shared" si="159"/>
        <v>0</v>
      </c>
      <c r="Y94" s="1">
        <f t="shared" si="143"/>
        <v>0</v>
      </c>
      <c r="Z94" s="1">
        <f t="shared" si="144"/>
        <v>0</v>
      </c>
      <c r="AA94" s="1">
        <f t="shared" si="145"/>
        <v>0</v>
      </c>
      <c r="AB94" s="1">
        <f t="shared" si="146"/>
        <v>0</v>
      </c>
      <c r="AC94" s="1">
        <f t="shared" si="147"/>
        <v>0</v>
      </c>
      <c r="AD94" s="1">
        <f t="shared" si="148"/>
        <v>0</v>
      </c>
      <c r="AE94" s="1">
        <f t="shared" si="149"/>
        <v>0</v>
      </c>
      <c r="AF94" s="1">
        <f t="shared" si="150"/>
        <v>0</v>
      </c>
      <c r="AG94" s="1">
        <f t="shared" si="151"/>
        <v>0</v>
      </c>
      <c r="AH94" s="1">
        <f t="shared" si="152"/>
        <v>0</v>
      </c>
      <c r="AI94" s="1">
        <f t="shared" si="153"/>
        <v>0</v>
      </c>
      <c r="AJ94" s="1">
        <f t="shared" si="154"/>
        <v>0</v>
      </c>
      <c r="AK94" s="1">
        <f t="shared" si="155"/>
        <v>0</v>
      </c>
      <c r="AM94" s="1827"/>
      <c r="AN94" s="1827"/>
      <c r="AO94" s="1827"/>
      <c r="AP94" s="1827"/>
      <c r="AQ94" s="1827"/>
      <c r="AR94" s="1827"/>
      <c r="AS94" s="1827"/>
      <c r="AT94" s="1827"/>
      <c r="AU94" s="1827"/>
      <c r="AV94" s="1827"/>
      <c r="AW94" s="1827"/>
      <c r="AX94" s="1827"/>
      <c r="AY94" s="1827"/>
      <c r="BA94" s="2014"/>
      <c r="BB94" s="2014" t="e">
        <f t="shared" si="125"/>
        <v>#REF!</v>
      </c>
      <c r="BC94" s="2014"/>
      <c r="BD94" s="2013" t="e">
        <f>BR94*#REF!</f>
        <v>#REF!</v>
      </c>
      <c r="BE94" s="2013" t="e">
        <f>BS94*#REF!</f>
        <v>#REF!</v>
      </c>
      <c r="BF94" s="2013" t="e">
        <f>BT94*#REF!</f>
        <v>#REF!</v>
      </c>
      <c r="BG94" s="2013" t="e">
        <f>BU94*#REF!</f>
        <v>#REF!</v>
      </c>
      <c r="BH94" s="2094" t="e">
        <f>BV94*#REF!</f>
        <v>#REF!</v>
      </c>
      <c r="BI94" s="2013" t="e">
        <f>BW94*#REF!</f>
        <v>#REF!</v>
      </c>
      <c r="BJ94" s="2013" t="e">
        <f>BX94*#REF!</f>
        <v>#REF!</v>
      </c>
      <c r="BK94" s="2013" t="e">
        <f>BY94*#REF!</f>
        <v>#REF!</v>
      </c>
      <c r="BL94" s="2013" t="e">
        <f>BZ94*#REF!</f>
        <v>#REF!</v>
      </c>
      <c r="BM94" s="2013" t="e">
        <f>CA94*#REF!</f>
        <v>#REF!</v>
      </c>
      <c r="BO94" s="2040" t="str">
        <f t="shared" si="126"/>
        <v>2.4.1</v>
      </c>
      <c r="BP94" s="2040" t="str">
        <f t="shared" si="127"/>
        <v xml:space="preserve"> Q2 2.4</v>
      </c>
      <c r="BQ94" s="829" t="str">
        <f t="shared" si="128"/>
        <v>空調・換気設備</v>
      </c>
      <c r="BR94" s="2010">
        <f t="shared" si="129"/>
        <v>0.2</v>
      </c>
      <c r="BS94" s="2010">
        <f t="shared" si="130"/>
        <v>0.2</v>
      </c>
      <c r="BT94" s="2010">
        <f t="shared" si="131"/>
        <v>0.2</v>
      </c>
      <c r="BU94" s="2010">
        <f t="shared" si="132"/>
        <v>0.2</v>
      </c>
      <c r="BV94" s="2093">
        <f t="shared" si="133"/>
        <v>0.2</v>
      </c>
      <c r="BW94" s="2010">
        <f t="shared" si="134"/>
        <v>0.2</v>
      </c>
      <c r="BX94" s="2010">
        <f t="shared" si="135"/>
        <v>0.2</v>
      </c>
      <c r="BY94" s="2010">
        <f t="shared" si="136"/>
        <v>0.2</v>
      </c>
      <c r="BZ94" s="2010">
        <f t="shared" si="137"/>
        <v>0.2</v>
      </c>
      <c r="CA94" s="2010">
        <f t="shared" si="138"/>
        <v>0.2</v>
      </c>
      <c r="CB94" s="2039">
        <f t="shared" si="139"/>
        <v>0</v>
      </c>
      <c r="CC94" s="2010">
        <f t="shared" si="140"/>
        <v>0</v>
      </c>
      <c r="CD94" s="2010">
        <f t="shared" si="141"/>
        <v>0</v>
      </c>
      <c r="CF94" s="1207" t="s">
        <v>3236</v>
      </c>
      <c r="CG94" s="1211" t="s">
        <v>1734</v>
      </c>
      <c r="CH94" s="1208" t="s">
        <v>1735</v>
      </c>
      <c r="CI94" s="1209">
        <v>0.2</v>
      </c>
      <c r="CJ94" s="1209">
        <v>0.2</v>
      </c>
      <c r="CK94" s="1209">
        <v>0.2</v>
      </c>
      <c r="CL94" s="1209">
        <v>0.2</v>
      </c>
      <c r="CM94" s="1217">
        <v>0.2</v>
      </c>
      <c r="CN94" s="1209">
        <v>0.2</v>
      </c>
      <c r="CO94" s="1213">
        <v>0.2</v>
      </c>
      <c r="CP94" s="1209">
        <v>0.2</v>
      </c>
      <c r="CQ94" s="1209">
        <v>0.2</v>
      </c>
      <c r="CR94" s="1209">
        <v>0.2</v>
      </c>
      <c r="CS94" s="1214">
        <v>0</v>
      </c>
      <c r="CT94" s="1213">
        <v>0</v>
      </c>
      <c r="CU94" s="1213">
        <v>0</v>
      </c>
      <c r="CW94" s="1207" t="s">
        <v>3235</v>
      </c>
      <c r="CX94" s="1211" t="s">
        <v>1734</v>
      </c>
      <c r="CY94" s="1208" t="s">
        <v>1735</v>
      </c>
      <c r="CZ94" s="1213">
        <v>0.2</v>
      </c>
      <c r="DA94" s="1213">
        <v>0.2</v>
      </c>
      <c r="DB94" s="1213">
        <v>0.2</v>
      </c>
      <c r="DC94" s="1213">
        <v>0.2</v>
      </c>
      <c r="DD94" s="1220">
        <v>0.2</v>
      </c>
      <c r="DE94" s="1213">
        <v>0.2</v>
      </c>
      <c r="DF94" s="1213">
        <v>0.2</v>
      </c>
      <c r="DG94" s="1213">
        <v>0.2</v>
      </c>
      <c r="DH94" s="1213">
        <v>0.2</v>
      </c>
      <c r="DI94" s="1213">
        <v>0.2</v>
      </c>
      <c r="DJ94" s="1214"/>
      <c r="DK94" s="1213"/>
      <c r="DL94" s="1213"/>
      <c r="DN94" s="1207" t="s">
        <v>3237</v>
      </c>
      <c r="DO94" s="1211" t="s">
        <v>1734</v>
      </c>
      <c r="DP94" s="1208" t="s">
        <v>1735</v>
      </c>
      <c r="DQ94" s="1213">
        <v>0.2</v>
      </c>
      <c r="DR94" s="1213">
        <v>0.2</v>
      </c>
      <c r="DS94" s="1213">
        <v>0.2</v>
      </c>
      <c r="DT94" s="1213">
        <v>0.2</v>
      </c>
      <c r="DU94" s="1220">
        <v>0.2</v>
      </c>
      <c r="DV94" s="1213">
        <v>0.2</v>
      </c>
      <c r="DW94" s="1213">
        <v>0.2</v>
      </c>
      <c r="DX94" s="1213">
        <v>0.2</v>
      </c>
      <c r="DY94" s="1213">
        <v>0.2</v>
      </c>
      <c r="DZ94" s="1213">
        <v>0.2</v>
      </c>
      <c r="EA94" s="1214"/>
      <c r="EB94" s="1213"/>
      <c r="EC94" s="1213"/>
      <c r="ED94" s="1469"/>
      <c r="EF94" s="1207" t="s">
        <v>3236</v>
      </c>
      <c r="EG94" s="1211" t="s">
        <v>1734</v>
      </c>
      <c r="EH94" s="1208" t="s">
        <v>1735</v>
      </c>
      <c r="EI94" s="1689">
        <v>0</v>
      </c>
      <c r="EJ94" s="1689">
        <v>0</v>
      </c>
      <c r="EK94" s="1689">
        <v>0</v>
      </c>
      <c r="EL94" s="1689">
        <v>0</v>
      </c>
      <c r="EM94" s="1689">
        <v>0</v>
      </c>
      <c r="EN94" s="1689">
        <v>0</v>
      </c>
      <c r="EO94" s="1689">
        <v>0</v>
      </c>
      <c r="EP94" s="1689">
        <v>0</v>
      </c>
      <c r="EQ94" s="1689">
        <v>0</v>
      </c>
      <c r="ER94" s="1689">
        <v>0</v>
      </c>
      <c r="ES94" s="1691">
        <f t="shared" si="166"/>
        <v>0</v>
      </c>
      <c r="ET94" s="1689">
        <f t="shared" si="162"/>
        <v>0</v>
      </c>
      <c r="EU94" s="1689">
        <f t="shared" si="163"/>
        <v>0</v>
      </c>
      <c r="EW94" s="1207" t="s">
        <v>3235</v>
      </c>
      <c r="EX94" s="1211" t="s">
        <v>1734</v>
      </c>
      <c r="EY94" s="1208" t="s">
        <v>1735</v>
      </c>
      <c r="EZ94" s="1820">
        <v>0.15</v>
      </c>
      <c r="FA94" s="1678"/>
      <c r="FB94" s="1678"/>
      <c r="FC94" s="1678"/>
      <c r="FD94" s="1678"/>
      <c r="FE94" s="1678"/>
      <c r="FF94" s="1678"/>
      <c r="FG94" s="1678"/>
      <c r="FH94" s="1678"/>
      <c r="FI94" s="1678"/>
      <c r="FJ94" s="1795"/>
      <c r="FK94" s="1678"/>
      <c r="FL94" s="1678"/>
    </row>
    <row r="95" spans="2:168">
      <c r="B95" s="2023" t="str">
        <f t="shared" si="142"/>
        <v>2.4.2</v>
      </c>
      <c r="C95" s="829" t="str">
        <f t="shared" si="120"/>
        <v>給排水・衛生設備</v>
      </c>
      <c r="D95" s="2100" t="e">
        <f t="shared" si="167"/>
        <v>#REF!</v>
      </c>
      <c r="E95" s="2021" t="e">
        <f t="shared" si="167"/>
        <v>#REF!</v>
      </c>
      <c r="G95" s="2021" t="e">
        <f t="shared" si="121"/>
        <v>#REF!</v>
      </c>
      <c r="H95" s="2021" t="e">
        <f t="shared" si="122"/>
        <v>#REF!</v>
      </c>
      <c r="I95" s="2021"/>
      <c r="J95" s="2021"/>
      <c r="K95" s="2021" t="e">
        <f>IF(#REF!=0,0,1)</f>
        <v>#REF!</v>
      </c>
      <c r="L95" s="2021" t="e">
        <f>IF(#REF!=0,0,1)</f>
        <v>#REF!</v>
      </c>
      <c r="M95" s="2021">
        <f t="shared" si="123"/>
        <v>0.2</v>
      </c>
      <c r="N95" s="2021">
        <f t="shared" si="124"/>
        <v>0</v>
      </c>
      <c r="P95" s="2214"/>
      <c r="Q95" s="2019"/>
      <c r="R95" s="993">
        <v>2</v>
      </c>
      <c r="S95" s="1655" t="s">
        <v>68</v>
      </c>
      <c r="T95" s="2036"/>
      <c r="U95" s="2017"/>
      <c r="V95" s="2038">
        <f t="shared" si="158"/>
        <v>0</v>
      </c>
      <c r="W95" s="2037">
        <f t="shared" si="159"/>
        <v>0</v>
      </c>
      <c r="Y95" s="1">
        <f t="shared" si="143"/>
        <v>0</v>
      </c>
      <c r="Z95" s="1">
        <f t="shared" si="144"/>
        <v>0</v>
      </c>
      <c r="AA95" s="1">
        <f t="shared" si="145"/>
        <v>0</v>
      </c>
      <c r="AB95" s="1">
        <f t="shared" si="146"/>
        <v>0</v>
      </c>
      <c r="AC95" s="1">
        <f t="shared" si="147"/>
        <v>0</v>
      </c>
      <c r="AD95" s="1">
        <f t="shared" si="148"/>
        <v>0</v>
      </c>
      <c r="AE95" s="1">
        <f t="shared" si="149"/>
        <v>0</v>
      </c>
      <c r="AF95" s="1">
        <f t="shared" si="150"/>
        <v>0</v>
      </c>
      <c r="AG95" s="1">
        <f t="shared" si="151"/>
        <v>0</v>
      </c>
      <c r="AH95" s="1">
        <f t="shared" si="152"/>
        <v>0</v>
      </c>
      <c r="AI95" s="1">
        <f t="shared" si="153"/>
        <v>0</v>
      </c>
      <c r="AJ95" s="1">
        <f t="shared" si="154"/>
        <v>0</v>
      </c>
      <c r="AK95" s="1">
        <f t="shared" si="155"/>
        <v>0</v>
      </c>
      <c r="AM95" s="1828"/>
      <c r="AN95" s="1828"/>
      <c r="AO95" s="1828"/>
      <c r="AP95" s="1828"/>
      <c r="AQ95" s="1828"/>
      <c r="AR95" s="1828"/>
      <c r="AS95" s="1828"/>
      <c r="AT95" s="1828"/>
      <c r="AU95" s="1828"/>
      <c r="AV95" s="1828"/>
      <c r="AW95" s="1828"/>
      <c r="AX95" s="1828"/>
      <c r="AY95" s="1828"/>
      <c r="BA95" s="2014"/>
      <c r="BB95" s="2014" t="e">
        <f t="shared" si="125"/>
        <v>#REF!</v>
      </c>
      <c r="BC95" s="2014"/>
      <c r="BD95" s="2013" t="e">
        <f>BR95*#REF!</f>
        <v>#REF!</v>
      </c>
      <c r="BE95" s="2013" t="e">
        <f>BS95*#REF!</f>
        <v>#REF!</v>
      </c>
      <c r="BF95" s="2013" t="e">
        <f>BT95*#REF!</f>
        <v>#REF!</v>
      </c>
      <c r="BG95" s="2013" t="e">
        <f>BU95*#REF!</f>
        <v>#REF!</v>
      </c>
      <c r="BH95" s="2094" t="e">
        <f>BV95*#REF!</f>
        <v>#REF!</v>
      </c>
      <c r="BI95" s="2013" t="e">
        <f>BW95*#REF!</f>
        <v>#REF!</v>
      </c>
      <c r="BJ95" s="2013" t="e">
        <f>BX95*#REF!</f>
        <v>#REF!</v>
      </c>
      <c r="BK95" s="2013" t="e">
        <f>BY95*#REF!</f>
        <v>#REF!</v>
      </c>
      <c r="BL95" s="2013" t="e">
        <f>BZ95*#REF!</f>
        <v>#REF!</v>
      </c>
      <c r="BM95" s="2013" t="e">
        <f>CA95*#REF!</f>
        <v>#REF!</v>
      </c>
      <c r="BO95" s="2040" t="str">
        <f t="shared" si="126"/>
        <v>2.4.2</v>
      </c>
      <c r="BP95" s="2040" t="str">
        <f t="shared" si="127"/>
        <v xml:space="preserve"> Q2 2.4</v>
      </c>
      <c r="BQ95" s="829" t="str">
        <f t="shared" si="128"/>
        <v>給排水・衛生設備</v>
      </c>
      <c r="BR95" s="2010">
        <f t="shared" si="129"/>
        <v>0.2</v>
      </c>
      <c r="BS95" s="2010">
        <f t="shared" si="130"/>
        <v>0.2</v>
      </c>
      <c r="BT95" s="2010">
        <f t="shared" si="131"/>
        <v>0.2</v>
      </c>
      <c r="BU95" s="2010">
        <f t="shared" si="132"/>
        <v>0.2</v>
      </c>
      <c r="BV95" s="2093">
        <f t="shared" si="133"/>
        <v>0.2</v>
      </c>
      <c r="BW95" s="2010">
        <f t="shared" si="134"/>
        <v>0.2</v>
      </c>
      <c r="BX95" s="2010">
        <f t="shared" si="135"/>
        <v>0.2</v>
      </c>
      <c r="BY95" s="2010">
        <f t="shared" si="136"/>
        <v>0.2</v>
      </c>
      <c r="BZ95" s="2010">
        <f t="shared" si="137"/>
        <v>0.2</v>
      </c>
      <c r="CA95" s="2010">
        <f t="shared" si="138"/>
        <v>0.2</v>
      </c>
      <c r="CB95" s="2039">
        <f t="shared" si="139"/>
        <v>0</v>
      </c>
      <c r="CC95" s="2010">
        <f t="shared" si="140"/>
        <v>0</v>
      </c>
      <c r="CD95" s="2010">
        <f t="shared" si="141"/>
        <v>0</v>
      </c>
      <c r="CF95" s="1207" t="s">
        <v>1736</v>
      </c>
      <c r="CG95" s="1211" t="s">
        <v>1734</v>
      </c>
      <c r="CH95" s="1208" t="s">
        <v>1737</v>
      </c>
      <c r="CI95" s="1209">
        <v>0.2</v>
      </c>
      <c r="CJ95" s="1209">
        <v>0.2</v>
      </c>
      <c r="CK95" s="1209">
        <v>0.2</v>
      </c>
      <c r="CL95" s="1209">
        <v>0.2</v>
      </c>
      <c r="CM95" s="1217">
        <v>0.2</v>
      </c>
      <c r="CN95" s="1209">
        <v>0.2</v>
      </c>
      <c r="CO95" s="1213">
        <v>0.2</v>
      </c>
      <c r="CP95" s="1209">
        <v>0.2</v>
      </c>
      <c r="CQ95" s="1209">
        <v>0.2</v>
      </c>
      <c r="CR95" s="1209">
        <v>0.2</v>
      </c>
      <c r="CS95" s="1214">
        <v>0</v>
      </c>
      <c r="CT95" s="1213">
        <v>0</v>
      </c>
      <c r="CU95" s="1213">
        <v>0</v>
      </c>
      <c r="CW95" s="1207" t="s">
        <v>1736</v>
      </c>
      <c r="CX95" s="1211" t="s">
        <v>1734</v>
      </c>
      <c r="CY95" s="1208" t="s">
        <v>1737</v>
      </c>
      <c r="CZ95" s="1213">
        <v>0.2</v>
      </c>
      <c r="DA95" s="1213">
        <v>0.2</v>
      </c>
      <c r="DB95" s="1213">
        <v>0.2</v>
      </c>
      <c r="DC95" s="1213">
        <v>0.2</v>
      </c>
      <c r="DD95" s="1220">
        <v>0.2</v>
      </c>
      <c r="DE95" s="1213">
        <v>0.2</v>
      </c>
      <c r="DF95" s="1213">
        <v>0.2</v>
      </c>
      <c r="DG95" s="1213">
        <v>0.2</v>
      </c>
      <c r="DH95" s="1213">
        <v>0.2</v>
      </c>
      <c r="DI95" s="1213">
        <v>0.2</v>
      </c>
      <c r="DJ95" s="1214"/>
      <c r="DK95" s="1213"/>
      <c r="DL95" s="1213"/>
      <c r="DN95" s="1207" t="s">
        <v>1736</v>
      </c>
      <c r="DO95" s="1211" t="s">
        <v>1734</v>
      </c>
      <c r="DP95" s="1208" t="s">
        <v>1737</v>
      </c>
      <c r="DQ95" s="1213">
        <v>0.2</v>
      </c>
      <c r="DR95" s="1213">
        <v>0.2</v>
      </c>
      <c r="DS95" s="1213">
        <v>0.2</v>
      </c>
      <c r="DT95" s="1213">
        <v>0.2</v>
      </c>
      <c r="DU95" s="1220">
        <v>0.2</v>
      </c>
      <c r="DV95" s="1213">
        <v>0.2</v>
      </c>
      <c r="DW95" s="1213">
        <v>0.2</v>
      </c>
      <c r="DX95" s="1213">
        <v>0.2</v>
      </c>
      <c r="DY95" s="1213">
        <v>0.2</v>
      </c>
      <c r="DZ95" s="1213">
        <v>0.2</v>
      </c>
      <c r="EA95" s="1214"/>
      <c r="EB95" s="1213"/>
      <c r="EC95" s="1213"/>
      <c r="ED95" s="1469"/>
      <c r="EF95" s="1207" t="s">
        <v>1736</v>
      </c>
      <c r="EG95" s="1211" t="s">
        <v>1734</v>
      </c>
      <c r="EH95" s="1208" t="s">
        <v>1737</v>
      </c>
      <c r="EI95" s="1689">
        <v>0</v>
      </c>
      <c r="EJ95" s="1689">
        <v>0</v>
      </c>
      <c r="EK95" s="1689">
        <v>0</v>
      </c>
      <c r="EL95" s="1689">
        <v>0</v>
      </c>
      <c r="EM95" s="1689">
        <v>0</v>
      </c>
      <c r="EN95" s="1689">
        <v>0</v>
      </c>
      <c r="EO95" s="1689">
        <v>0</v>
      </c>
      <c r="EP95" s="1689">
        <v>0</v>
      </c>
      <c r="EQ95" s="1689">
        <v>0</v>
      </c>
      <c r="ER95" s="1689">
        <v>0</v>
      </c>
      <c r="ES95" s="1691">
        <f t="shared" si="166"/>
        <v>0</v>
      </c>
      <c r="ET95" s="1689">
        <f t="shared" si="162"/>
        <v>0</v>
      </c>
      <c r="EU95" s="1689">
        <f t="shared" si="163"/>
        <v>0</v>
      </c>
      <c r="EW95" s="1207" t="s">
        <v>1736</v>
      </c>
      <c r="EX95" s="1211" t="s">
        <v>1734</v>
      </c>
      <c r="EY95" s="1208" t="s">
        <v>1737</v>
      </c>
      <c r="EZ95" s="1820">
        <v>0.15</v>
      </c>
      <c r="FA95" s="1678"/>
      <c r="FB95" s="1678"/>
      <c r="FC95" s="1678"/>
      <c r="FD95" s="1678"/>
      <c r="FE95" s="1678"/>
      <c r="FF95" s="1678"/>
      <c r="FG95" s="1678"/>
      <c r="FH95" s="1678"/>
      <c r="FI95" s="1678"/>
      <c r="FJ95" s="1795"/>
      <c r="FK95" s="1678"/>
      <c r="FL95" s="1678"/>
    </row>
    <row r="96" spans="2:168">
      <c r="B96" s="2023" t="str">
        <f t="shared" si="142"/>
        <v>2.4.3</v>
      </c>
      <c r="C96" s="829" t="str">
        <f t="shared" si="120"/>
        <v>電気設備</v>
      </c>
      <c r="D96" s="2100" t="e">
        <f t="shared" si="167"/>
        <v>#REF!</v>
      </c>
      <c r="E96" s="2021" t="e">
        <f t="shared" si="167"/>
        <v>#REF!</v>
      </c>
      <c r="G96" s="2021" t="e">
        <f t="shared" si="121"/>
        <v>#REF!</v>
      </c>
      <c r="H96" s="2021" t="e">
        <f t="shared" si="122"/>
        <v>#REF!</v>
      </c>
      <c r="I96" s="2021"/>
      <c r="J96" s="2021"/>
      <c r="K96" s="2021" t="e">
        <f>IF(#REF!=0,0,1)</f>
        <v>#REF!</v>
      </c>
      <c r="L96" s="2021" t="e">
        <f>IF(#REF!=0,0,1)</f>
        <v>#REF!</v>
      </c>
      <c r="M96" s="2021">
        <f t="shared" si="123"/>
        <v>0.2</v>
      </c>
      <c r="N96" s="2021">
        <f t="shared" si="124"/>
        <v>0</v>
      </c>
      <c r="P96" s="2214"/>
      <c r="Q96" s="2019"/>
      <c r="R96" s="993">
        <v>3</v>
      </c>
      <c r="S96" s="1655" t="s">
        <v>69</v>
      </c>
      <c r="T96" s="2036"/>
      <c r="U96" s="2017"/>
      <c r="V96" s="2038">
        <f t="shared" si="158"/>
        <v>0</v>
      </c>
      <c r="W96" s="2037">
        <f t="shared" si="159"/>
        <v>0</v>
      </c>
      <c r="Y96" s="1">
        <f t="shared" si="143"/>
        <v>0</v>
      </c>
      <c r="Z96" s="1">
        <f t="shared" si="144"/>
        <v>0</v>
      </c>
      <c r="AA96" s="1">
        <f t="shared" si="145"/>
        <v>0</v>
      </c>
      <c r="AB96" s="1">
        <f t="shared" si="146"/>
        <v>0</v>
      </c>
      <c r="AC96" s="1">
        <f t="shared" si="147"/>
        <v>0</v>
      </c>
      <c r="AD96" s="1">
        <f t="shared" si="148"/>
        <v>0</v>
      </c>
      <c r="AE96" s="1">
        <f t="shared" si="149"/>
        <v>0</v>
      </c>
      <c r="AF96" s="1">
        <f t="shared" si="150"/>
        <v>0</v>
      </c>
      <c r="AG96" s="1">
        <f t="shared" si="151"/>
        <v>0</v>
      </c>
      <c r="AH96" s="1">
        <f t="shared" si="152"/>
        <v>0</v>
      </c>
      <c r="AI96" s="1">
        <f t="shared" si="153"/>
        <v>0</v>
      </c>
      <c r="AJ96" s="1">
        <f t="shared" si="154"/>
        <v>0</v>
      </c>
      <c r="AK96" s="1">
        <f t="shared" si="155"/>
        <v>0</v>
      </c>
      <c r="AM96" s="1828"/>
      <c r="AN96" s="1828"/>
      <c r="AO96" s="1828"/>
      <c r="AP96" s="1828"/>
      <c r="AQ96" s="1828"/>
      <c r="AR96" s="1828"/>
      <c r="AS96" s="1828"/>
      <c r="AT96" s="1828"/>
      <c r="AU96" s="1828"/>
      <c r="AV96" s="1828"/>
      <c r="AW96" s="1828"/>
      <c r="AX96" s="1828"/>
      <c r="AY96" s="1828"/>
      <c r="BA96" s="2014"/>
      <c r="BB96" s="2014" t="e">
        <f t="shared" si="125"/>
        <v>#REF!</v>
      </c>
      <c r="BC96" s="2014"/>
      <c r="BD96" s="2013" t="e">
        <f>BR96*#REF!</f>
        <v>#REF!</v>
      </c>
      <c r="BE96" s="2013" t="e">
        <f>BS96*#REF!</f>
        <v>#REF!</v>
      </c>
      <c r="BF96" s="2013" t="e">
        <f>BT96*#REF!</f>
        <v>#REF!</v>
      </c>
      <c r="BG96" s="2013" t="e">
        <f>BU96*#REF!</f>
        <v>#REF!</v>
      </c>
      <c r="BH96" s="2094" t="e">
        <f>BV96*#REF!</f>
        <v>#REF!</v>
      </c>
      <c r="BI96" s="2013" t="e">
        <f>BW96*#REF!</f>
        <v>#REF!</v>
      </c>
      <c r="BJ96" s="2013" t="e">
        <f>BX96*#REF!</f>
        <v>#REF!</v>
      </c>
      <c r="BK96" s="2013" t="e">
        <f>BY96*#REF!</f>
        <v>#REF!</v>
      </c>
      <c r="BL96" s="2013" t="e">
        <f>BZ96*#REF!</f>
        <v>#REF!</v>
      </c>
      <c r="BM96" s="2013" t="e">
        <f>CA96*#REF!</f>
        <v>#REF!</v>
      </c>
      <c r="BO96" s="2040" t="str">
        <f t="shared" si="126"/>
        <v>2.4.3</v>
      </c>
      <c r="BP96" s="2040" t="str">
        <f t="shared" si="127"/>
        <v xml:space="preserve"> Q2 2.4</v>
      </c>
      <c r="BQ96" s="829" t="str">
        <f t="shared" si="128"/>
        <v>電気設備</v>
      </c>
      <c r="BR96" s="2010">
        <f t="shared" si="129"/>
        <v>0.2</v>
      </c>
      <c r="BS96" s="2010">
        <f t="shared" si="130"/>
        <v>0.2</v>
      </c>
      <c r="BT96" s="2010">
        <f t="shared" si="131"/>
        <v>0.2</v>
      </c>
      <c r="BU96" s="2010">
        <f t="shared" si="132"/>
        <v>0.2</v>
      </c>
      <c r="BV96" s="2093">
        <f t="shared" si="133"/>
        <v>0.2</v>
      </c>
      <c r="BW96" s="2010">
        <f t="shared" si="134"/>
        <v>0.2</v>
      </c>
      <c r="BX96" s="2010">
        <f t="shared" si="135"/>
        <v>0.2</v>
      </c>
      <c r="BY96" s="2010">
        <f t="shared" si="136"/>
        <v>0.2</v>
      </c>
      <c r="BZ96" s="2010">
        <f t="shared" si="137"/>
        <v>0.2</v>
      </c>
      <c r="CA96" s="2010">
        <f t="shared" si="138"/>
        <v>0.2</v>
      </c>
      <c r="CB96" s="2039">
        <f t="shared" si="139"/>
        <v>0</v>
      </c>
      <c r="CC96" s="2010">
        <f t="shared" si="140"/>
        <v>0</v>
      </c>
      <c r="CD96" s="2010">
        <f t="shared" si="141"/>
        <v>0</v>
      </c>
      <c r="CF96" s="1207" t="s">
        <v>1738</v>
      </c>
      <c r="CG96" s="1211" t="s">
        <v>1734</v>
      </c>
      <c r="CH96" s="1208" t="s">
        <v>1739</v>
      </c>
      <c r="CI96" s="1209">
        <v>0.2</v>
      </c>
      <c r="CJ96" s="1209">
        <v>0.2</v>
      </c>
      <c r="CK96" s="1209">
        <v>0.2</v>
      </c>
      <c r="CL96" s="1209">
        <v>0.2</v>
      </c>
      <c r="CM96" s="1217">
        <v>0.2</v>
      </c>
      <c r="CN96" s="1209">
        <v>0.2</v>
      </c>
      <c r="CO96" s="1213">
        <v>0.2</v>
      </c>
      <c r="CP96" s="1209">
        <v>0.2</v>
      </c>
      <c r="CQ96" s="1209">
        <v>0.2</v>
      </c>
      <c r="CR96" s="1209">
        <v>0.2</v>
      </c>
      <c r="CS96" s="1214">
        <v>0</v>
      </c>
      <c r="CT96" s="1213">
        <v>0</v>
      </c>
      <c r="CU96" s="1213">
        <v>0</v>
      </c>
      <c r="CW96" s="1207" t="s">
        <v>1738</v>
      </c>
      <c r="CX96" s="1211" t="s">
        <v>1734</v>
      </c>
      <c r="CY96" s="1208" t="s">
        <v>1739</v>
      </c>
      <c r="CZ96" s="1213">
        <v>0.2</v>
      </c>
      <c r="DA96" s="1213">
        <v>0.2</v>
      </c>
      <c r="DB96" s="1213">
        <v>0.2</v>
      </c>
      <c r="DC96" s="1213">
        <v>0.2</v>
      </c>
      <c r="DD96" s="1220">
        <v>0.2</v>
      </c>
      <c r="DE96" s="1213">
        <v>0.2</v>
      </c>
      <c r="DF96" s="1213">
        <v>0.2</v>
      </c>
      <c r="DG96" s="1213">
        <v>0.2</v>
      </c>
      <c r="DH96" s="1213">
        <v>0.2</v>
      </c>
      <c r="DI96" s="1213">
        <v>0.2</v>
      </c>
      <c r="DJ96" s="1214"/>
      <c r="DK96" s="1213"/>
      <c r="DL96" s="1213"/>
      <c r="DN96" s="1207" t="s">
        <v>1738</v>
      </c>
      <c r="DO96" s="1211" t="s">
        <v>1734</v>
      </c>
      <c r="DP96" s="1208" t="s">
        <v>1739</v>
      </c>
      <c r="DQ96" s="1213">
        <v>0.2</v>
      </c>
      <c r="DR96" s="1213">
        <v>0.2</v>
      </c>
      <c r="DS96" s="1213">
        <v>0.2</v>
      </c>
      <c r="DT96" s="1213">
        <v>0.2</v>
      </c>
      <c r="DU96" s="1220">
        <v>0.2</v>
      </c>
      <c r="DV96" s="1213">
        <v>0.2</v>
      </c>
      <c r="DW96" s="1213">
        <v>0.2</v>
      </c>
      <c r="DX96" s="1213">
        <v>0.2</v>
      </c>
      <c r="DY96" s="1213">
        <v>0.2</v>
      </c>
      <c r="DZ96" s="1213">
        <v>0.2</v>
      </c>
      <c r="EA96" s="1214"/>
      <c r="EB96" s="1213"/>
      <c r="EC96" s="1213"/>
      <c r="ED96" s="1469"/>
      <c r="EF96" s="1207" t="s">
        <v>1738</v>
      </c>
      <c r="EG96" s="1211" t="s">
        <v>1734</v>
      </c>
      <c r="EH96" s="1208" t="s">
        <v>1739</v>
      </c>
      <c r="EI96" s="1689">
        <v>0</v>
      </c>
      <c r="EJ96" s="1689">
        <v>0</v>
      </c>
      <c r="EK96" s="1689">
        <v>0</v>
      </c>
      <c r="EL96" s="1689">
        <v>0</v>
      </c>
      <c r="EM96" s="1689">
        <v>0</v>
      </c>
      <c r="EN96" s="1689">
        <v>0</v>
      </c>
      <c r="EO96" s="1689">
        <v>0</v>
      </c>
      <c r="EP96" s="1689">
        <v>0</v>
      </c>
      <c r="EQ96" s="1689">
        <v>0</v>
      </c>
      <c r="ER96" s="1689">
        <v>0</v>
      </c>
      <c r="ES96" s="1691">
        <f t="shared" si="166"/>
        <v>0</v>
      </c>
      <c r="ET96" s="1689">
        <f t="shared" si="162"/>
        <v>0</v>
      </c>
      <c r="EU96" s="1689">
        <f t="shared" si="163"/>
        <v>0</v>
      </c>
      <c r="EW96" s="1207" t="s">
        <v>1738</v>
      </c>
      <c r="EX96" s="1211" t="s">
        <v>1734</v>
      </c>
      <c r="EY96" s="1208" t="s">
        <v>1739</v>
      </c>
      <c r="EZ96" s="1820">
        <v>0.25</v>
      </c>
      <c r="FA96" s="1678"/>
      <c r="FB96" s="1678"/>
      <c r="FC96" s="1678"/>
      <c r="FD96" s="1678"/>
      <c r="FE96" s="1678"/>
      <c r="FF96" s="1678"/>
      <c r="FG96" s="1678"/>
      <c r="FH96" s="1678"/>
      <c r="FI96" s="1678"/>
      <c r="FJ96" s="1795"/>
      <c r="FK96" s="1678"/>
      <c r="FL96" s="1678"/>
    </row>
    <row r="97" spans="2:168">
      <c r="B97" s="2023" t="str">
        <f t="shared" si="142"/>
        <v>2.4.4</v>
      </c>
      <c r="C97" s="829" t="str">
        <f t="shared" si="120"/>
        <v>機械・配管支持方法</v>
      </c>
      <c r="D97" s="2100" t="e">
        <f t="shared" si="167"/>
        <v>#REF!</v>
      </c>
      <c r="E97" s="2021" t="e">
        <f t="shared" si="167"/>
        <v>#REF!</v>
      </c>
      <c r="G97" s="2021" t="e">
        <f t="shared" si="121"/>
        <v>#REF!</v>
      </c>
      <c r="H97" s="2021" t="e">
        <f t="shared" si="122"/>
        <v>#REF!</v>
      </c>
      <c r="I97" s="2021"/>
      <c r="J97" s="2021"/>
      <c r="K97" s="2021" t="e">
        <f>IF(#REF!=0,0,1)</f>
        <v>#REF!</v>
      </c>
      <c r="L97" s="2021" t="e">
        <f>IF(#REF!=0,0,1)</f>
        <v>#REF!</v>
      </c>
      <c r="M97" s="2021">
        <f t="shared" si="123"/>
        <v>0.2</v>
      </c>
      <c r="N97" s="2021">
        <f t="shared" si="124"/>
        <v>0</v>
      </c>
      <c r="P97" s="2214"/>
      <c r="Q97" s="2019"/>
      <c r="R97" s="993">
        <v>4</v>
      </c>
      <c r="S97" s="1655" t="s">
        <v>1031</v>
      </c>
      <c r="T97" s="2036"/>
      <c r="U97" s="2017"/>
      <c r="V97" s="2038">
        <f t="shared" si="158"/>
        <v>0</v>
      </c>
      <c r="W97" s="2037">
        <f t="shared" si="159"/>
        <v>0</v>
      </c>
      <c r="Y97" s="1">
        <f t="shared" si="143"/>
        <v>0</v>
      </c>
      <c r="Z97" s="1">
        <f t="shared" si="144"/>
        <v>0</v>
      </c>
      <c r="AA97" s="1">
        <f t="shared" si="145"/>
        <v>0</v>
      </c>
      <c r="AB97" s="1">
        <f t="shared" si="146"/>
        <v>0</v>
      </c>
      <c r="AC97" s="1">
        <f t="shared" si="147"/>
        <v>0</v>
      </c>
      <c r="AD97" s="1">
        <f t="shared" si="148"/>
        <v>0</v>
      </c>
      <c r="AE97" s="1">
        <f t="shared" si="149"/>
        <v>0</v>
      </c>
      <c r="AF97" s="1">
        <f t="shared" si="150"/>
        <v>0</v>
      </c>
      <c r="AG97" s="1">
        <f t="shared" si="151"/>
        <v>0</v>
      </c>
      <c r="AH97" s="1">
        <f t="shared" si="152"/>
        <v>0</v>
      </c>
      <c r="AI97" s="1">
        <f t="shared" si="153"/>
        <v>0</v>
      </c>
      <c r="AJ97" s="1">
        <f t="shared" si="154"/>
        <v>0</v>
      </c>
      <c r="AK97" s="1">
        <f t="shared" si="155"/>
        <v>0</v>
      </c>
      <c r="AM97" s="1828"/>
      <c r="AN97" s="1828"/>
      <c r="AO97" s="1828"/>
      <c r="AP97" s="1828"/>
      <c r="AQ97" s="1828"/>
      <c r="AR97" s="1828"/>
      <c r="AS97" s="1828"/>
      <c r="AT97" s="1828"/>
      <c r="AU97" s="1828"/>
      <c r="AV97" s="1828"/>
      <c r="AW97" s="1828"/>
      <c r="AX97" s="1828"/>
      <c r="AY97" s="1828"/>
      <c r="BA97" s="2014"/>
      <c r="BB97" s="2014" t="e">
        <f t="shared" si="125"/>
        <v>#REF!</v>
      </c>
      <c r="BC97" s="2014"/>
      <c r="BD97" s="2013" t="e">
        <f>BR97*#REF!</f>
        <v>#REF!</v>
      </c>
      <c r="BE97" s="2013" t="e">
        <f>BS97*#REF!</f>
        <v>#REF!</v>
      </c>
      <c r="BF97" s="2013" t="e">
        <f>BT97*#REF!</f>
        <v>#REF!</v>
      </c>
      <c r="BG97" s="2013" t="e">
        <f>BU97*#REF!</f>
        <v>#REF!</v>
      </c>
      <c r="BH97" s="2094" t="e">
        <f>BV97*#REF!</f>
        <v>#REF!</v>
      </c>
      <c r="BI97" s="2013" t="e">
        <f>BW97*#REF!</f>
        <v>#REF!</v>
      </c>
      <c r="BJ97" s="2013" t="e">
        <f>BX97*#REF!</f>
        <v>#REF!</v>
      </c>
      <c r="BK97" s="2013" t="e">
        <f>BY97*#REF!</f>
        <v>#REF!</v>
      </c>
      <c r="BL97" s="2013" t="e">
        <f>BZ97*#REF!</f>
        <v>#REF!</v>
      </c>
      <c r="BM97" s="2013" t="e">
        <f>CA97*#REF!</f>
        <v>#REF!</v>
      </c>
      <c r="BO97" s="2040" t="str">
        <f t="shared" si="126"/>
        <v>2.4.4</v>
      </c>
      <c r="BP97" s="2040" t="str">
        <f t="shared" si="127"/>
        <v xml:space="preserve"> Q2 2.4</v>
      </c>
      <c r="BQ97" s="829" t="str">
        <f t="shared" si="128"/>
        <v>機械・配管支持方法</v>
      </c>
      <c r="BR97" s="2010">
        <f t="shared" si="129"/>
        <v>0.2</v>
      </c>
      <c r="BS97" s="2010">
        <f t="shared" si="130"/>
        <v>0.2</v>
      </c>
      <c r="BT97" s="2010">
        <f t="shared" si="131"/>
        <v>0.2</v>
      </c>
      <c r="BU97" s="2010">
        <f t="shared" si="132"/>
        <v>0.2</v>
      </c>
      <c r="BV97" s="2093">
        <f t="shared" si="133"/>
        <v>0.2</v>
      </c>
      <c r="BW97" s="2010">
        <f t="shared" si="134"/>
        <v>0.2</v>
      </c>
      <c r="BX97" s="2010">
        <f t="shared" si="135"/>
        <v>0.2</v>
      </c>
      <c r="BY97" s="2010">
        <f t="shared" si="136"/>
        <v>0.2</v>
      </c>
      <c r="BZ97" s="2010">
        <f t="shared" si="137"/>
        <v>0.2</v>
      </c>
      <c r="CA97" s="2010">
        <f t="shared" si="138"/>
        <v>0.2</v>
      </c>
      <c r="CB97" s="2039">
        <f t="shared" si="139"/>
        <v>0</v>
      </c>
      <c r="CC97" s="2010">
        <f t="shared" si="140"/>
        <v>0</v>
      </c>
      <c r="CD97" s="2010">
        <f t="shared" si="141"/>
        <v>0</v>
      </c>
      <c r="CF97" s="1207" t="s">
        <v>1740</v>
      </c>
      <c r="CG97" s="1211" t="s">
        <v>1734</v>
      </c>
      <c r="CH97" s="1208" t="s">
        <v>1741</v>
      </c>
      <c r="CI97" s="1209">
        <v>0.2</v>
      </c>
      <c r="CJ97" s="1209">
        <v>0.2</v>
      </c>
      <c r="CK97" s="1209">
        <v>0.2</v>
      </c>
      <c r="CL97" s="1209">
        <v>0.2</v>
      </c>
      <c r="CM97" s="1217">
        <v>0.2</v>
      </c>
      <c r="CN97" s="1209">
        <v>0.2</v>
      </c>
      <c r="CO97" s="1213">
        <v>0.2</v>
      </c>
      <c r="CP97" s="1209">
        <v>0.2</v>
      </c>
      <c r="CQ97" s="1209">
        <v>0.2</v>
      </c>
      <c r="CR97" s="1209">
        <v>0.2</v>
      </c>
      <c r="CS97" s="1214">
        <v>0</v>
      </c>
      <c r="CT97" s="1213">
        <v>0</v>
      </c>
      <c r="CU97" s="1213">
        <v>0</v>
      </c>
      <c r="CW97" s="1207" t="s">
        <v>1740</v>
      </c>
      <c r="CX97" s="1211" t="s">
        <v>1734</v>
      </c>
      <c r="CY97" s="1208" t="s">
        <v>1741</v>
      </c>
      <c r="CZ97" s="1213">
        <v>0.2</v>
      </c>
      <c r="DA97" s="1213">
        <v>0.2</v>
      </c>
      <c r="DB97" s="1213">
        <v>0.2</v>
      </c>
      <c r="DC97" s="1213">
        <v>0.2</v>
      </c>
      <c r="DD97" s="1220">
        <v>0.2</v>
      </c>
      <c r="DE97" s="1213">
        <v>0.2</v>
      </c>
      <c r="DF97" s="1213">
        <v>0.2</v>
      </c>
      <c r="DG97" s="1213">
        <v>0.2</v>
      </c>
      <c r="DH97" s="1213">
        <v>0.2</v>
      </c>
      <c r="DI97" s="1213">
        <v>0.2</v>
      </c>
      <c r="DJ97" s="1214"/>
      <c r="DK97" s="1213"/>
      <c r="DL97" s="1213"/>
      <c r="DN97" s="1207" t="s">
        <v>1740</v>
      </c>
      <c r="DO97" s="1211" t="s">
        <v>1734</v>
      </c>
      <c r="DP97" s="1208" t="s">
        <v>1741</v>
      </c>
      <c r="DQ97" s="1213">
        <v>0.2</v>
      </c>
      <c r="DR97" s="1213">
        <v>0.2</v>
      </c>
      <c r="DS97" s="1213">
        <v>0.2</v>
      </c>
      <c r="DT97" s="1213">
        <v>0.2</v>
      </c>
      <c r="DU97" s="1220">
        <v>0.2</v>
      </c>
      <c r="DV97" s="1213">
        <v>0.2</v>
      </c>
      <c r="DW97" s="1213">
        <v>0.2</v>
      </c>
      <c r="DX97" s="1213">
        <v>0.2</v>
      </c>
      <c r="DY97" s="1213">
        <v>0.2</v>
      </c>
      <c r="DZ97" s="1213">
        <v>0.2</v>
      </c>
      <c r="EA97" s="1214"/>
      <c r="EB97" s="1213"/>
      <c r="EC97" s="1213"/>
      <c r="ED97" s="1469"/>
      <c r="EF97" s="1207" t="s">
        <v>1740</v>
      </c>
      <c r="EG97" s="1211" t="s">
        <v>1734</v>
      </c>
      <c r="EH97" s="1208" t="s">
        <v>1741</v>
      </c>
      <c r="EI97" s="1678">
        <v>1</v>
      </c>
      <c r="EJ97" s="1678">
        <v>1</v>
      </c>
      <c r="EK97" s="1678">
        <v>1</v>
      </c>
      <c r="EL97" s="1678">
        <v>1</v>
      </c>
      <c r="EM97" s="1678">
        <v>1</v>
      </c>
      <c r="EN97" s="1678">
        <v>1</v>
      </c>
      <c r="EO97" s="1678">
        <v>1</v>
      </c>
      <c r="EP97" s="1678">
        <v>1</v>
      </c>
      <c r="EQ97" s="1678">
        <v>1</v>
      </c>
      <c r="ER97" s="1678">
        <v>1</v>
      </c>
      <c r="ES97" s="1691">
        <f t="shared" si="166"/>
        <v>0</v>
      </c>
      <c r="ET97" s="1689">
        <f t="shared" si="162"/>
        <v>0</v>
      </c>
      <c r="EU97" s="1689">
        <f t="shared" si="163"/>
        <v>0</v>
      </c>
      <c r="EW97" s="1207" t="s">
        <v>1740</v>
      </c>
      <c r="EX97" s="1211" t="s">
        <v>1734</v>
      </c>
      <c r="EY97" s="1208" t="s">
        <v>1741</v>
      </c>
      <c r="EZ97" s="1820">
        <v>0.2</v>
      </c>
      <c r="FA97" s="1678"/>
      <c r="FB97" s="1678"/>
      <c r="FC97" s="1678"/>
      <c r="FD97" s="1678"/>
      <c r="FE97" s="1678"/>
      <c r="FF97" s="1678"/>
      <c r="FG97" s="1678"/>
      <c r="FH97" s="1678"/>
      <c r="FI97" s="1678"/>
      <c r="FJ97" s="1795"/>
      <c r="FK97" s="1678"/>
      <c r="FL97" s="1678"/>
    </row>
    <row r="98" spans="2:168" ht="14.25" thickBot="1">
      <c r="B98" s="2023" t="str">
        <f t="shared" si="142"/>
        <v>2.4.5</v>
      </c>
      <c r="C98" s="829" t="str">
        <f t="shared" si="120"/>
        <v>通信・情報設備</v>
      </c>
      <c r="D98" s="2100" t="e">
        <f t="shared" si="167"/>
        <v>#REF!</v>
      </c>
      <c r="E98" s="2021" t="e">
        <f t="shared" si="167"/>
        <v>#REF!</v>
      </c>
      <c r="G98" s="2021" t="e">
        <f t="shared" si="121"/>
        <v>#REF!</v>
      </c>
      <c r="H98" s="2021" t="e">
        <f t="shared" si="122"/>
        <v>#REF!</v>
      </c>
      <c r="I98" s="2021"/>
      <c r="J98" s="2021"/>
      <c r="K98" s="2021" t="e">
        <f>IF(#REF!=0,0,1)</f>
        <v>#REF!</v>
      </c>
      <c r="L98" s="2021" t="e">
        <f>IF(#REF!=0,0,1)</f>
        <v>#REF!</v>
      </c>
      <c r="M98" s="2021">
        <f t="shared" si="123"/>
        <v>0.2</v>
      </c>
      <c r="N98" s="2021">
        <f t="shared" si="124"/>
        <v>0</v>
      </c>
      <c r="P98" s="2215"/>
      <c r="Q98" s="2067"/>
      <c r="R98" s="993">
        <v>5</v>
      </c>
      <c r="S98" s="1655" t="s">
        <v>1032</v>
      </c>
      <c r="T98" s="2036"/>
      <c r="U98" s="2017"/>
      <c r="V98" s="2038">
        <f t="shared" si="158"/>
        <v>0</v>
      </c>
      <c r="W98" s="2037">
        <f t="shared" si="159"/>
        <v>0</v>
      </c>
      <c r="Y98" s="1">
        <f t="shared" si="143"/>
        <v>0</v>
      </c>
      <c r="Z98" s="1">
        <f t="shared" si="144"/>
        <v>0</v>
      </c>
      <c r="AA98" s="1">
        <f t="shared" si="145"/>
        <v>0</v>
      </c>
      <c r="AB98" s="1">
        <f t="shared" si="146"/>
        <v>0</v>
      </c>
      <c r="AC98" s="1">
        <f t="shared" si="147"/>
        <v>0</v>
      </c>
      <c r="AD98" s="1">
        <f t="shared" si="148"/>
        <v>0</v>
      </c>
      <c r="AE98" s="1">
        <f t="shared" si="149"/>
        <v>0</v>
      </c>
      <c r="AF98" s="1">
        <f t="shared" si="150"/>
        <v>0</v>
      </c>
      <c r="AG98" s="1">
        <f t="shared" si="151"/>
        <v>0</v>
      </c>
      <c r="AH98" s="1">
        <f t="shared" si="152"/>
        <v>0</v>
      </c>
      <c r="AI98" s="1">
        <f t="shared" si="153"/>
        <v>0</v>
      </c>
      <c r="AJ98" s="1">
        <f t="shared" si="154"/>
        <v>0</v>
      </c>
      <c r="AK98" s="1">
        <f t="shared" si="155"/>
        <v>0</v>
      </c>
      <c r="AM98" s="1831"/>
      <c r="AN98" s="1831"/>
      <c r="AO98" s="1831"/>
      <c r="AP98" s="1831"/>
      <c r="AQ98" s="1831"/>
      <c r="AR98" s="1831"/>
      <c r="AS98" s="1831"/>
      <c r="AT98" s="1831"/>
      <c r="AU98" s="1831"/>
      <c r="AV98" s="1831"/>
      <c r="AW98" s="1831"/>
      <c r="AX98" s="1831"/>
      <c r="AY98" s="1831"/>
      <c r="BA98" s="2014"/>
      <c r="BB98" s="2014" t="e">
        <f t="shared" si="125"/>
        <v>#REF!</v>
      </c>
      <c r="BC98" s="2014"/>
      <c r="BD98" s="2013" t="e">
        <f>BR98*#REF!</f>
        <v>#REF!</v>
      </c>
      <c r="BE98" s="2013" t="e">
        <f>BS98*#REF!</f>
        <v>#REF!</v>
      </c>
      <c r="BF98" s="2013" t="e">
        <f>BT98*#REF!</f>
        <v>#REF!</v>
      </c>
      <c r="BG98" s="2013" t="e">
        <f>BU98*#REF!</f>
        <v>#REF!</v>
      </c>
      <c r="BH98" s="2094" t="e">
        <f>BV98*#REF!</f>
        <v>#REF!</v>
      </c>
      <c r="BI98" s="2013" t="e">
        <f>BW98*#REF!</f>
        <v>#REF!</v>
      </c>
      <c r="BJ98" s="2013" t="e">
        <f>BX98*#REF!</f>
        <v>#REF!</v>
      </c>
      <c r="BK98" s="2013" t="e">
        <f>BY98*#REF!</f>
        <v>#REF!</v>
      </c>
      <c r="BL98" s="2013" t="e">
        <f>BZ98*#REF!</f>
        <v>#REF!</v>
      </c>
      <c r="BM98" s="2013" t="e">
        <f>CA98*#REF!</f>
        <v>#REF!</v>
      </c>
      <c r="BO98" s="2040" t="str">
        <f t="shared" si="126"/>
        <v>2.4.5</v>
      </c>
      <c r="BP98" s="2040" t="str">
        <f t="shared" si="127"/>
        <v xml:space="preserve"> Q2 2.4</v>
      </c>
      <c r="BQ98" s="829" t="str">
        <f t="shared" si="128"/>
        <v>通信・情報設備</v>
      </c>
      <c r="BR98" s="2010">
        <f t="shared" si="129"/>
        <v>0.2</v>
      </c>
      <c r="BS98" s="2010">
        <f t="shared" si="130"/>
        <v>0.2</v>
      </c>
      <c r="BT98" s="2010">
        <f t="shared" si="131"/>
        <v>0.2</v>
      </c>
      <c r="BU98" s="2010">
        <f t="shared" si="132"/>
        <v>0.2</v>
      </c>
      <c r="BV98" s="2093">
        <f t="shared" si="133"/>
        <v>0.2</v>
      </c>
      <c r="BW98" s="2010">
        <f t="shared" si="134"/>
        <v>0.2</v>
      </c>
      <c r="BX98" s="2010">
        <f t="shared" si="135"/>
        <v>0.2</v>
      </c>
      <c r="BY98" s="2010">
        <f t="shared" si="136"/>
        <v>0.2</v>
      </c>
      <c r="BZ98" s="2010">
        <f t="shared" si="137"/>
        <v>0.2</v>
      </c>
      <c r="CA98" s="2010">
        <f t="shared" si="138"/>
        <v>0.2</v>
      </c>
      <c r="CB98" s="2039">
        <f t="shared" si="139"/>
        <v>0</v>
      </c>
      <c r="CC98" s="2010">
        <f t="shared" si="140"/>
        <v>0</v>
      </c>
      <c r="CD98" s="2010">
        <f t="shared" si="141"/>
        <v>0</v>
      </c>
      <c r="CF98" s="1207" t="s">
        <v>1742</v>
      </c>
      <c r="CG98" s="1211" t="s">
        <v>1734</v>
      </c>
      <c r="CH98" s="1208" t="s">
        <v>1743</v>
      </c>
      <c r="CI98" s="1209">
        <v>0.2</v>
      </c>
      <c r="CJ98" s="1209">
        <v>0.2</v>
      </c>
      <c r="CK98" s="1209">
        <v>0.2</v>
      </c>
      <c r="CL98" s="1209">
        <v>0.2</v>
      </c>
      <c r="CM98" s="1217">
        <v>0.2</v>
      </c>
      <c r="CN98" s="1209">
        <v>0.2</v>
      </c>
      <c r="CO98" s="1213">
        <v>0.2</v>
      </c>
      <c r="CP98" s="1209">
        <v>0.2</v>
      </c>
      <c r="CQ98" s="1209">
        <v>0.2</v>
      </c>
      <c r="CR98" s="1209">
        <v>0.2</v>
      </c>
      <c r="CS98" s="1214">
        <v>0</v>
      </c>
      <c r="CT98" s="1213">
        <v>0</v>
      </c>
      <c r="CU98" s="1213">
        <v>0</v>
      </c>
      <c r="CW98" s="1207" t="s">
        <v>1742</v>
      </c>
      <c r="CX98" s="1211" t="s">
        <v>1734</v>
      </c>
      <c r="CY98" s="1208" t="s">
        <v>1743</v>
      </c>
      <c r="CZ98" s="1213">
        <v>0.2</v>
      </c>
      <c r="DA98" s="1213">
        <v>0.2</v>
      </c>
      <c r="DB98" s="1213">
        <v>0.2</v>
      </c>
      <c r="DC98" s="1213">
        <v>0.2</v>
      </c>
      <c r="DD98" s="1220">
        <v>0.2</v>
      </c>
      <c r="DE98" s="1213">
        <v>0.2</v>
      </c>
      <c r="DF98" s="1213">
        <v>0.2</v>
      </c>
      <c r="DG98" s="1213">
        <v>0.2</v>
      </c>
      <c r="DH98" s="1213">
        <v>0.2</v>
      </c>
      <c r="DI98" s="1213">
        <v>0.2</v>
      </c>
      <c r="DJ98" s="1214"/>
      <c r="DK98" s="1213"/>
      <c r="DL98" s="1213"/>
      <c r="DN98" s="1207" t="s">
        <v>1742</v>
      </c>
      <c r="DO98" s="1211" t="s">
        <v>1734</v>
      </c>
      <c r="DP98" s="1208" t="s">
        <v>1743</v>
      </c>
      <c r="DQ98" s="1213">
        <v>0.2</v>
      </c>
      <c r="DR98" s="1213">
        <v>0.2</v>
      </c>
      <c r="DS98" s="1213">
        <v>0.2</v>
      </c>
      <c r="DT98" s="1213">
        <v>0.2</v>
      </c>
      <c r="DU98" s="1220">
        <v>0.2</v>
      </c>
      <c r="DV98" s="1213">
        <v>0.2</v>
      </c>
      <c r="DW98" s="1213">
        <v>0.2</v>
      </c>
      <c r="DX98" s="1213">
        <v>0.2</v>
      </c>
      <c r="DY98" s="1213">
        <v>0.2</v>
      </c>
      <c r="DZ98" s="1213">
        <v>0.2</v>
      </c>
      <c r="EA98" s="1214"/>
      <c r="EB98" s="1213"/>
      <c r="EC98" s="1213"/>
      <c r="ED98" s="1469"/>
      <c r="EF98" s="1207" t="s">
        <v>1742</v>
      </c>
      <c r="EG98" s="1211" t="s">
        <v>1734</v>
      </c>
      <c r="EH98" s="1208" t="s">
        <v>1743</v>
      </c>
      <c r="EI98" s="1689">
        <v>0</v>
      </c>
      <c r="EJ98" s="1689">
        <v>0</v>
      </c>
      <c r="EK98" s="1689">
        <v>0</v>
      </c>
      <c r="EL98" s="1689">
        <v>0</v>
      </c>
      <c r="EM98" s="1689">
        <v>0</v>
      </c>
      <c r="EN98" s="1689">
        <v>0</v>
      </c>
      <c r="EO98" s="1689">
        <v>0</v>
      </c>
      <c r="EP98" s="1689">
        <v>0</v>
      </c>
      <c r="EQ98" s="1689">
        <v>0</v>
      </c>
      <c r="ER98" s="1689">
        <v>0</v>
      </c>
      <c r="ES98" s="1691">
        <f t="shared" si="166"/>
        <v>0</v>
      </c>
      <c r="ET98" s="1689">
        <f t="shared" si="162"/>
        <v>0</v>
      </c>
      <c r="EU98" s="1689">
        <f t="shared" si="163"/>
        <v>0</v>
      </c>
      <c r="EW98" s="1207" t="s">
        <v>1742</v>
      </c>
      <c r="EX98" s="1211" t="s">
        <v>1734</v>
      </c>
      <c r="EY98" s="1208" t="s">
        <v>1743</v>
      </c>
      <c r="EZ98" s="1820">
        <v>0.25</v>
      </c>
      <c r="FA98" s="1678"/>
      <c r="FB98" s="1678"/>
      <c r="FC98" s="1678"/>
      <c r="FD98" s="1678"/>
      <c r="FE98" s="1678"/>
      <c r="FF98" s="1678"/>
      <c r="FG98" s="1678"/>
      <c r="FH98" s="1678"/>
      <c r="FI98" s="1678"/>
      <c r="FJ98" s="1795"/>
      <c r="FK98" s="1678"/>
      <c r="FL98" s="1678"/>
    </row>
    <row r="99" spans="2:168" ht="14.25" hidden="1" thickBot="1">
      <c r="B99" s="2023">
        <f t="shared" si="142"/>
        <v>0</v>
      </c>
      <c r="C99" s="829">
        <f t="shared" si="120"/>
        <v>0</v>
      </c>
      <c r="D99" s="2100"/>
      <c r="E99" s="2021"/>
      <c r="G99" s="2021">
        <f t="shared" si="121"/>
        <v>0</v>
      </c>
      <c r="H99" s="2021">
        <f t="shared" si="122"/>
        <v>0</v>
      </c>
      <c r="I99" s="2021"/>
      <c r="J99" s="2021"/>
      <c r="K99" s="2021"/>
      <c r="L99" s="2021"/>
      <c r="M99" s="2021">
        <f t="shared" si="123"/>
        <v>0</v>
      </c>
      <c r="N99" s="2021"/>
      <c r="P99" s="2214"/>
      <c r="Q99" s="2213"/>
      <c r="R99" s="2212"/>
      <c r="S99" s="2211"/>
      <c r="T99" s="2044"/>
      <c r="U99" s="2017"/>
      <c r="V99" s="2038">
        <f t="shared" si="158"/>
        <v>0</v>
      </c>
      <c r="W99" s="2037">
        <f t="shared" si="159"/>
        <v>0</v>
      </c>
      <c r="Y99" s="1">
        <f t="shared" si="143"/>
        <v>0</v>
      </c>
      <c r="Z99" s="1">
        <f t="shared" si="144"/>
        <v>0</v>
      </c>
      <c r="AA99" s="1">
        <f t="shared" si="145"/>
        <v>0</v>
      </c>
      <c r="AB99" s="1">
        <f t="shared" si="146"/>
        <v>0</v>
      </c>
      <c r="AC99" s="1">
        <f t="shared" si="147"/>
        <v>0</v>
      </c>
      <c r="AD99" s="1">
        <f t="shared" si="148"/>
        <v>0</v>
      </c>
      <c r="AE99" s="1">
        <f t="shared" si="149"/>
        <v>0</v>
      </c>
      <c r="AF99" s="1">
        <f t="shared" si="150"/>
        <v>0</v>
      </c>
      <c r="AG99" s="1">
        <f t="shared" si="151"/>
        <v>0</v>
      </c>
      <c r="AH99" s="1">
        <f t="shared" si="152"/>
        <v>0</v>
      </c>
      <c r="AI99" s="1">
        <f t="shared" si="153"/>
        <v>0</v>
      </c>
      <c r="AJ99" s="1">
        <f t="shared" si="154"/>
        <v>0</v>
      </c>
      <c r="AK99" s="1">
        <f t="shared" si="155"/>
        <v>0</v>
      </c>
      <c r="AM99" s="2063"/>
      <c r="AN99" s="2063"/>
      <c r="AO99" s="2063"/>
      <c r="AP99" s="2063"/>
      <c r="AQ99" s="2063"/>
      <c r="AR99" s="2063"/>
      <c r="AS99" s="2063"/>
      <c r="AT99" s="2063"/>
      <c r="AU99" s="2063"/>
      <c r="AV99" s="2063"/>
      <c r="AW99" s="2063"/>
      <c r="AX99" s="2063"/>
      <c r="AY99" s="2063"/>
      <c r="BA99" s="2014"/>
      <c r="BB99" s="2014" t="e">
        <f t="shared" si="125"/>
        <v>#REF!</v>
      </c>
      <c r="BC99" s="2014"/>
      <c r="BD99" s="2013" t="e">
        <f>BR99*#REF!</f>
        <v>#REF!</v>
      </c>
      <c r="BE99" s="2013" t="e">
        <f>BS99*#REF!</f>
        <v>#REF!</v>
      </c>
      <c r="BF99" s="2013" t="e">
        <f>BT99*#REF!</f>
        <v>#REF!</v>
      </c>
      <c r="BG99" s="2013" t="e">
        <f>BU99*#REF!</f>
        <v>#REF!</v>
      </c>
      <c r="BH99" s="2094" t="e">
        <f>BV99*#REF!</f>
        <v>#REF!</v>
      </c>
      <c r="BI99" s="2013" t="e">
        <f>BW99*#REF!</f>
        <v>#REF!</v>
      </c>
      <c r="BJ99" s="2013" t="e">
        <f>BX99*#REF!</f>
        <v>#REF!</v>
      </c>
      <c r="BK99" s="2013" t="e">
        <f>BY99*#REF!</f>
        <v>#REF!</v>
      </c>
      <c r="BL99" s="2013" t="e">
        <f>BZ99*#REF!</f>
        <v>#REF!</v>
      </c>
      <c r="BM99" s="2013" t="e">
        <f>CA99*#REF!</f>
        <v>#REF!</v>
      </c>
      <c r="BO99" s="2040">
        <f t="shared" si="126"/>
        <v>0</v>
      </c>
      <c r="BP99" s="2040" t="str">
        <f t="shared" si="127"/>
        <v xml:space="preserve"> Q</v>
      </c>
      <c r="BQ99" s="829">
        <f t="shared" si="128"/>
        <v>0</v>
      </c>
      <c r="BR99" s="2010">
        <f t="shared" si="129"/>
        <v>0</v>
      </c>
      <c r="BS99" s="2010">
        <f t="shared" si="130"/>
        <v>0</v>
      </c>
      <c r="BT99" s="2010">
        <f t="shared" si="131"/>
        <v>0</v>
      </c>
      <c r="BU99" s="2010">
        <f t="shared" si="132"/>
        <v>0</v>
      </c>
      <c r="BV99" s="2093">
        <f t="shared" si="133"/>
        <v>0</v>
      </c>
      <c r="BW99" s="2010">
        <f t="shared" si="134"/>
        <v>0</v>
      </c>
      <c r="BX99" s="2010">
        <f t="shared" si="135"/>
        <v>0</v>
      </c>
      <c r="BY99" s="2010">
        <f t="shared" si="136"/>
        <v>0</v>
      </c>
      <c r="BZ99" s="2010">
        <f t="shared" si="137"/>
        <v>0</v>
      </c>
      <c r="CA99" s="2010">
        <f t="shared" si="138"/>
        <v>0</v>
      </c>
      <c r="CB99" s="2039">
        <f t="shared" si="139"/>
        <v>0</v>
      </c>
      <c r="CC99" s="2010">
        <f t="shared" si="140"/>
        <v>0</v>
      </c>
      <c r="CD99" s="2010">
        <f t="shared" si="141"/>
        <v>0</v>
      </c>
      <c r="CF99" s="1207"/>
      <c r="CG99" s="1211" t="s">
        <v>792</v>
      </c>
      <c r="CH99" s="1208"/>
      <c r="CI99" s="1218">
        <v>0</v>
      </c>
      <c r="CJ99" s="1218">
        <v>0</v>
      </c>
      <c r="CK99" s="1218">
        <v>0</v>
      </c>
      <c r="CL99" s="1218">
        <v>0</v>
      </c>
      <c r="CM99" s="1231">
        <v>0</v>
      </c>
      <c r="CN99" s="1218">
        <v>0</v>
      </c>
      <c r="CO99" s="1213"/>
      <c r="CP99" s="1218">
        <v>0</v>
      </c>
      <c r="CQ99" s="1218">
        <v>0</v>
      </c>
      <c r="CR99" s="1218">
        <v>0</v>
      </c>
      <c r="CS99" s="1214">
        <v>0</v>
      </c>
      <c r="CT99" s="1213">
        <v>0</v>
      </c>
      <c r="CU99" s="1213">
        <v>0</v>
      </c>
      <c r="CW99" s="1207"/>
      <c r="CX99" s="1211" t="s">
        <v>792</v>
      </c>
      <c r="CY99" s="1208"/>
      <c r="CZ99" s="1213"/>
      <c r="DA99" s="1213"/>
      <c r="DB99" s="1213"/>
      <c r="DC99" s="1213"/>
      <c r="DD99" s="1220"/>
      <c r="DE99" s="1213"/>
      <c r="DF99" s="1213"/>
      <c r="DG99" s="1213"/>
      <c r="DH99" s="1213"/>
      <c r="DI99" s="1213"/>
      <c r="DJ99" s="1214"/>
      <c r="DK99" s="1213"/>
      <c r="DL99" s="1213"/>
      <c r="DN99" s="1207"/>
      <c r="DO99" s="1211" t="s">
        <v>792</v>
      </c>
      <c r="DP99" s="1208"/>
      <c r="DQ99" s="1213"/>
      <c r="DR99" s="1213"/>
      <c r="DS99" s="1213"/>
      <c r="DT99" s="1213"/>
      <c r="DU99" s="1220"/>
      <c r="DV99" s="1213"/>
      <c r="DW99" s="1213"/>
      <c r="DX99" s="1213"/>
      <c r="DY99" s="1213"/>
      <c r="DZ99" s="1213"/>
      <c r="EA99" s="1214"/>
      <c r="EB99" s="1213"/>
      <c r="EC99" s="1213"/>
      <c r="ED99" s="1469"/>
      <c r="EF99" s="1207"/>
      <c r="EG99" s="1211" t="s">
        <v>792</v>
      </c>
      <c r="EH99" s="1208"/>
      <c r="EI99" s="1689">
        <f t="shared" ref="EI99:ER99" si="168">DQ99</f>
        <v>0</v>
      </c>
      <c r="EJ99" s="1689">
        <f t="shared" si="168"/>
        <v>0</v>
      </c>
      <c r="EK99" s="1689">
        <f t="shared" si="168"/>
        <v>0</v>
      </c>
      <c r="EL99" s="1689">
        <f t="shared" si="168"/>
        <v>0</v>
      </c>
      <c r="EM99" s="1701">
        <f t="shared" si="168"/>
        <v>0</v>
      </c>
      <c r="EN99" s="1689">
        <f t="shared" si="168"/>
        <v>0</v>
      </c>
      <c r="EO99" s="1689">
        <f t="shared" si="168"/>
        <v>0</v>
      </c>
      <c r="EP99" s="1689">
        <f t="shared" si="168"/>
        <v>0</v>
      </c>
      <c r="EQ99" s="1689">
        <f t="shared" si="168"/>
        <v>0</v>
      </c>
      <c r="ER99" s="1689">
        <f t="shared" si="168"/>
        <v>0</v>
      </c>
      <c r="ES99" s="1691">
        <f t="shared" si="166"/>
        <v>0</v>
      </c>
      <c r="ET99" s="1689">
        <f t="shared" si="162"/>
        <v>0</v>
      </c>
      <c r="EU99" s="1689">
        <f t="shared" si="163"/>
        <v>0</v>
      </c>
      <c r="EW99" s="1207"/>
      <c r="EX99" s="1211" t="s">
        <v>792</v>
      </c>
      <c r="EY99" s="1208"/>
      <c r="EZ99" s="1678">
        <f>DQ99</f>
        <v>0</v>
      </c>
      <c r="FA99" s="1678"/>
      <c r="FB99" s="1678"/>
      <c r="FC99" s="1678"/>
      <c r="FD99" s="1738"/>
      <c r="FE99" s="1678"/>
      <c r="FF99" s="1678"/>
      <c r="FG99" s="1678"/>
      <c r="FH99" s="1678"/>
      <c r="FI99" s="1678"/>
      <c r="FJ99" s="1795"/>
      <c r="FK99" s="1678"/>
      <c r="FL99" s="1678"/>
    </row>
    <row r="100" spans="2:168">
      <c r="B100" s="2023">
        <f t="shared" si="142"/>
        <v>3</v>
      </c>
      <c r="C100" s="2050" t="str">
        <f t="shared" si="120"/>
        <v>対応性・更新性</v>
      </c>
      <c r="D100" s="2061" t="e">
        <f>IF(I$62=0,0,G100/I$62)</f>
        <v>#REF!</v>
      </c>
      <c r="E100" s="2060" t="e">
        <f>IF(J$62=0,0,H100/J$62)</f>
        <v>#REF!</v>
      </c>
      <c r="G100" s="2060" t="e">
        <f t="shared" si="121"/>
        <v>#REF!</v>
      </c>
      <c r="H100" s="2060" t="e">
        <f t="shared" si="122"/>
        <v>#REF!</v>
      </c>
      <c r="I100" s="2060" t="e">
        <f>G101+G104+G105</f>
        <v>#REF!</v>
      </c>
      <c r="J100" s="2060" t="e">
        <f>H101+H104+H105</f>
        <v>#REF!</v>
      </c>
      <c r="K100" s="2060" t="e">
        <f>IF(#REF!=0,0,1)</f>
        <v>#REF!</v>
      </c>
      <c r="L100" s="2060" t="e">
        <f>IF(#REF!=0,0,1)</f>
        <v>#REF!</v>
      </c>
      <c r="M100" s="2060">
        <f t="shared" si="123"/>
        <v>0.3</v>
      </c>
      <c r="N100" s="2060">
        <f t="shared" ref="N100:N119" si="169">(CB$7*CB100)+(CC$7*CC100)+(CD$7*CD100)</f>
        <v>0</v>
      </c>
      <c r="P100" s="2070">
        <v>3</v>
      </c>
      <c r="Q100" s="2116" t="s">
        <v>1033</v>
      </c>
      <c r="R100" s="2116"/>
      <c r="S100" s="2116"/>
      <c r="T100" s="2106"/>
      <c r="U100" s="2017"/>
      <c r="V100" s="2142">
        <f t="shared" si="158"/>
        <v>0</v>
      </c>
      <c r="W100" s="2141">
        <f t="shared" si="159"/>
        <v>0</v>
      </c>
      <c r="Y100" s="1">
        <f t="shared" si="143"/>
        <v>0</v>
      </c>
      <c r="Z100" s="1">
        <f t="shared" si="144"/>
        <v>0</v>
      </c>
      <c r="AA100" s="1">
        <f t="shared" si="145"/>
        <v>0</v>
      </c>
      <c r="AB100" s="1">
        <f t="shared" si="146"/>
        <v>0</v>
      </c>
      <c r="AC100" s="1">
        <f t="shared" si="147"/>
        <v>0</v>
      </c>
      <c r="AD100" s="1">
        <f t="shared" si="148"/>
        <v>0</v>
      </c>
      <c r="AE100" s="1">
        <f t="shared" si="149"/>
        <v>0</v>
      </c>
      <c r="AF100" s="1">
        <f t="shared" si="150"/>
        <v>0</v>
      </c>
      <c r="AG100" s="1">
        <f t="shared" si="151"/>
        <v>0</v>
      </c>
      <c r="AH100" s="1">
        <f t="shared" si="152"/>
        <v>0</v>
      </c>
      <c r="AI100" s="1">
        <f t="shared" si="153"/>
        <v>0</v>
      </c>
      <c r="AJ100" s="1">
        <f t="shared" si="154"/>
        <v>0</v>
      </c>
      <c r="AK100" s="1">
        <f t="shared" si="155"/>
        <v>0</v>
      </c>
      <c r="AM100" s="2210" t="s">
        <v>3168</v>
      </c>
      <c r="AN100" s="2210" t="s">
        <v>3168</v>
      </c>
      <c r="AO100" s="2210" t="s">
        <v>3168</v>
      </c>
      <c r="AP100" s="2210" t="s">
        <v>3168</v>
      </c>
      <c r="AQ100" s="2210" t="s">
        <v>3168</v>
      </c>
      <c r="AR100" s="2210" t="s">
        <v>3168</v>
      </c>
      <c r="AS100" s="2210" t="s">
        <v>3168</v>
      </c>
      <c r="AT100" s="2210" t="s">
        <v>3168</v>
      </c>
      <c r="AU100" s="2210" t="s">
        <v>3168</v>
      </c>
      <c r="AV100" s="2210" t="s">
        <v>3168</v>
      </c>
      <c r="AW100" s="2210" t="s">
        <v>3168</v>
      </c>
      <c r="AX100" s="2210" t="s">
        <v>3168</v>
      </c>
      <c r="AY100" s="2210" t="s">
        <v>3168</v>
      </c>
      <c r="BA100" s="2054" t="e">
        <f>BB100/$BC$62</f>
        <v>#REF!</v>
      </c>
      <c r="BB100" s="2054" t="e">
        <f t="shared" si="125"/>
        <v>#REF!</v>
      </c>
      <c r="BC100" s="2054"/>
      <c r="BD100" s="2053" t="e">
        <f>BR100*#REF!</f>
        <v>#REF!</v>
      </c>
      <c r="BE100" s="2053" t="e">
        <f>BS100*#REF!</f>
        <v>#REF!</v>
      </c>
      <c r="BF100" s="2053" t="e">
        <f>BT100*#REF!</f>
        <v>#REF!</v>
      </c>
      <c r="BG100" s="2053" t="e">
        <f>BU100*#REF!</f>
        <v>#REF!</v>
      </c>
      <c r="BH100" s="2115" t="e">
        <f>BV100*#REF!</f>
        <v>#REF!</v>
      </c>
      <c r="BI100" s="2053" t="e">
        <f>BW100*#REF!</f>
        <v>#REF!</v>
      </c>
      <c r="BJ100" s="2053" t="e">
        <f>BX100*#REF!</f>
        <v>#REF!</v>
      </c>
      <c r="BK100" s="2053" t="e">
        <f>BY100*#REF!</f>
        <v>#REF!</v>
      </c>
      <c r="BL100" s="2053" t="e">
        <f>BZ100*#REF!</f>
        <v>#REF!</v>
      </c>
      <c r="BM100" s="2053" t="e">
        <f>CA100*#REF!</f>
        <v>#REF!</v>
      </c>
      <c r="BO100" s="2114">
        <f t="shared" si="126"/>
        <v>3</v>
      </c>
      <c r="BP100" s="2114" t="str">
        <f t="shared" si="127"/>
        <v xml:space="preserve"> Q2</v>
      </c>
      <c r="BQ100" s="2050" t="str">
        <f t="shared" si="128"/>
        <v>対応性・更新性</v>
      </c>
      <c r="BR100" s="2048">
        <f t="shared" si="129"/>
        <v>0.3</v>
      </c>
      <c r="BS100" s="2048">
        <f t="shared" si="130"/>
        <v>0.3</v>
      </c>
      <c r="BT100" s="2048">
        <f t="shared" si="131"/>
        <v>0.3</v>
      </c>
      <c r="BU100" s="2048">
        <f t="shared" si="132"/>
        <v>0.3</v>
      </c>
      <c r="BV100" s="2113">
        <f t="shared" si="133"/>
        <v>0.3</v>
      </c>
      <c r="BW100" s="2048">
        <f t="shared" si="134"/>
        <v>0.3</v>
      </c>
      <c r="BX100" s="2048">
        <f t="shared" si="135"/>
        <v>0.3</v>
      </c>
      <c r="BY100" s="2048">
        <f t="shared" si="136"/>
        <v>0.3</v>
      </c>
      <c r="BZ100" s="2048">
        <f t="shared" si="137"/>
        <v>0.3</v>
      </c>
      <c r="CA100" s="2048">
        <f t="shared" si="138"/>
        <v>0.3</v>
      </c>
      <c r="CB100" s="2049">
        <f t="shared" si="139"/>
        <v>0</v>
      </c>
      <c r="CC100" s="2048">
        <f t="shared" si="140"/>
        <v>0</v>
      </c>
      <c r="CD100" s="2048">
        <f t="shared" si="141"/>
        <v>0</v>
      </c>
      <c r="CF100" s="1197">
        <v>3</v>
      </c>
      <c r="CG100" s="1201" t="s">
        <v>2150</v>
      </c>
      <c r="CH100" s="1198" t="s">
        <v>103</v>
      </c>
      <c r="CI100" s="1199">
        <v>0.3</v>
      </c>
      <c r="CJ100" s="1199">
        <v>0.3</v>
      </c>
      <c r="CK100" s="1199">
        <v>0.3</v>
      </c>
      <c r="CL100" s="1199">
        <v>0.3</v>
      </c>
      <c r="CM100" s="1251">
        <v>0.3</v>
      </c>
      <c r="CN100" s="1199">
        <v>0.3</v>
      </c>
      <c r="CO100" s="1202">
        <v>0.3</v>
      </c>
      <c r="CP100" s="1199">
        <v>0.3</v>
      </c>
      <c r="CQ100" s="1199">
        <v>0.3</v>
      </c>
      <c r="CR100" s="1199">
        <v>0.3</v>
      </c>
      <c r="CS100" s="1203"/>
      <c r="CT100" s="1202"/>
      <c r="CU100" s="1202"/>
      <c r="CW100" s="1197">
        <v>3</v>
      </c>
      <c r="CX100" s="1201" t="s">
        <v>2150</v>
      </c>
      <c r="CY100" s="1198" t="s">
        <v>103</v>
      </c>
      <c r="CZ100" s="1202">
        <v>0.3</v>
      </c>
      <c r="DA100" s="1202">
        <v>0.3</v>
      </c>
      <c r="DB100" s="1202">
        <v>0.3</v>
      </c>
      <c r="DC100" s="1202">
        <v>0.3</v>
      </c>
      <c r="DD100" s="1252">
        <v>0.3</v>
      </c>
      <c r="DE100" s="1202">
        <v>0.3</v>
      </c>
      <c r="DF100" s="1202">
        <v>0.3</v>
      </c>
      <c r="DG100" s="1202">
        <v>0.3</v>
      </c>
      <c r="DH100" s="1202">
        <v>0.3</v>
      </c>
      <c r="DI100" s="1202">
        <v>0.3</v>
      </c>
      <c r="DJ100" s="1203"/>
      <c r="DK100" s="1202"/>
      <c r="DL100" s="1202"/>
      <c r="DN100" s="1197">
        <v>3</v>
      </c>
      <c r="DO100" s="1201" t="s">
        <v>2150</v>
      </c>
      <c r="DP100" s="1198" t="s">
        <v>103</v>
      </c>
      <c r="DQ100" s="1202">
        <v>0.3</v>
      </c>
      <c r="DR100" s="1202">
        <v>0.3</v>
      </c>
      <c r="DS100" s="1202">
        <v>0.3</v>
      </c>
      <c r="DT100" s="1202">
        <v>0.3</v>
      </c>
      <c r="DU100" s="1252">
        <v>0.3</v>
      </c>
      <c r="DV100" s="1202">
        <v>0.3</v>
      </c>
      <c r="DW100" s="1202">
        <v>0.3</v>
      </c>
      <c r="DX100" s="1202">
        <v>0.3</v>
      </c>
      <c r="DY100" s="1202">
        <v>0.3</v>
      </c>
      <c r="DZ100" s="1202">
        <v>0.3</v>
      </c>
      <c r="EA100" s="1203"/>
      <c r="EB100" s="1202"/>
      <c r="EC100" s="1202"/>
      <c r="ED100" s="1468"/>
      <c r="EF100" s="1197">
        <v>3</v>
      </c>
      <c r="EG100" s="1201" t="s">
        <v>2150</v>
      </c>
      <c r="EH100" s="1198" t="s">
        <v>103</v>
      </c>
      <c r="EI100" s="1676">
        <v>0</v>
      </c>
      <c r="EJ100" s="1676">
        <v>0</v>
      </c>
      <c r="EK100" s="1676">
        <v>0</v>
      </c>
      <c r="EL100" s="1676">
        <v>0</v>
      </c>
      <c r="EM100" s="1676">
        <v>0</v>
      </c>
      <c r="EN100" s="1676">
        <v>0</v>
      </c>
      <c r="EO100" s="1676">
        <v>0</v>
      </c>
      <c r="EP100" s="1676">
        <v>0</v>
      </c>
      <c r="EQ100" s="1676">
        <v>0</v>
      </c>
      <c r="ER100" s="1676">
        <v>0</v>
      </c>
      <c r="ES100" s="1677">
        <f t="shared" si="166"/>
        <v>0</v>
      </c>
      <c r="ET100" s="1676">
        <f t="shared" si="162"/>
        <v>0</v>
      </c>
      <c r="EU100" s="1676">
        <f t="shared" si="163"/>
        <v>0</v>
      </c>
      <c r="EW100" s="1197">
        <v>3</v>
      </c>
      <c r="EX100" s="1201" t="s">
        <v>2150</v>
      </c>
      <c r="EY100" s="1198" t="s">
        <v>103</v>
      </c>
      <c r="EZ100" s="1821">
        <v>0.2</v>
      </c>
      <c r="FA100" s="1676"/>
      <c r="FB100" s="1676"/>
      <c r="FC100" s="1676"/>
      <c r="FD100" s="1676"/>
      <c r="FE100" s="1676"/>
      <c r="FF100" s="1676"/>
      <c r="FG100" s="1676"/>
      <c r="FH100" s="1676"/>
      <c r="FI100" s="1676"/>
      <c r="FJ100" s="1677"/>
      <c r="FK100" s="1676"/>
      <c r="FL100" s="1676"/>
    </row>
    <row r="101" spans="2:168" ht="14.25" thickBot="1">
      <c r="B101" s="2023">
        <f t="shared" si="142"/>
        <v>3.1</v>
      </c>
      <c r="C101" s="829" t="str">
        <f t="shared" si="120"/>
        <v>空間のゆとり</v>
      </c>
      <c r="D101" s="2022" t="e">
        <f>IF(I$100=0,0,G101/I$100)</f>
        <v>#REF!</v>
      </c>
      <c r="E101" s="2021" t="e">
        <f>IF(J$100=0,0,H101/J$100)</f>
        <v>#REF!</v>
      </c>
      <c r="G101" s="2021" t="e">
        <f t="shared" si="121"/>
        <v>#REF!</v>
      </c>
      <c r="H101" s="2021" t="e">
        <f t="shared" si="122"/>
        <v>#REF!</v>
      </c>
      <c r="I101" s="2021" t="e">
        <f>SUM(G102:G103)</f>
        <v>#REF!</v>
      </c>
      <c r="J101" s="2021" t="e">
        <f>SUM(H102:H103)</f>
        <v>#REF!</v>
      </c>
      <c r="K101" s="2021" t="e">
        <f>IF(#REF!=0,0,1)</f>
        <v>#REF!</v>
      </c>
      <c r="L101" s="2021" t="e">
        <f>IF(#REF!=0,0,1)</f>
        <v>#REF!</v>
      </c>
      <c r="M101" s="2021">
        <f t="shared" si="123"/>
        <v>0.3</v>
      </c>
      <c r="N101" s="2021">
        <f t="shared" si="169"/>
        <v>0</v>
      </c>
      <c r="P101" s="2123"/>
      <c r="Q101" s="2035">
        <v>3.1</v>
      </c>
      <c r="R101" s="2129" t="s">
        <v>1034</v>
      </c>
      <c r="S101" s="2107"/>
      <c r="T101" s="2106"/>
      <c r="U101" s="2017"/>
      <c r="V101" s="2043">
        <f t="shared" si="158"/>
        <v>0</v>
      </c>
      <c r="W101" s="2042">
        <f t="shared" si="159"/>
        <v>0</v>
      </c>
      <c r="Y101" s="1">
        <f t="shared" si="143"/>
        <v>0</v>
      </c>
      <c r="Z101" s="1">
        <f t="shared" si="144"/>
        <v>0</v>
      </c>
      <c r="AA101" s="1">
        <f t="shared" si="145"/>
        <v>0</v>
      </c>
      <c r="AB101" s="1">
        <f t="shared" si="146"/>
        <v>0</v>
      </c>
      <c r="AC101" s="1">
        <f t="shared" si="147"/>
        <v>0</v>
      </c>
      <c r="AD101" s="1">
        <f t="shared" si="148"/>
        <v>0</v>
      </c>
      <c r="AE101" s="1">
        <f t="shared" si="149"/>
        <v>0</v>
      </c>
      <c r="AF101" s="1">
        <f t="shared" si="150"/>
        <v>0</v>
      </c>
      <c r="AG101" s="1">
        <f t="shared" si="151"/>
        <v>0</v>
      </c>
      <c r="AH101" s="1">
        <f t="shared" si="152"/>
        <v>0</v>
      </c>
      <c r="AI101" s="1">
        <f t="shared" si="153"/>
        <v>0</v>
      </c>
      <c r="AJ101" s="1">
        <f t="shared" si="154"/>
        <v>0</v>
      </c>
      <c r="AK101" s="1">
        <f t="shared" si="155"/>
        <v>0</v>
      </c>
      <c r="AM101" s="2103" t="s">
        <v>3167</v>
      </c>
      <c r="AN101" s="2103" t="s">
        <v>3194</v>
      </c>
      <c r="AO101" s="2103" t="s">
        <v>3168</v>
      </c>
      <c r="AP101" s="2103" t="s">
        <v>3167</v>
      </c>
      <c r="AQ101" s="2103" t="s">
        <v>3167</v>
      </c>
      <c r="AR101" s="2103" t="s">
        <v>3168</v>
      </c>
      <c r="AS101" s="2103" t="s">
        <v>3168</v>
      </c>
      <c r="AT101" s="2103" t="s">
        <v>3167</v>
      </c>
      <c r="AU101" s="2103" t="s">
        <v>3167</v>
      </c>
      <c r="AV101" s="2103" t="s">
        <v>3167</v>
      </c>
      <c r="AW101" s="2103" t="s">
        <v>3163</v>
      </c>
      <c r="AX101" s="2103" t="s">
        <v>3168</v>
      </c>
      <c r="AY101" s="2103" t="s">
        <v>3166</v>
      </c>
      <c r="BA101" s="2014"/>
      <c r="BB101" s="2014" t="e">
        <f t="shared" si="125"/>
        <v>#REF!</v>
      </c>
      <c r="BC101" s="2014"/>
      <c r="BD101" s="2013" t="e">
        <f>BR101*#REF!</f>
        <v>#REF!</v>
      </c>
      <c r="BE101" s="2013" t="e">
        <f>BS101*#REF!</f>
        <v>#REF!</v>
      </c>
      <c r="BF101" s="2013" t="e">
        <f>BT101*#REF!</f>
        <v>#REF!</v>
      </c>
      <c r="BG101" s="2013" t="e">
        <f>BU101*#REF!</f>
        <v>#REF!</v>
      </c>
      <c r="BH101" s="2094" t="e">
        <f>BV101*#REF!</f>
        <v>#REF!</v>
      </c>
      <c r="BI101" s="2013" t="e">
        <f>BW101*#REF!</f>
        <v>#REF!</v>
      </c>
      <c r="BJ101" s="2013" t="e">
        <f>BX101*#REF!</f>
        <v>#REF!</v>
      </c>
      <c r="BK101" s="2013" t="e">
        <f>BY101*#REF!</f>
        <v>#REF!</v>
      </c>
      <c r="BL101" s="2013" t="e">
        <f>BZ101*#REF!</f>
        <v>#REF!</v>
      </c>
      <c r="BM101" s="2013" t="e">
        <f>CA101*#REF!</f>
        <v>#REF!</v>
      </c>
      <c r="BO101" s="2040">
        <f t="shared" si="126"/>
        <v>3.1</v>
      </c>
      <c r="BP101" s="2040" t="str">
        <f t="shared" si="127"/>
        <v xml:space="preserve"> Q2 3</v>
      </c>
      <c r="BQ101" s="829" t="str">
        <f t="shared" si="128"/>
        <v>空間のゆとり</v>
      </c>
      <c r="BR101" s="2010">
        <f t="shared" si="129"/>
        <v>0.3</v>
      </c>
      <c r="BS101" s="2010">
        <f t="shared" si="130"/>
        <v>0.3</v>
      </c>
      <c r="BT101" s="2010">
        <f t="shared" si="131"/>
        <v>0.3</v>
      </c>
      <c r="BU101" s="2010">
        <f t="shared" si="132"/>
        <v>0.3</v>
      </c>
      <c r="BV101" s="2093">
        <f t="shared" si="133"/>
        <v>0.3</v>
      </c>
      <c r="BW101" s="2010">
        <f t="shared" si="134"/>
        <v>0.3</v>
      </c>
      <c r="BX101" s="2010">
        <f t="shared" si="135"/>
        <v>0.3</v>
      </c>
      <c r="BY101" s="2010">
        <f t="shared" si="136"/>
        <v>0.3</v>
      </c>
      <c r="BZ101" s="2010">
        <f t="shared" si="137"/>
        <v>0</v>
      </c>
      <c r="CA101" s="2010">
        <f t="shared" si="138"/>
        <v>0</v>
      </c>
      <c r="CB101" s="2039">
        <f t="shared" si="139"/>
        <v>0.5</v>
      </c>
      <c r="CC101" s="2010">
        <f t="shared" si="140"/>
        <v>0.5</v>
      </c>
      <c r="CD101" s="2010">
        <f t="shared" si="141"/>
        <v>0.5</v>
      </c>
      <c r="CF101" s="1207">
        <v>3.1</v>
      </c>
      <c r="CG101" s="1211" t="s">
        <v>104</v>
      </c>
      <c r="CH101" s="1208" t="s">
        <v>1034</v>
      </c>
      <c r="CI101" s="1209">
        <v>0.3</v>
      </c>
      <c r="CJ101" s="1209">
        <v>0.3</v>
      </c>
      <c r="CK101" s="1209">
        <v>0.3</v>
      </c>
      <c r="CL101" s="1209">
        <v>0.3</v>
      </c>
      <c r="CM101" s="1217">
        <v>0.3</v>
      </c>
      <c r="CN101" s="1209">
        <v>0.3</v>
      </c>
      <c r="CO101" s="1213">
        <v>0.3</v>
      </c>
      <c r="CP101" s="1209">
        <v>0.3</v>
      </c>
      <c r="CQ101" s="1209"/>
      <c r="CR101" s="1209"/>
      <c r="CS101" s="1214">
        <v>0.5</v>
      </c>
      <c r="CT101" s="1213">
        <v>0.5</v>
      </c>
      <c r="CU101" s="1213">
        <v>0.5</v>
      </c>
      <c r="CW101" s="1207">
        <v>3.1</v>
      </c>
      <c r="CX101" s="1211" t="s">
        <v>104</v>
      </c>
      <c r="CY101" s="1208" t="s">
        <v>1034</v>
      </c>
      <c r="CZ101" s="1213">
        <v>0.3</v>
      </c>
      <c r="DA101" s="1213">
        <v>0.3</v>
      </c>
      <c r="DB101" s="1213">
        <v>0.3</v>
      </c>
      <c r="DC101" s="1213">
        <v>0.3</v>
      </c>
      <c r="DD101" s="1220">
        <v>0.3</v>
      </c>
      <c r="DE101" s="1213">
        <v>0.3</v>
      </c>
      <c r="DF101" s="1213">
        <v>0.3</v>
      </c>
      <c r="DG101" s="1213">
        <v>0.3</v>
      </c>
      <c r="DH101" s="1213"/>
      <c r="DI101" s="1213"/>
      <c r="DJ101" s="1214">
        <v>0.5</v>
      </c>
      <c r="DK101" s="1213">
        <v>0.5</v>
      </c>
      <c r="DL101" s="1213">
        <v>0.5</v>
      </c>
      <c r="DN101" s="1207">
        <v>3.1</v>
      </c>
      <c r="DO101" s="1211" t="s">
        <v>104</v>
      </c>
      <c r="DP101" s="1208" t="s">
        <v>1034</v>
      </c>
      <c r="DQ101" s="1213">
        <v>0.3</v>
      </c>
      <c r="DR101" s="1213">
        <v>0.3</v>
      </c>
      <c r="DS101" s="1213">
        <v>0.3</v>
      </c>
      <c r="DT101" s="1213">
        <v>0.3</v>
      </c>
      <c r="DU101" s="1220">
        <v>0.3</v>
      </c>
      <c r="DV101" s="1213">
        <v>0.3</v>
      </c>
      <c r="DW101" s="1213">
        <v>0.3</v>
      </c>
      <c r="DX101" s="1213">
        <v>0.3</v>
      </c>
      <c r="DY101" s="1213"/>
      <c r="DZ101" s="1213"/>
      <c r="EA101" s="1214">
        <v>0.5</v>
      </c>
      <c r="EB101" s="1213">
        <v>0.5</v>
      </c>
      <c r="EC101" s="1213">
        <v>0.5</v>
      </c>
      <c r="ED101" s="1469"/>
      <c r="EF101" s="1207">
        <v>3.1</v>
      </c>
      <c r="EG101" s="1211" t="s">
        <v>104</v>
      </c>
      <c r="EH101" s="1208" t="s">
        <v>1034</v>
      </c>
      <c r="EI101" s="1689">
        <v>0</v>
      </c>
      <c r="EJ101" s="1689">
        <v>0</v>
      </c>
      <c r="EK101" s="1689">
        <v>0</v>
      </c>
      <c r="EL101" s="1689">
        <v>0</v>
      </c>
      <c r="EM101" s="1689">
        <v>0</v>
      </c>
      <c r="EN101" s="1689">
        <v>0</v>
      </c>
      <c r="EO101" s="1689">
        <v>0</v>
      </c>
      <c r="EP101" s="1689">
        <v>0</v>
      </c>
      <c r="EQ101" s="1689">
        <v>0</v>
      </c>
      <c r="ER101" s="1689">
        <v>0</v>
      </c>
      <c r="ES101" s="1689">
        <v>0</v>
      </c>
      <c r="ET101" s="1689">
        <v>0</v>
      </c>
      <c r="EU101" s="1689">
        <v>0</v>
      </c>
      <c r="EW101" s="1207">
        <v>3.1</v>
      </c>
      <c r="EX101" s="1211" t="s">
        <v>104</v>
      </c>
      <c r="EY101" s="1208" t="s">
        <v>1034</v>
      </c>
      <c r="EZ101" s="1678">
        <f>DQ101</f>
        <v>0.3</v>
      </c>
      <c r="FA101" s="1678"/>
      <c r="FB101" s="1678"/>
      <c r="FC101" s="1678"/>
      <c r="FD101" s="1678"/>
      <c r="FE101" s="1678"/>
      <c r="FF101" s="1678"/>
      <c r="FG101" s="1678"/>
      <c r="FH101" s="1678"/>
      <c r="FI101" s="1678"/>
      <c r="FJ101" s="1678"/>
      <c r="FK101" s="1678"/>
      <c r="FL101" s="1678"/>
    </row>
    <row r="102" spans="2:168">
      <c r="B102" s="2023" t="str">
        <f t="shared" si="142"/>
        <v>3.1.1</v>
      </c>
      <c r="C102" s="829" t="str">
        <f t="shared" si="120"/>
        <v>階高のゆとり</v>
      </c>
      <c r="D102" s="2100" t="e">
        <f>IF(I$101&gt;0,G102/I$101,0)</f>
        <v>#REF!</v>
      </c>
      <c r="E102" s="2021" t="e">
        <f>IF(J$101&gt;0,H102/J$101,0)</f>
        <v>#REF!</v>
      </c>
      <c r="G102" s="2021" t="e">
        <f t="shared" si="121"/>
        <v>#REF!</v>
      </c>
      <c r="H102" s="2021" t="e">
        <f t="shared" si="122"/>
        <v>#REF!</v>
      </c>
      <c r="I102" s="2021"/>
      <c r="J102" s="2021"/>
      <c r="K102" s="2021" t="e">
        <f>IF(#REF!=0,0,1)</f>
        <v>#REF!</v>
      </c>
      <c r="L102" s="2021" t="e">
        <f>IF(#REF!=0,0,1)</f>
        <v>#REF!</v>
      </c>
      <c r="M102" s="2021">
        <f t="shared" si="123"/>
        <v>0.6</v>
      </c>
      <c r="N102" s="2021">
        <f t="shared" si="169"/>
        <v>0</v>
      </c>
      <c r="P102" s="2123"/>
      <c r="Q102" s="2019"/>
      <c r="R102" s="993">
        <v>1</v>
      </c>
      <c r="S102" s="1655" t="s">
        <v>1035</v>
      </c>
      <c r="T102" s="2036"/>
      <c r="U102" s="2017"/>
      <c r="V102" s="2025">
        <f t="shared" si="158"/>
        <v>0</v>
      </c>
      <c r="W102" s="2024">
        <f t="shared" si="159"/>
        <v>0</v>
      </c>
      <c r="Y102" s="1">
        <f t="shared" si="143"/>
        <v>0</v>
      </c>
      <c r="Z102" s="1">
        <f t="shared" si="144"/>
        <v>0</v>
      </c>
      <c r="AA102" s="1">
        <f t="shared" si="145"/>
        <v>0</v>
      </c>
      <c r="AB102" s="1">
        <f t="shared" si="146"/>
        <v>0</v>
      </c>
      <c r="AC102" s="1">
        <f t="shared" si="147"/>
        <v>0</v>
      </c>
      <c r="AD102" s="1">
        <f t="shared" si="148"/>
        <v>0</v>
      </c>
      <c r="AE102" s="1">
        <f t="shared" si="149"/>
        <v>0</v>
      </c>
      <c r="AF102" s="1">
        <f t="shared" si="150"/>
        <v>0</v>
      </c>
      <c r="AG102" s="1">
        <f t="shared" si="151"/>
        <v>0</v>
      </c>
      <c r="AH102" s="1">
        <f t="shared" si="152"/>
        <v>0</v>
      </c>
      <c r="AI102" s="1">
        <f t="shared" si="153"/>
        <v>0</v>
      </c>
      <c r="AJ102" s="1">
        <f t="shared" si="154"/>
        <v>0</v>
      </c>
      <c r="AK102" s="1">
        <f t="shared" si="155"/>
        <v>0</v>
      </c>
      <c r="AM102" s="1827"/>
      <c r="AN102" s="1827"/>
      <c r="AO102" s="1827"/>
      <c r="AP102" s="1827"/>
      <c r="AQ102" s="1827"/>
      <c r="AR102" s="1827"/>
      <c r="AS102" s="1827"/>
      <c r="AT102" s="1827"/>
      <c r="AU102" s="1827"/>
      <c r="AV102" s="1827"/>
      <c r="AW102" s="1827"/>
      <c r="AX102" s="1827"/>
      <c r="AY102" s="1827"/>
      <c r="BA102" s="2014"/>
      <c r="BB102" s="2014" t="e">
        <f t="shared" si="125"/>
        <v>#REF!</v>
      </c>
      <c r="BC102" s="2014"/>
      <c r="BD102" s="2013" t="e">
        <f>BR102*#REF!</f>
        <v>#REF!</v>
      </c>
      <c r="BE102" s="2013" t="e">
        <f>BS102*#REF!</f>
        <v>#REF!</v>
      </c>
      <c r="BF102" s="2013" t="e">
        <f>BT102*#REF!</f>
        <v>#REF!</v>
      </c>
      <c r="BG102" s="2013" t="e">
        <f>BU102*#REF!</f>
        <v>#REF!</v>
      </c>
      <c r="BH102" s="2094" t="e">
        <f>BV102*#REF!</f>
        <v>#REF!</v>
      </c>
      <c r="BI102" s="2013" t="e">
        <f>BW102*#REF!</f>
        <v>#REF!</v>
      </c>
      <c r="BJ102" s="2013" t="e">
        <f>BX102*#REF!</f>
        <v>#REF!</v>
      </c>
      <c r="BK102" s="2013" t="e">
        <f>BY102*#REF!</f>
        <v>#REF!</v>
      </c>
      <c r="BL102" s="2013" t="e">
        <f>BZ102*#REF!</f>
        <v>#REF!</v>
      </c>
      <c r="BM102" s="2013" t="e">
        <f>CA102*#REF!</f>
        <v>#REF!</v>
      </c>
      <c r="BO102" s="2040" t="str">
        <f t="shared" si="126"/>
        <v>3.1.1</v>
      </c>
      <c r="BP102" s="2040" t="str">
        <f t="shared" si="127"/>
        <v xml:space="preserve"> Q2 3.1</v>
      </c>
      <c r="BQ102" s="829" t="str">
        <f t="shared" si="128"/>
        <v>階高のゆとり</v>
      </c>
      <c r="BR102" s="2010">
        <f t="shared" si="129"/>
        <v>0.6</v>
      </c>
      <c r="BS102" s="2010">
        <f t="shared" si="130"/>
        <v>0.6</v>
      </c>
      <c r="BT102" s="2010">
        <f t="shared" si="131"/>
        <v>0.6</v>
      </c>
      <c r="BU102" s="2010">
        <f t="shared" si="132"/>
        <v>0.6</v>
      </c>
      <c r="BV102" s="2093">
        <f t="shared" si="133"/>
        <v>0</v>
      </c>
      <c r="BW102" s="2010">
        <f t="shared" si="134"/>
        <v>0.6</v>
      </c>
      <c r="BX102" s="2010">
        <f t="shared" si="135"/>
        <v>0.6</v>
      </c>
      <c r="BY102" s="2010">
        <f t="shared" si="136"/>
        <v>0.6</v>
      </c>
      <c r="BZ102" s="2010">
        <f t="shared" si="137"/>
        <v>0</v>
      </c>
      <c r="CA102" s="2010">
        <f t="shared" si="138"/>
        <v>0</v>
      </c>
      <c r="CB102" s="2039">
        <f t="shared" si="139"/>
        <v>0.6</v>
      </c>
      <c r="CC102" s="2010">
        <f t="shared" si="140"/>
        <v>0.6</v>
      </c>
      <c r="CD102" s="2010">
        <f t="shared" si="141"/>
        <v>0.6</v>
      </c>
      <c r="CF102" s="1207" t="s">
        <v>3234</v>
      </c>
      <c r="CG102" s="1211" t="s">
        <v>105</v>
      </c>
      <c r="CH102" s="1208" t="s">
        <v>106</v>
      </c>
      <c r="CI102" s="1209">
        <v>0.6</v>
      </c>
      <c r="CJ102" s="1209">
        <v>0.6</v>
      </c>
      <c r="CK102" s="1209">
        <v>0.6</v>
      </c>
      <c r="CL102" s="1209">
        <v>0.6</v>
      </c>
      <c r="CM102" s="1217">
        <v>0</v>
      </c>
      <c r="CN102" s="1209">
        <v>0.6</v>
      </c>
      <c r="CO102" s="1213">
        <v>0.6</v>
      </c>
      <c r="CP102" s="1209">
        <v>0.6</v>
      </c>
      <c r="CQ102" s="1209"/>
      <c r="CR102" s="1209"/>
      <c r="CS102" s="1214">
        <v>0.6</v>
      </c>
      <c r="CT102" s="1213">
        <v>0.6</v>
      </c>
      <c r="CU102" s="1213">
        <v>0.6</v>
      </c>
      <c r="CW102" s="1207" t="s">
        <v>3233</v>
      </c>
      <c r="CX102" s="1211" t="s">
        <v>105</v>
      </c>
      <c r="CY102" s="1208" t="s">
        <v>106</v>
      </c>
      <c r="CZ102" s="1213">
        <v>0.6</v>
      </c>
      <c r="DA102" s="1213">
        <v>0.6</v>
      </c>
      <c r="DB102" s="1213">
        <v>0.6</v>
      </c>
      <c r="DC102" s="1213">
        <v>0.6</v>
      </c>
      <c r="DD102" s="1220">
        <v>0</v>
      </c>
      <c r="DE102" s="1213">
        <v>0.6</v>
      </c>
      <c r="DF102" s="1213">
        <v>0.6</v>
      </c>
      <c r="DG102" s="1213">
        <v>0.6</v>
      </c>
      <c r="DH102" s="1213"/>
      <c r="DI102" s="1213"/>
      <c r="DJ102" s="1214">
        <v>0.6</v>
      </c>
      <c r="DK102" s="1213">
        <v>0.6</v>
      </c>
      <c r="DL102" s="1213">
        <v>0.6</v>
      </c>
      <c r="DN102" s="1207" t="s">
        <v>3232</v>
      </c>
      <c r="DO102" s="1211" t="s">
        <v>105</v>
      </c>
      <c r="DP102" s="1208" t="s">
        <v>106</v>
      </c>
      <c r="DQ102" s="1213">
        <v>0.6</v>
      </c>
      <c r="DR102" s="1213">
        <v>0.6</v>
      </c>
      <c r="DS102" s="1213">
        <v>0.6</v>
      </c>
      <c r="DT102" s="1213">
        <v>0.6</v>
      </c>
      <c r="DU102" s="1220">
        <v>0</v>
      </c>
      <c r="DV102" s="1213">
        <v>0.6</v>
      </c>
      <c r="DW102" s="1213">
        <v>0.6</v>
      </c>
      <c r="DX102" s="1213">
        <v>0.6</v>
      </c>
      <c r="DY102" s="1213"/>
      <c r="DZ102" s="1213"/>
      <c r="EA102" s="1214">
        <v>0.6</v>
      </c>
      <c r="EB102" s="1213">
        <v>0.6</v>
      </c>
      <c r="EC102" s="1213">
        <v>0.6</v>
      </c>
      <c r="ED102" s="1469"/>
      <c r="EF102" s="1207" t="s">
        <v>3232</v>
      </c>
      <c r="EG102" s="1211" t="s">
        <v>105</v>
      </c>
      <c r="EH102" s="1208" t="s">
        <v>106</v>
      </c>
      <c r="EI102" s="1689">
        <v>0</v>
      </c>
      <c r="EJ102" s="1689">
        <v>0</v>
      </c>
      <c r="EK102" s="1689">
        <v>0</v>
      </c>
      <c r="EL102" s="1689">
        <v>0</v>
      </c>
      <c r="EM102" s="1689">
        <v>0</v>
      </c>
      <c r="EN102" s="1689">
        <v>0</v>
      </c>
      <c r="EO102" s="1689">
        <v>0</v>
      </c>
      <c r="EP102" s="1689">
        <v>0</v>
      </c>
      <c r="EQ102" s="1689">
        <v>0</v>
      </c>
      <c r="ER102" s="1689">
        <v>0</v>
      </c>
      <c r="ES102" s="1689">
        <v>0</v>
      </c>
      <c r="ET102" s="1689">
        <v>0</v>
      </c>
      <c r="EU102" s="1689">
        <v>0</v>
      </c>
      <c r="EW102" s="1207" t="s">
        <v>3232</v>
      </c>
      <c r="EX102" s="1211" t="s">
        <v>105</v>
      </c>
      <c r="EY102" s="1208" t="s">
        <v>106</v>
      </c>
      <c r="EZ102" s="1814">
        <v>0</v>
      </c>
      <c r="FA102" s="1678"/>
      <c r="FB102" s="1678"/>
      <c r="FC102" s="1678"/>
      <c r="FD102" s="1678"/>
      <c r="FE102" s="1678"/>
      <c r="FF102" s="1678"/>
      <c r="FG102" s="1678"/>
      <c r="FH102" s="1678"/>
      <c r="FI102" s="1678"/>
      <c r="FJ102" s="1678"/>
      <c r="FK102" s="1678"/>
      <c r="FL102" s="1678"/>
    </row>
    <row r="103" spans="2:168">
      <c r="B103" s="2023" t="str">
        <f t="shared" si="142"/>
        <v>3.1.2</v>
      </c>
      <c r="C103" s="829" t="str">
        <f t="shared" si="120"/>
        <v>空間の形状・自由さ</v>
      </c>
      <c r="D103" s="2100" t="e">
        <f>IF(I$101&gt;0,G103/I$101,0)</f>
        <v>#REF!</v>
      </c>
      <c r="E103" s="2021" t="e">
        <f>IF(J$101&gt;0,H103/J$101,0)</f>
        <v>#REF!</v>
      </c>
      <c r="G103" s="2021" t="e">
        <f t="shared" si="121"/>
        <v>#REF!</v>
      </c>
      <c r="H103" s="2021" t="e">
        <f t="shared" si="122"/>
        <v>#REF!</v>
      </c>
      <c r="I103" s="2021"/>
      <c r="J103" s="2021"/>
      <c r="K103" s="2021" t="e">
        <f>IF(#REF!=0,0,1)</f>
        <v>#REF!</v>
      </c>
      <c r="L103" s="2021" t="e">
        <f>IF(#REF!=0,0,1)</f>
        <v>#REF!</v>
      </c>
      <c r="M103" s="2021">
        <f t="shared" si="123"/>
        <v>0.4</v>
      </c>
      <c r="N103" s="2021">
        <f t="shared" si="169"/>
        <v>0</v>
      </c>
      <c r="P103" s="2123"/>
      <c r="Q103" s="2019"/>
      <c r="R103" s="2018">
        <v>2</v>
      </c>
      <c r="S103" s="2107" t="s">
        <v>1036</v>
      </c>
      <c r="T103" s="2106"/>
      <c r="U103" s="2017"/>
      <c r="V103" s="2038">
        <f t="shared" si="158"/>
        <v>0</v>
      </c>
      <c r="W103" s="2037">
        <f t="shared" si="159"/>
        <v>0</v>
      </c>
      <c r="Y103" s="1">
        <f t="shared" si="143"/>
        <v>0</v>
      </c>
      <c r="Z103" s="1">
        <f t="shared" si="144"/>
        <v>0</v>
      </c>
      <c r="AA103" s="1">
        <f t="shared" si="145"/>
        <v>0</v>
      </c>
      <c r="AB103" s="1">
        <f t="shared" si="146"/>
        <v>0</v>
      </c>
      <c r="AC103" s="1">
        <f t="shared" si="147"/>
        <v>0</v>
      </c>
      <c r="AD103" s="1">
        <f t="shared" si="148"/>
        <v>0</v>
      </c>
      <c r="AE103" s="1">
        <f t="shared" si="149"/>
        <v>0</v>
      </c>
      <c r="AF103" s="1">
        <f t="shared" si="150"/>
        <v>0</v>
      </c>
      <c r="AG103" s="1">
        <f t="shared" si="151"/>
        <v>0</v>
      </c>
      <c r="AH103" s="1">
        <f t="shared" si="152"/>
        <v>0</v>
      </c>
      <c r="AI103" s="1">
        <f t="shared" si="153"/>
        <v>0</v>
      </c>
      <c r="AJ103" s="1">
        <f t="shared" si="154"/>
        <v>0</v>
      </c>
      <c r="AK103" s="1">
        <f t="shared" si="155"/>
        <v>0</v>
      </c>
      <c r="AM103" s="1828"/>
      <c r="AN103" s="1828"/>
      <c r="AO103" s="1828"/>
      <c r="AP103" s="1828"/>
      <c r="AQ103" s="1828"/>
      <c r="AR103" s="1828"/>
      <c r="AS103" s="1828"/>
      <c r="AT103" s="1828"/>
      <c r="AU103" s="1828"/>
      <c r="AV103" s="1828"/>
      <c r="AW103" s="1828"/>
      <c r="AX103" s="1828"/>
      <c r="AY103" s="1828"/>
      <c r="BA103" s="2014"/>
      <c r="BB103" s="2014" t="e">
        <f t="shared" si="125"/>
        <v>#REF!</v>
      </c>
      <c r="BC103" s="2014"/>
      <c r="BD103" s="2013" t="e">
        <f>BR103*#REF!</f>
        <v>#REF!</v>
      </c>
      <c r="BE103" s="2013" t="e">
        <f>BS103*#REF!</f>
        <v>#REF!</v>
      </c>
      <c r="BF103" s="2013" t="e">
        <f>BT103*#REF!</f>
        <v>#REF!</v>
      </c>
      <c r="BG103" s="2013" t="e">
        <f>BU103*#REF!</f>
        <v>#REF!</v>
      </c>
      <c r="BH103" s="2094" t="e">
        <f>BV103*#REF!</f>
        <v>#REF!</v>
      </c>
      <c r="BI103" s="2013" t="e">
        <f>BW103*#REF!</f>
        <v>#REF!</v>
      </c>
      <c r="BJ103" s="2013" t="e">
        <f>BX103*#REF!</f>
        <v>#REF!</v>
      </c>
      <c r="BK103" s="2013" t="e">
        <f>BY103*#REF!</f>
        <v>#REF!</v>
      </c>
      <c r="BL103" s="2013" t="e">
        <f>BZ103*#REF!</f>
        <v>#REF!</v>
      </c>
      <c r="BM103" s="2013" t="e">
        <f>CA103*#REF!</f>
        <v>#REF!</v>
      </c>
      <c r="BO103" s="2040" t="str">
        <f t="shared" si="126"/>
        <v>3.1.2</v>
      </c>
      <c r="BP103" s="2040" t="str">
        <f t="shared" si="127"/>
        <v xml:space="preserve"> Q2 3.1</v>
      </c>
      <c r="BQ103" s="829" t="str">
        <f t="shared" si="128"/>
        <v>空間の形状・自由さ</v>
      </c>
      <c r="BR103" s="2010">
        <f t="shared" si="129"/>
        <v>0.4</v>
      </c>
      <c r="BS103" s="2010">
        <f t="shared" si="130"/>
        <v>0.4</v>
      </c>
      <c r="BT103" s="2010">
        <f t="shared" si="131"/>
        <v>0.4</v>
      </c>
      <c r="BU103" s="2010">
        <f t="shared" si="132"/>
        <v>0.4</v>
      </c>
      <c r="BV103" s="2093">
        <f t="shared" si="133"/>
        <v>1</v>
      </c>
      <c r="BW103" s="2010">
        <f t="shared" si="134"/>
        <v>0.4</v>
      </c>
      <c r="BX103" s="2010">
        <f t="shared" si="135"/>
        <v>0.4</v>
      </c>
      <c r="BY103" s="2010">
        <f t="shared" si="136"/>
        <v>0.4</v>
      </c>
      <c r="BZ103" s="2010">
        <f t="shared" si="137"/>
        <v>0</v>
      </c>
      <c r="CA103" s="2010">
        <f t="shared" si="138"/>
        <v>0</v>
      </c>
      <c r="CB103" s="2039">
        <f t="shared" si="139"/>
        <v>0.4</v>
      </c>
      <c r="CC103" s="2010">
        <f t="shared" si="140"/>
        <v>0.4</v>
      </c>
      <c r="CD103" s="2010">
        <f t="shared" si="141"/>
        <v>0.4</v>
      </c>
      <c r="CF103" s="1207" t="s">
        <v>3231</v>
      </c>
      <c r="CG103" s="1211" t="s">
        <v>105</v>
      </c>
      <c r="CH103" s="1208" t="s">
        <v>107</v>
      </c>
      <c r="CI103" s="1209">
        <v>0.4</v>
      </c>
      <c r="CJ103" s="1209">
        <v>0.4</v>
      </c>
      <c r="CK103" s="1209">
        <v>0.4</v>
      </c>
      <c r="CL103" s="1209">
        <v>0.4</v>
      </c>
      <c r="CM103" s="1217">
        <v>1</v>
      </c>
      <c r="CN103" s="1209">
        <v>0.4</v>
      </c>
      <c r="CO103" s="1213">
        <v>0.4</v>
      </c>
      <c r="CP103" s="1209">
        <v>0.4</v>
      </c>
      <c r="CQ103" s="1209"/>
      <c r="CR103" s="1209"/>
      <c r="CS103" s="1214">
        <v>0.4</v>
      </c>
      <c r="CT103" s="1213">
        <v>0.4</v>
      </c>
      <c r="CU103" s="1213">
        <v>0.4</v>
      </c>
      <c r="CW103" s="1207" t="s">
        <v>3230</v>
      </c>
      <c r="CX103" s="1211" t="s">
        <v>105</v>
      </c>
      <c r="CY103" s="1208" t="s">
        <v>107</v>
      </c>
      <c r="CZ103" s="1213">
        <v>0.4</v>
      </c>
      <c r="DA103" s="1213">
        <v>0.4</v>
      </c>
      <c r="DB103" s="1213">
        <v>0.4</v>
      </c>
      <c r="DC103" s="1213">
        <v>0.4</v>
      </c>
      <c r="DD103" s="1220">
        <v>1</v>
      </c>
      <c r="DE103" s="1213">
        <v>0.4</v>
      </c>
      <c r="DF103" s="1213">
        <v>0.4</v>
      </c>
      <c r="DG103" s="1213">
        <v>0.4</v>
      </c>
      <c r="DH103" s="1213"/>
      <c r="DI103" s="1213"/>
      <c r="DJ103" s="1214">
        <v>0.4</v>
      </c>
      <c r="DK103" s="1213">
        <v>0.4</v>
      </c>
      <c r="DL103" s="1213">
        <v>0.4</v>
      </c>
      <c r="DN103" s="1207" t="s">
        <v>3229</v>
      </c>
      <c r="DO103" s="1211" t="s">
        <v>105</v>
      </c>
      <c r="DP103" s="1208" t="s">
        <v>107</v>
      </c>
      <c r="DQ103" s="1213">
        <v>0.4</v>
      </c>
      <c r="DR103" s="1213">
        <v>0.4</v>
      </c>
      <c r="DS103" s="1213">
        <v>0.4</v>
      </c>
      <c r="DT103" s="1213">
        <v>0.4</v>
      </c>
      <c r="DU103" s="1220">
        <v>1</v>
      </c>
      <c r="DV103" s="1213">
        <v>0.4</v>
      </c>
      <c r="DW103" s="1213">
        <v>0.4</v>
      </c>
      <c r="DX103" s="1213">
        <v>0.4</v>
      </c>
      <c r="DY103" s="1213"/>
      <c r="DZ103" s="1213"/>
      <c r="EA103" s="1214">
        <v>0.4</v>
      </c>
      <c r="EB103" s="1213">
        <v>0.4</v>
      </c>
      <c r="EC103" s="1213">
        <v>0.4</v>
      </c>
      <c r="ED103" s="1469"/>
      <c r="EF103" s="1207" t="s">
        <v>3228</v>
      </c>
      <c r="EG103" s="1211" t="s">
        <v>105</v>
      </c>
      <c r="EH103" s="1208" t="s">
        <v>107</v>
      </c>
      <c r="EI103" s="1689">
        <v>0</v>
      </c>
      <c r="EJ103" s="1689">
        <v>0</v>
      </c>
      <c r="EK103" s="1689">
        <v>0</v>
      </c>
      <c r="EL103" s="1689">
        <v>0</v>
      </c>
      <c r="EM103" s="1689">
        <v>0</v>
      </c>
      <c r="EN103" s="1689">
        <v>0</v>
      </c>
      <c r="EO103" s="1689">
        <v>0</v>
      </c>
      <c r="EP103" s="1689">
        <v>0</v>
      </c>
      <c r="EQ103" s="1689">
        <v>0</v>
      </c>
      <c r="ER103" s="1689">
        <v>0</v>
      </c>
      <c r="ES103" s="1689">
        <v>0</v>
      </c>
      <c r="ET103" s="1689">
        <v>0</v>
      </c>
      <c r="EU103" s="1689">
        <v>0</v>
      </c>
      <c r="EW103" s="1207" t="s">
        <v>3227</v>
      </c>
      <c r="EX103" s="1211" t="s">
        <v>105</v>
      </c>
      <c r="EY103" s="1208" t="s">
        <v>107</v>
      </c>
      <c r="EZ103" s="1814">
        <v>1</v>
      </c>
      <c r="FA103" s="1678"/>
      <c r="FB103" s="1678"/>
      <c r="FC103" s="1678"/>
      <c r="FD103" s="1678"/>
      <c r="FE103" s="1678"/>
      <c r="FF103" s="1678"/>
      <c r="FG103" s="1678"/>
      <c r="FH103" s="1678"/>
      <c r="FI103" s="1678"/>
      <c r="FJ103" s="1678"/>
      <c r="FK103" s="1678"/>
      <c r="FL103" s="1678"/>
    </row>
    <row r="104" spans="2:168" ht="14.25" thickBot="1">
      <c r="B104" s="2023">
        <f t="shared" si="142"/>
        <v>3.2</v>
      </c>
      <c r="C104" s="829" t="str">
        <f t="shared" si="120"/>
        <v>荷重のゆとり</v>
      </c>
      <c r="D104" s="2022" t="e">
        <f>IF(I$100=0,0,G104/I$100)</f>
        <v>#REF!</v>
      </c>
      <c r="E104" s="2021" t="e">
        <f>IF(J$100=0,0,H104/J$100)</f>
        <v>#REF!</v>
      </c>
      <c r="G104" s="2021" t="e">
        <f t="shared" si="121"/>
        <v>#REF!</v>
      </c>
      <c r="H104" s="2021" t="e">
        <f t="shared" si="122"/>
        <v>#REF!</v>
      </c>
      <c r="I104" s="2021"/>
      <c r="J104" s="2021"/>
      <c r="K104" s="2021" t="e">
        <f>IF(#REF!=0,0,1)</f>
        <v>#REF!</v>
      </c>
      <c r="L104" s="2021" t="e">
        <f>IF(#REF!=0,0,1)</f>
        <v>#REF!</v>
      </c>
      <c r="M104" s="2021">
        <f t="shared" si="123"/>
        <v>0.3</v>
      </c>
      <c r="N104" s="2021">
        <f t="shared" si="169"/>
        <v>0</v>
      </c>
      <c r="P104" s="2123"/>
      <c r="Q104" s="2069">
        <v>3.2</v>
      </c>
      <c r="R104" s="2034" t="s">
        <v>1037</v>
      </c>
      <c r="S104" s="1655"/>
      <c r="T104" s="2036"/>
      <c r="U104" s="2017"/>
      <c r="V104" s="2016">
        <f t="shared" si="158"/>
        <v>0</v>
      </c>
      <c r="W104" s="2015">
        <f t="shared" si="159"/>
        <v>0</v>
      </c>
      <c r="Y104" s="1">
        <f t="shared" si="143"/>
        <v>0</v>
      </c>
      <c r="Z104" s="1">
        <f t="shared" si="144"/>
        <v>0</v>
      </c>
      <c r="AA104" s="1">
        <f t="shared" si="145"/>
        <v>0</v>
      </c>
      <c r="AB104" s="1">
        <f t="shared" si="146"/>
        <v>0</v>
      </c>
      <c r="AC104" s="1">
        <f t="shared" si="147"/>
        <v>0</v>
      </c>
      <c r="AD104" s="1">
        <f t="shared" si="148"/>
        <v>0</v>
      </c>
      <c r="AE104" s="1">
        <f t="shared" si="149"/>
        <v>0</v>
      </c>
      <c r="AF104" s="1">
        <f t="shared" si="150"/>
        <v>0</v>
      </c>
      <c r="AG104" s="1">
        <f t="shared" si="151"/>
        <v>0</v>
      </c>
      <c r="AH104" s="1">
        <f t="shared" si="152"/>
        <v>0</v>
      </c>
      <c r="AI104" s="1">
        <f t="shared" si="153"/>
        <v>0</v>
      </c>
      <c r="AJ104" s="1">
        <f t="shared" si="154"/>
        <v>0</v>
      </c>
      <c r="AK104" s="1">
        <f t="shared" si="155"/>
        <v>0</v>
      </c>
      <c r="AM104" s="1829"/>
      <c r="AN104" s="1829"/>
      <c r="AO104" s="1829"/>
      <c r="AP104" s="1829"/>
      <c r="AQ104" s="1829"/>
      <c r="AR104" s="1829"/>
      <c r="AS104" s="1829"/>
      <c r="AT104" s="1829"/>
      <c r="AU104" s="1829"/>
      <c r="AV104" s="1829"/>
      <c r="AW104" s="1829"/>
      <c r="AX104" s="1829"/>
      <c r="AY104" s="1829"/>
      <c r="BA104" s="2014"/>
      <c r="BB104" s="2014" t="e">
        <f t="shared" si="125"/>
        <v>#REF!</v>
      </c>
      <c r="BC104" s="2014"/>
      <c r="BD104" s="2013" t="e">
        <f>BR104*#REF!</f>
        <v>#REF!</v>
      </c>
      <c r="BE104" s="2013" t="e">
        <f>BS104*#REF!</f>
        <v>#REF!</v>
      </c>
      <c r="BF104" s="2013" t="e">
        <f>BT104*#REF!</f>
        <v>#REF!</v>
      </c>
      <c r="BG104" s="2013" t="e">
        <f>BU104*#REF!</f>
        <v>#REF!</v>
      </c>
      <c r="BH104" s="2094" t="e">
        <f>BV104*#REF!</f>
        <v>#REF!</v>
      </c>
      <c r="BI104" s="2013" t="e">
        <f>BW104*#REF!</f>
        <v>#REF!</v>
      </c>
      <c r="BJ104" s="2013" t="e">
        <f>BX104*#REF!</f>
        <v>#REF!</v>
      </c>
      <c r="BK104" s="2013" t="e">
        <f>BY104*#REF!</f>
        <v>#REF!</v>
      </c>
      <c r="BL104" s="2013" t="e">
        <f>BZ104*#REF!</f>
        <v>#REF!</v>
      </c>
      <c r="BM104" s="2013" t="e">
        <f>CA104*#REF!</f>
        <v>#REF!</v>
      </c>
      <c r="BO104" s="2040">
        <f t="shared" si="126"/>
        <v>3.2</v>
      </c>
      <c r="BP104" s="2040" t="str">
        <f t="shared" si="127"/>
        <v xml:space="preserve"> Q2 3</v>
      </c>
      <c r="BQ104" s="829" t="str">
        <f t="shared" si="128"/>
        <v>荷重のゆとり</v>
      </c>
      <c r="BR104" s="2010">
        <f t="shared" si="129"/>
        <v>0.3</v>
      </c>
      <c r="BS104" s="2010">
        <f t="shared" si="130"/>
        <v>0.3</v>
      </c>
      <c r="BT104" s="2010">
        <f t="shared" si="131"/>
        <v>0.3</v>
      </c>
      <c r="BU104" s="2010">
        <f t="shared" si="132"/>
        <v>0.3</v>
      </c>
      <c r="BV104" s="2093">
        <f t="shared" si="133"/>
        <v>0.3</v>
      </c>
      <c r="BW104" s="2010">
        <f t="shared" si="134"/>
        <v>0.3</v>
      </c>
      <c r="BX104" s="2010">
        <f t="shared" si="135"/>
        <v>0.3</v>
      </c>
      <c r="BY104" s="2010">
        <f t="shared" si="136"/>
        <v>0.3</v>
      </c>
      <c r="BZ104" s="2010">
        <f t="shared" si="137"/>
        <v>0</v>
      </c>
      <c r="CA104" s="2010">
        <f t="shared" si="138"/>
        <v>0</v>
      </c>
      <c r="CB104" s="2039">
        <f t="shared" si="139"/>
        <v>0.5</v>
      </c>
      <c r="CC104" s="2010">
        <f t="shared" si="140"/>
        <v>0.5</v>
      </c>
      <c r="CD104" s="2010">
        <f t="shared" si="141"/>
        <v>0.5</v>
      </c>
      <c r="CF104" s="1207">
        <v>3.2</v>
      </c>
      <c r="CG104" s="1211" t="s">
        <v>104</v>
      </c>
      <c r="CH104" s="1208" t="s">
        <v>1037</v>
      </c>
      <c r="CI104" s="1209">
        <v>0.3</v>
      </c>
      <c r="CJ104" s="1209">
        <v>0.3</v>
      </c>
      <c r="CK104" s="1209">
        <v>0.3</v>
      </c>
      <c r="CL104" s="1209">
        <v>0.3</v>
      </c>
      <c r="CM104" s="1217">
        <v>0.3</v>
      </c>
      <c r="CN104" s="1209">
        <v>0.3</v>
      </c>
      <c r="CO104" s="1213">
        <v>0.3</v>
      </c>
      <c r="CP104" s="1209">
        <v>0.3</v>
      </c>
      <c r="CQ104" s="1209"/>
      <c r="CR104" s="1209"/>
      <c r="CS104" s="1214">
        <v>0.5</v>
      </c>
      <c r="CT104" s="1213">
        <v>0.5</v>
      </c>
      <c r="CU104" s="1213">
        <v>0.5</v>
      </c>
      <c r="CW104" s="1207">
        <v>3.2</v>
      </c>
      <c r="CX104" s="1211" t="s">
        <v>104</v>
      </c>
      <c r="CY104" s="1208" t="s">
        <v>1037</v>
      </c>
      <c r="CZ104" s="1213">
        <v>0.3</v>
      </c>
      <c r="DA104" s="1213">
        <v>0.3</v>
      </c>
      <c r="DB104" s="1213">
        <v>0.3</v>
      </c>
      <c r="DC104" s="1213">
        <v>0.3</v>
      </c>
      <c r="DD104" s="1220">
        <v>0.3</v>
      </c>
      <c r="DE104" s="1213">
        <v>0.3</v>
      </c>
      <c r="DF104" s="1213">
        <v>0.3</v>
      </c>
      <c r="DG104" s="1213">
        <v>0.3</v>
      </c>
      <c r="DH104" s="1213"/>
      <c r="DI104" s="1213"/>
      <c r="DJ104" s="1214">
        <v>0.5</v>
      </c>
      <c r="DK104" s="1213">
        <v>0.5</v>
      </c>
      <c r="DL104" s="1213">
        <v>0.5</v>
      </c>
      <c r="DN104" s="1207">
        <v>3.2</v>
      </c>
      <c r="DO104" s="1211" t="s">
        <v>104</v>
      </c>
      <c r="DP104" s="1208" t="s">
        <v>1037</v>
      </c>
      <c r="DQ104" s="1213">
        <v>0.3</v>
      </c>
      <c r="DR104" s="1213">
        <v>0.3</v>
      </c>
      <c r="DS104" s="1213">
        <v>0.3</v>
      </c>
      <c r="DT104" s="1213">
        <v>0.3</v>
      </c>
      <c r="DU104" s="1220">
        <v>0.3</v>
      </c>
      <c r="DV104" s="1213">
        <v>0.3</v>
      </c>
      <c r="DW104" s="1213">
        <v>0.3</v>
      </c>
      <c r="DX104" s="1213">
        <v>0.3</v>
      </c>
      <c r="DY104" s="1213"/>
      <c r="DZ104" s="1213"/>
      <c r="EA104" s="1214">
        <v>0.5</v>
      </c>
      <c r="EB104" s="1213">
        <v>0.5</v>
      </c>
      <c r="EC104" s="1213">
        <v>0.5</v>
      </c>
      <c r="ED104" s="1469"/>
      <c r="EF104" s="1207">
        <v>3.2</v>
      </c>
      <c r="EG104" s="1211" t="s">
        <v>104</v>
      </c>
      <c r="EH104" s="1208" t="s">
        <v>1037</v>
      </c>
      <c r="EI104" s="1689">
        <v>0</v>
      </c>
      <c r="EJ104" s="1689">
        <v>0</v>
      </c>
      <c r="EK104" s="1689">
        <v>0</v>
      </c>
      <c r="EL104" s="1689">
        <v>0</v>
      </c>
      <c r="EM104" s="1689">
        <v>0</v>
      </c>
      <c r="EN104" s="1689">
        <v>0</v>
      </c>
      <c r="EO104" s="1689">
        <v>0</v>
      </c>
      <c r="EP104" s="1689">
        <v>0</v>
      </c>
      <c r="EQ104" s="1689">
        <v>0</v>
      </c>
      <c r="ER104" s="1689">
        <v>0</v>
      </c>
      <c r="ES104" s="1689">
        <v>0</v>
      </c>
      <c r="ET104" s="1689">
        <v>0</v>
      </c>
      <c r="EU104" s="1689">
        <v>0</v>
      </c>
      <c r="EW104" s="1207">
        <v>3.2</v>
      </c>
      <c r="EX104" s="1211" t="s">
        <v>104</v>
      </c>
      <c r="EY104" s="1208" t="s">
        <v>1037</v>
      </c>
      <c r="EZ104" s="1678">
        <f>DQ104</f>
        <v>0.3</v>
      </c>
      <c r="FA104" s="1678"/>
      <c r="FB104" s="1678"/>
      <c r="FC104" s="1678"/>
      <c r="FD104" s="1678"/>
      <c r="FE104" s="1678"/>
      <c r="FF104" s="1678"/>
      <c r="FG104" s="1678"/>
      <c r="FH104" s="1678"/>
      <c r="FI104" s="1678"/>
      <c r="FJ104" s="1678"/>
      <c r="FK104" s="1678"/>
      <c r="FL104" s="1678"/>
    </row>
    <row r="105" spans="2:168" ht="14.25" thickBot="1">
      <c r="B105" s="2023">
        <f t="shared" si="142"/>
        <v>3.3</v>
      </c>
      <c r="C105" s="829" t="str">
        <f t="shared" ref="C105:C136" si="170">BQ105</f>
        <v>設備の更新性</v>
      </c>
      <c r="D105" s="2022" t="e">
        <f>IF(I$100=0,0,G105/I$100)</f>
        <v>#REF!</v>
      </c>
      <c r="E105" s="2021" t="e">
        <f>IF(J$100=0,0,H105/J$100)</f>
        <v>#REF!</v>
      </c>
      <c r="G105" s="2021" t="e">
        <f t="shared" ref="G105:G136" si="171">K105*M105</f>
        <v>#REF!</v>
      </c>
      <c r="H105" s="2021" t="e">
        <f t="shared" ref="H105:H136" si="172">L105*N105</f>
        <v>#REF!</v>
      </c>
      <c r="I105" s="2021" t="e">
        <f>SUM(G106:G111)</f>
        <v>#REF!</v>
      </c>
      <c r="J105" s="2021" t="e">
        <f>SUM(H106:H111)</f>
        <v>#REF!</v>
      </c>
      <c r="K105" s="2021" t="e">
        <f>IF(#REF!=0,0,1)</f>
        <v>#REF!</v>
      </c>
      <c r="L105" s="2021" t="e">
        <f>IF(#REF!=0,0,1)</f>
        <v>#REF!</v>
      </c>
      <c r="M105" s="2021">
        <f t="shared" ref="M105:M136" si="173">SUMPRODUCT($BR$7:$CA$7,BR105:CA105)</f>
        <v>0.4</v>
      </c>
      <c r="N105" s="2021">
        <f t="shared" si="169"/>
        <v>0</v>
      </c>
      <c r="P105" s="2123"/>
      <c r="Q105" s="2068">
        <v>3.3</v>
      </c>
      <c r="R105" s="2129" t="s">
        <v>1038</v>
      </c>
      <c r="S105" s="2107"/>
      <c r="T105" s="2106"/>
      <c r="U105" s="2017"/>
      <c r="V105" s="2105">
        <f t="shared" si="158"/>
        <v>0</v>
      </c>
      <c r="W105" s="2104">
        <f t="shared" si="159"/>
        <v>0</v>
      </c>
      <c r="Y105" s="1">
        <f t="shared" si="143"/>
        <v>0</v>
      </c>
      <c r="Z105" s="1">
        <f t="shared" si="144"/>
        <v>0</v>
      </c>
      <c r="AA105" s="1">
        <f t="shared" si="145"/>
        <v>0</v>
      </c>
      <c r="AB105" s="1">
        <f t="shared" si="146"/>
        <v>0</v>
      </c>
      <c r="AC105" s="1">
        <f t="shared" si="147"/>
        <v>0</v>
      </c>
      <c r="AD105" s="1">
        <f t="shared" si="148"/>
        <v>0</v>
      </c>
      <c r="AE105" s="1">
        <f t="shared" si="149"/>
        <v>0</v>
      </c>
      <c r="AF105" s="1">
        <f t="shared" si="150"/>
        <v>0</v>
      </c>
      <c r="AG105" s="1">
        <f t="shared" si="151"/>
        <v>0</v>
      </c>
      <c r="AH105" s="1">
        <f t="shared" si="152"/>
        <v>0</v>
      </c>
      <c r="AI105" s="1">
        <f t="shared" si="153"/>
        <v>0</v>
      </c>
      <c r="AJ105" s="1">
        <f t="shared" si="154"/>
        <v>0</v>
      </c>
      <c r="AK105" s="1">
        <f t="shared" si="155"/>
        <v>0</v>
      </c>
      <c r="AM105" s="2103" t="s">
        <v>3225</v>
      </c>
      <c r="AN105" s="2103" t="s">
        <v>3163</v>
      </c>
      <c r="AO105" s="2103" t="s">
        <v>3225</v>
      </c>
      <c r="AP105" s="2103" t="s">
        <v>3163</v>
      </c>
      <c r="AQ105" s="2103" t="s">
        <v>3225</v>
      </c>
      <c r="AR105" s="2103" t="s">
        <v>3168</v>
      </c>
      <c r="AS105" s="2103" t="s">
        <v>3225</v>
      </c>
      <c r="AT105" s="2103" t="s">
        <v>3225</v>
      </c>
      <c r="AU105" s="2103" t="s">
        <v>3163</v>
      </c>
      <c r="AV105" s="2103" t="s">
        <v>3226</v>
      </c>
      <c r="AW105" s="2103" t="s">
        <v>3226</v>
      </c>
      <c r="AX105" s="2103" t="s">
        <v>3225</v>
      </c>
      <c r="AY105" s="2103" t="s">
        <v>3225</v>
      </c>
      <c r="BA105" s="2014"/>
      <c r="BB105" s="2014" t="e">
        <f t="shared" ref="BB105:BB122" si="174">SUMPRODUCT($BD$7:$BM$7,BD105:BM105)</f>
        <v>#REF!</v>
      </c>
      <c r="BC105" s="2014"/>
      <c r="BD105" s="2013" t="e">
        <f>BR105*#REF!</f>
        <v>#REF!</v>
      </c>
      <c r="BE105" s="2013" t="e">
        <f>BS105*#REF!</f>
        <v>#REF!</v>
      </c>
      <c r="BF105" s="2013" t="e">
        <f>BT105*#REF!</f>
        <v>#REF!</v>
      </c>
      <c r="BG105" s="2013" t="e">
        <f>BU105*#REF!</f>
        <v>#REF!</v>
      </c>
      <c r="BH105" s="2094" t="e">
        <f>BV105*#REF!</f>
        <v>#REF!</v>
      </c>
      <c r="BI105" s="2013" t="e">
        <f>BW105*#REF!</f>
        <v>#REF!</v>
      </c>
      <c r="BJ105" s="2013" t="e">
        <f>BX105*#REF!</f>
        <v>#REF!</v>
      </c>
      <c r="BK105" s="2013" t="e">
        <f>BY105*#REF!</f>
        <v>#REF!</v>
      </c>
      <c r="BL105" s="2013" t="e">
        <f>BZ105*#REF!</f>
        <v>#REF!</v>
      </c>
      <c r="BM105" s="2013" t="e">
        <f>CA105*#REF!</f>
        <v>#REF!</v>
      </c>
      <c r="BO105" s="2040">
        <f t="shared" ref="BO105:BO136" si="175">IF($BO$3=1,CW105,IF($BO$3=2,DN105,IF($BO$3=3,EF105,IF($BO$3=4,EW105,CF105))))</f>
        <v>3.3</v>
      </c>
      <c r="BP105" s="2040" t="str">
        <f t="shared" ref="BP105:BP136" si="176">IF($BO$3=1,CX105,IF($BO$3=2,DO105,IF($BO$3=3,EG105,IF($BO$3=4,EX105,CG105))))</f>
        <v xml:space="preserve"> Q2 3</v>
      </c>
      <c r="BQ105" s="829" t="str">
        <f t="shared" ref="BQ105:BQ136" si="177">IF($BO$3=1,CY105,IF($BO$3=2,DP105,IF($BO$3=3,EH105,IF($BO$3=4,EY105,CH105))))</f>
        <v>設備の更新性</v>
      </c>
      <c r="BR105" s="2010">
        <f t="shared" ref="BR105:BR136" si="178">IF($BO$3=1,CZ105,IF($BO$3=2,DQ105,IF($BO$3=3,EI105,IF($BO$3=4,EZ105,CI105))))</f>
        <v>0.4</v>
      </c>
      <c r="BS105" s="2010">
        <f t="shared" ref="BS105:BS136" si="179">IF($BO$3=1,DA105,IF($BO$3=2,DR105,IF($BO$3=3,EJ105,IF($BO$3=4,FA105,CJ105))))</f>
        <v>0.4</v>
      </c>
      <c r="BT105" s="2010">
        <f t="shared" ref="BT105:BT136" si="180">IF($BO$3=1,DB105,IF($BO$3=2,DS105,IF($BO$3=3,EK105,IF($BO$3=4,FB105,CK105))))</f>
        <v>0.4</v>
      </c>
      <c r="BU105" s="2010">
        <f t="shared" ref="BU105:BU136" si="181">IF($BO$3=1,DC105,IF($BO$3=2,DT105,IF($BO$3=3,EL105,IF($BO$3=4,FC105,CL105))))</f>
        <v>0.4</v>
      </c>
      <c r="BV105" s="2093">
        <f t="shared" ref="BV105:BV136" si="182">IF($BO$3=1,DD105,IF($BO$3=2,DU105,IF($BO$3=3,EM105,IF($BO$3=4,FD105,CM105))))</f>
        <v>0.4</v>
      </c>
      <c r="BW105" s="2010">
        <f t="shared" ref="BW105:BW136" si="183">IF($BO$3=1,DE105,IF($BO$3=2,DV105,IF($BO$3=3,EN105,IF($BO$3=4,FE105,CN105))))</f>
        <v>0.4</v>
      </c>
      <c r="BX105" s="2010">
        <f t="shared" ref="BX105:BX136" si="184">IF($BO$3=1,DF105,IF($BO$3=2,DW105,IF($BO$3=3,EO105,IF($BO$3=4,FF105,CO105))))</f>
        <v>0.4</v>
      </c>
      <c r="BY105" s="2010">
        <f t="shared" ref="BY105:BY136" si="185">IF($BO$3=1,DG105,IF($BO$3=2,DX105,IF($BO$3=3,EP105,IF($BO$3=4,FG105,CP105))))</f>
        <v>0.4</v>
      </c>
      <c r="BZ105" s="2010">
        <f t="shared" ref="BZ105:BZ136" si="186">IF($BO$3=1,DH105,IF($BO$3=2,DY105,IF($BO$3=3,EQ105,IF($BO$3=4,FH105,CQ105))))</f>
        <v>1</v>
      </c>
      <c r="CA105" s="2010">
        <f t="shared" ref="CA105:CA136" si="187">IF($BO$3=1,DI105,IF($BO$3=2,DZ105,IF($BO$3=3,ER105,IF($BO$3=4,FI105,CR105))))</f>
        <v>1</v>
      </c>
      <c r="CB105" s="2039">
        <f t="shared" ref="CB105:CB136" si="188">IF($BO$3=1,DJ105,IF($BO$3=2,EA105,IF($BO$3=3,ES105,IF($BO$3=4,FJ105,CS105))))</f>
        <v>0</v>
      </c>
      <c r="CC105" s="2010">
        <f t="shared" ref="CC105:CC136" si="189">IF($BO$3=1,DK105,IF($BO$3=2,EB105,IF($BO$3=3,ET105,IF($BO$3=4,FK105,CT105))))</f>
        <v>0</v>
      </c>
      <c r="CD105" s="2010">
        <f t="shared" ref="CD105:CD136" si="190">IF($BO$3=1,DL105,IF($BO$3=2,EC105,IF($BO$3=3,EU105,IF($BO$3=4,FL105,CU105))))</f>
        <v>0</v>
      </c>
      <c r="CF105" s="1207">
        <v>3.3</v>
      </c>
      <c r="CG105" s="1211" t="s">
        <v>104</v>
      </c>
      <c r="CH105" s="1208" t="s">
        <v>1038</v>
      </c>
      <c r="CI105" s="1209">
        <v>0.4</v>
      </c>
      <c r="CJ105" s="1209">
        <v>0.4</v>
      </c>
      <c r="CK105" s="1209">
        <v>0.4</v>
      </c>
      <c r="CL105" s="1209">
        <v>0.4</v>
      </c>
      <c r="CM105" s="1217">
        <v>0.4</v>
      </c>
      <c r="CN105" s="1209">
        <v>0.4</v>
      </c>
      <c r="CO105" s="1213">
        <v>0.4</v>
      </c>
      <c r="CP105" s="1209">
        <v>0.4</v>
      </c>
      <c r="CQ105" s="1209">
        <v>1</v>
      </c>
      <c r="CR105" s="1209">
        <v>1</v>
      </c>
      <c r="CS105" s="1214"/>
      <c r="CT105" s="1213"/>
      <c r="CU105" s="1213"/>
      <c r="CW105" s="1207">
        <v>3.3</v>
      </c>
      <c r="CX105" s="1211" t="s">
        <v>104</v>
      </c>
      <c r="CY105" s="1208" t="s">
        <v>1038</v>
      </c>
      <c r="CZ105" s="1213">
        <v>0.4</v>
      </c>
      <c r="DA105" s="1213">
        <v>0.4</v>
      </c>
      <c r="DB105" s="1213">
        <v>0.4</v>
      </c>
      <c r="DC105" s="1213">
        <v>0.4</v>
      </c>
      <c r="DD105" s="1220">
        <v>0.4</v>
      </c>
      <c r="DE105" s="1213">
        <v>0.4</v>
      </c>
      <c r="DF105" s="1213">
        <v>0.4</v>
      </c>
      <c r="DG105" s="1213">
        <v>0.4</v>
      </c>
      <c r="DH105" s="1213">
        <v>1</v>
      </c>
      <c r="DI105" s="1213">
        <v>1</v>
      </c>
      <c r="DJ105" s="1214"/>
      <c r="DK105" s="1213"/>
      <c r="DL105" s="1213"/>
      <c r="DN105" s="1207">
        <v>3.3</v>
      </c>
      <c r="DO105" s="1211" t="s">
        <v>104</v>
      </c>
      <c r="DP105" s="1208" t="s">
        <v>1038</v>
      </c>
      <c r="DQ105" s="1213">
        <v>0.4</v>
      </c>
      <c r="DR105" s="1213">
        <v>0.4</v>
      </c>
      <c r="DS105" s="1213">
        <v>0.4</v>
      </c>
      <c r="DT105" s="1213">
        <v>0.4</v>
      </c>
      <c r="DU105" s="1220">
        <v>0.4</v>
      </c>
      <c r="DV105" s="1213">
        <v>0.4</v>
      </c>
      <c r="DW105" s="1213">
        <v>0.4</v>
      </c>
      <c r="DX105" s="1213">
        <v>0.4</v>
      </c>
      <c r="DY105" s="1213">
        <v>1</v>
      </c>
      <c r="DZ105" s="1213">
        <v>1</v>
      </c>
      <c r="EA105" s="1214"/>
      <c r="EB105" s="1213"/>
      <c r="EC105" s="1213"/>
      <c r="ED105" s="1469"/>
      <c r="EF105" s="1207">
        <v>3.3</v>
      </c>
      <c r="EG105" s="1211" t="s">
        <v>104</v>
      </c>
      <c r="EH105" s="1208" t="s">
        <v>1038</v>
      </c>
      <c r="EI105" s="1689">
        <v>0</v>
      </c>
      <c r="EJ105" s="1689">
        <v>0</v>
      </c>
      <c r="EK105" s="1689">
        <v>0</v>
      </c>
      <c r="EL105" s="1689">
        <v>0</v>
      </c>
      <c r="EM105" s="1689">
        <v>0</v>
      </c>
      <c r="EN105" s="1689">
        <v>0</v>
      </c>
      <c r="EO105" s="1689">
        <v>0</v>
      </c>
      <c r="EP105" s="1689">
        <v>0</v>
      </c>
      <c r="EQ105" s="1689">
        <v>0</v>
      </c>
      <c r="ER105" s="1689">
        <v>0</v>
      </c>
      <c r="ES105" s="1689">
        <v>0</v>
      </c>
      <c r="ET105" s="1689">
        <v>0</v>
      </c>
      <c r="EU105" s="1689">
        <v>0</v>
      </c>
      <c r="EW105" s="1207">
        <v>3.3</v>
      </c>
      <c r="EX105" s="1211" t="s">
        <v>104</v>
      </c>
      <c r="EY105" s="1208" t="s">
        <v>1038</v>
      </c>
      <c r="EZ105" s="1678">
        <f>DQ105</f>
        <v>0.4</v>
      </c>
      <c r="FA105" s="1678"/>
      <c r="FB105" s="1678"/>
      <c r="FC105" s="1678"/>
      <c r="FD105" s="1678"/>
      <c r="FE105" s="1678"/>
      <c r="FF105" s="1678"/>
      <c r="FG105" s="1678"/>
      <c r="FH105" s="1678"/>
      <c r="FI105" s="1678"/>
      <c r="FJ105" s="1678"/>
      <c r="FK105" s="1678"/>
      <c r="FL105" s="1678"/>
    </row>
    <row r="106" spans="2:168">
      <c r="B106" s="2023" t="str">
        <f t="shared" si="142"/>
        <v>3.3.1</v>
      </c>
      <c r="C106" s="829" t="str">
        <f t="shared" si="170"/>
        <v>空調配管の更新性</v>
      </c>
      <c r="D106" s="2100" t="e">
        <f t="shared" ref="D106:E111" si="191">IF(I$105&gt;0,G106/I$105,0)</f>
        <v>#REF!</v>
      </c>
      <c r="E106" s="2021" t="e">
        <f t="shared" si="191"/>
        <v>#REF!</v>
      </c>
      <c r="G106" s="2021" t="e">
        <f t="shared" si="171"/>
        <v>#REF!</v>
      </c>
      <c r="H106" s="2021" t="e">
        <f t="shared" si="172"/>
        <v>#REF!</v>
      </c>
      <c r="I106" s="2021"/>
      <c r="J106" s="2021"/>
      <c r="K106" s="2021" t="e">
        <f>IF(#REF!=0,0,1)</f>
        <v>#REF!</v>
      </c>
      <c r="L106" s="2021" t="e">
        <f>IF(#REF!=0,0,1)</f>
        <v>#REF!</v>
      </c>
      <c r="M106" s="2021">
        <f t="shared" si="173"/>
        <v>0.2</v>
      </c>
      <c r="N106" s="2021">
        <f t="shared" si="169"/>
        <v>0</v>
      </c>
      <c r="P106" s="2123"/>
      <c r="Q106" s="2019"/>
      <c r="R106" s="993">
        <v>1</v>
      </c>
      <c r="S106" s="1655" t="s">
        <v>3224</v>
      </c>
      <c r="T106" s="2036"/>
      <c r="U106" s="2017"/>
      <c r="V106" s="2025">
        <f t="shared" si="158"/>
        <v>0</v>
      </c>
      <c r="W106" s="2024">
        <f t="shared" si="159"/>
        <v>0</v>
      </c>
      <c r="Y106" s="1">
        <f t="shared" ref="Y106:Y137" si="192">IF(OR(AM106=0,AM106="-"),0,1)</f>
        <v>0</v>
      </c>
      <c r="Z106" s="1">
        <f t="shared" ref="Z106:Z137" si="193">IF(OR(AN106=0,AN106="-"),0,1)</f>
        <v>0</v>
      </c>
      <c r="AA106" s="1">
        <f t="shared" ref="AA106:AA137" si="194">IF(OR(AO106=0,AO106="-"),0,1)</f>
        <v>0</v>
      </c>
      <c r="AB106" s="1">
        <f t="shared" ref="AB106:AB137" si="195">IF(OR(AP106=0,AP106="-"),0,1)</f>
        <v>0</v>
      </c>
      <c r="AC106" s="1">
        <f t="shared" ref="AC106:AC137" si="196">IF(OR(AQ106=0,AQ106="-"),0,1)</f>
        <v>0</v>
      </c>
      <c r="AD106" s="1">
        <f t="shared" ref="AD106:AD137" si="197">IF(OR(AR106=0,AR106="-"),0,1)</f>
        <v>0</v>
      </c>
      <c r="AE106" s="1">
        <f t="shared" ref="AE106:AE137" si="198">IF(OR(AS106=0,AS106="-"),0,1)</f>
        <v>0</v>
      </c>
      <c r="AF106" s="1">
        <f t="shared" ref="AF106:AF137" si="199">IF(OR(AT106=0,AT106="-"),0,1)</f>
        <v>0</v>
      </c>
      <c r="AG106" s="1">
        <f t="shared" ref="AG106:AG137" si="200">IF(OR(AU106=0,AU106="-"),0,1)</f>
        <v>0</v>
      </c>
      <c r="AH106" s="1">
        <f t="shared" ref="AH106:AH137" si="201">IF(OR(AV106=0,AV106="-"),0,1)</f>
        <v>0</v>
      </c>
      <c r="AI106" s="1">
        <f t="shared" ref="AI106:AI137" si="202">IF(OR(AW106=0,AW106="-"),0,1)</f>
        <v>0</v>
      </c>
      <c r="AJ106" s="1">
        <f t="shared" ref="AJ106:AJ137" si="203">IF(OR(AX106=0,AX106="-"),0,1)</f>
        <v>0</v>
      </c>
      <c r="AK106" s="1">
        <f t="shared" ref="AK106:AK137" si="204">IF(OR(AY106=0,AY106="-"),0,1)</f>
        <v>0</v>
      </c>
      <c r="AM106" s="1827"/>
      <c r="AN106" s="1827"/>
      <c r="AO106" s="1827"/>
      <c r="AP106" s="1827"/>
      <c r="AQ106" s="1827"/>
      <c r="AR106" s="1827"/>
      <c r="AS106" s="1827"/>
      <c r="AT106" s="1827"/>
      <c r="AU106" s="1827"/>
      <c r="AV106" s="1827"/>
      <c r="AW106" s="1827"/>
      <c r="AX106" s="1827"/>
      <c r="AY106" s="1827"/>
      <c r="BA106" s="2014"/>
      <c r="BB106" s="2014" t="e">
        <f t="shared" si="174"/>
        <v>#REF!</v>
      </c>
      <c r="BC106" s="2014"/>
      <c r="BD106" s="2013" t="e">
        <f>BR106*#REF!</f>
        <v>#REF!</v>
      </c>
      <c r="BE106" s="2013" t="e">
        <f>BS106*#REF!</f>
        <v>#REF!</v>
      </c>
      <c r="BF106" s="2013" t="e">
        <f>BT106*#REF!</f>
        <v>#REF!</v>
      </c>
      <c r="BG106" s="2013" t="e">
        <f>BU106*#REF!</f>
        <v>#REF!</v>
      </c>
      <c r="BH106" s="2094" t="e">
        <f>BV106*#REF!</f>
        <v>#REF!</v>
      </c>
      <c r="BI106" s="2013" t="e">
        <f>BW106*#REF!</f>
        <v>#REF!</v>
      </c>
      <c r="BJ106" s="2013" t="e">
        <f>BX106*#REF!</f>
        <v>#REF!</v>
      </c>
      <c r="BK106" s="2013" t="e">
        <f>BY106*#REF!</f>
        <v>#REF!</v>
      </c>
      <c r="BL106" s="2013" t="e">
        <f>BZ106*#REF!</f>
        <v>#REF!</v>
      </c>
      <c r="BM106" s="2013" t="e">
        <f>CA106*#REF!</f>
        <v>#REF!</v>
      </c>
      <c r="BO106" s="2040" t="str">
        <f t="shared" si="175"/>
        <v>3.3.1</v>
      </c>
      <c r="BP106" s="2040" t="str">
        <f t="shared" si="176"/>
        <v xml:space="preserve"> Q2 3.3</v>
      </c>
      <c r="BQ106" s="829" t="str">
        <f t="shared" si="177"/>
        <v>空調配管の更新性</v>
      </c>
      <c r="BR106" s="2010">
        <f t="shared" si="178"/>
        <v>0.2</v>
      </c>
      <c r="BS106" s="2010">
        <f t="shared" si="179"/>
        <v>0.2</v>
      </c>
      <c r="BT106" s="2010">
        <f t="shared" si="180"/>
        <v>0.2</v>
      </c>
      <c r="BU106" s="2010">
        <f t="shared" si="181"/>
        <v>0.2</v>
      </c>
      <c r="BV106" s="2093">
        <f t="shared" si="182"/>
        <v>0.2</v>
      </c>
      <c r="BW106" s="2010">
        <f t="shared" si="183"/>
        <v>0.2</v>
      </c>
      <c r="BX106" s="2010">
        <f t="shared" si="184"/>
        <v>0.2</v>
      </c>
      <c r="BY106" s="2010">
        <f t="shared" si="185"/>
        <v>0.2</v>
      </c>
      <c r="BZ106" s="2010">
        <f t="shared" si="186"/>
        <v>0.2</v>
      </c>
      <c r="CA106" s="2010">
        <f t="shared" si="187"/>
        <v>0.2</v>
      </c>
      <c r="CB106" s="2039">
        <f t="shared" si="188"/>
        <v>0</v>
      </c>
      <c r="CC106" s="2010">
        <f t="shared" si="189"/>
        <v>0</v>
      </c>
      <c r="CD106" s="2010">
        <f t="shared" si="190"/>
        <v>0</v>
      </c>
      <c r="CF106" s="1207" t="s">
        <v>3222</v>
      </c>
      <c r="CG106" s="1211" t="s">
        <v>108</v>
      </c>
      <c r="CH106" s="1208" t="s">
        <v>109</v>
      </c>
      <c r="CI106" s="1209">
        <v>0.2</v>
      </c>
      <c r="CJ106" s="1209">
        <v>0.2</v>
      </c>
      <c r="CK106" s="1209">
        <v>0.2</v>
      </c>
      <c r="CL106" s="1209">
        <v>0.2</v>
      </c>
      <c r="CM106" s="1217">
        <v>0.2</v>
      </c>
      <c r="CN106" s="1209">
        <v>0.2</v>
      </c>
      <c r="CO106" s="1213">
        <v>0.2</v>
      </c>
      <c r="CP106" s="1209">
        <v>0.2</v>
      </c>
      <c r="CQ106" s="1209">
        <v>0.2</v>
      </c>
      <c r="CR106" s="1209">
        <v>0.2</v>
      </c>
      <c r="CS106" s="1214"/>
      <c r="CT106" s="1213"/>
      <c r="CU106" s="1213"/>
      <c r="CW106" s="1207" t="s">
        <v>3223</v>
      </c>
      <c r="CX106" s="1211" t="s">
        <v>108</v>
      </c>
      <c r="CY106" s="1208" t="s">
        <v>109</v>
      </c>
      <c r="CZ106" s="1213">
        <v>0.2</v>
      </c>
      <c r="DA106" s="1213">
        <v>0.2</v>
      </c>
      <c r="DB106" s="1213">
        <v>0.2</v>
      </c>
      <c r="DC106" s="1213">
        <v>0.2</v>
      </c>
      <c r="DD106" s="1220">
        <v>0.2</v>
      </c>
      <c r="DE106" s="1213">
        <v>0.2</v>
      </c>
      <c r="DF106" s="1213">
        <v>0.2</v>
      </c>
      <c r="DG106" s="1213">
        <v>0.2</v>
      </c>
      <c r="DH106" s="1213">
        <v>0.2</v>
      </c>
      <c r="DI106" s="1213">
        <v>0.2</v>
      </c>
      <c r="DJ106" s="1214"/>
      <c r="DK106" s="1213"/>
      <c r="DL106" s="1213"/>
      <c r="DN106" s="1207" t="s">
        <v>3222</v>
      </c>
      <c r="DO106" s="1211" t="s">
        <v>108</v>
      </c>
      <c r="DP106" s="1208" t="s">
        <v>109</v>
      </c>
      <c r="DQ106" s="1213">
        <v>0.2</v>
      </c>
      <c r="DR106" s="1213">
        <v>0.2</v>
      </c>
      <c r="DS106" s="1213">
        <v>0.2</v>
      </c>
      <c r="DT106" s="1213">
        <v>0.2</v>
      </c>
      <c r="DU106" s="1220">
        <v>0.2</v>
      </c>
      <c r="DV106" s="1213">
        <v>0.2</v>
      </c>
      <c r="DW106" s="1213">
        <v>0.2</v>
      </c>
      <c r="DX106" s="1213">
        <v>0.2</v>
      </c>
      <c r="DY106" s="1213">
        <v>0.2</v>
      </c>
      <c r="DZ106" s="1213">
        <v>0.2</v>
      </c>
      <c r="EA106" s="1214"/>
      <c r="EB106" s="1213"/>
      <c r="EC106" s="1213"/>
      <c r="ED106" s="1469"/>
      <c r="EF106" s="1207" t="s">
        <v>3222</v>
      </c>
      <c r="EG106" s="1211" t="s">
        <v>108</v>
      </c>
      <c r="EH106" s="1208" t="s">
        <v>109</v>
      </c>
      <c r="EI106" s="1689">
        <v>0</v>
      </c>
      <c r="EJ106" s="1689">
        <v>0</v>
      </c>
      <c r="EK106" s="1689">
        <v>0</v>
      </c>
      <c r="EL106" s="1689">
        <v>0</v>
      </c>
      <c r="EM106" s="1689">
        <v>0</v>
      </c>
      <c r="EN106" s="1689">
        <v>0</v>
      </c>
      <c r="EO106" s="1689">
        <v>0</v>
      </c>
      <c r="EP106" s="1689">
        <v>0</v>
      </c>
      <c r="EQ106" s="1689">
        <v>0</v>
      </c>
      <c r="ER106" s="1689">
        <v>0</v>
      </c>
      <c r="ES106" s="1689">
        <v>0</v>
      </c>
      <c r="ET106" s="1689">
        <v>0</v>
      </c>
      <c r="EU106" s="1689">
        <v>0</v>
      </c>
      <c r="EW106" s="1207" t="s">
        <v>3222</v>
      </c>
      <c r="EX106" s="1211" t="s">
        <v>108</v>
      </c>
      <c r="EY106" s="1208" t="s">
        <v>109</v>
      </c>
      <c r="EZ106" s="1814">
        <v>0</v>
      </c>
      <c r="FA106" s="1678"/>
      <c r="FB106" s="1678"/>
      <c r="FC106" s="1678"/>
      <c r="FD106" s="1678"/>
      <c r="FE106" s="1678"/>
      <c r="FF106" s="1678"/>
      <c r="FG106" s="1678"/>
      <c r="FH106" s="1678"/>
      <c r="FI106" s="1678"/>
      <c r="FJ106" s="1678"/>
      <c r="FK106" s="1678"/>
      <c r="FL106" s="1678"/>
    </row>
    <row r="107" spans="2:168">
      <c r="B107" s="2023" t="str">
        <f t="shared" si="142"/>
        <v>3.3.2</v>
      </c>
      <c r="C107" s="829" t="str">
        <f t="shared" si="170"/>
        <v>給排水管の更新性</v>
      </c>
      <c r="D107" s="2100" t="e">
        <f t="shared" si="191"/>
        <v>#REF!</v>
      </c>
      <c r="E107" s="2021" t="e">
        <f t="shared" si="191"/>
        <v>#REF!</v>
      </c>
      <c r="G107" s="2021" t="e">
        <f t="shared" si="171"/>
        <v>#REF!</v>
      </c>
      <c r="H107" s="2021" t="e">
        <f t="shared" si="172"/>
        <v>#REF!</v>
      </c>
      <c r="I107" s="2021"/>
      <c r="J107" s="2021"/>
      <c r="K107" s="2021" t="e">
        <f>IF(#REF!=0,0,1)</f>
        <v>#REF!</v>
      </c>
      <c r="L107" s="2021" t="e">
        <f>IF(#REF!=0,0,1)</f>
        <v>#REF!</v>
      </c>
      <c r="M107" s="2021">
        <f t="shared" si="173"/>
        <v>0.2</v>
      </c>
      <c r="N107" s="2021">
        <f t="shared" si="169"/>
        <v>0</v>
      </c>
      <c r="P107" s="2123"/>
      <c r="Q107" s="2019"/>
      <c r="R107" s="2018">
        <v>2</v>
      </c>
      <c r="S107" s="2107" t="s">
        <v>1039</v>
      </c>
      <c r="T107" s="2106"/>
      <c r="U107" s="2017"/>
      <c r="V107" s="2038">
        <f t="shared" si="158"/>
        <v>0</v>
      </c>
      <c r="W107" s="2037">
        <f t="shared" si="159"/>
        <v>0</v>
      </c>
      <c r="Y107" s="1">
        <f t="shared" si="192"/>
        <v>0</v>
      </c>
      <c r="Z107" s="1">
        <f t="shared" si="193"/>
        <v>0</v>
      </c>
      <c r="AA107" s="1">
        <f t="shared" si="194"/>
        <v>0</v>
      </c>
      <c r="AB107" s="1">
        <f t="shared" si="195"/>
        <v>0</v>
      </c>
      <c r="AC107" s="1">
        <f t="shared" si="196"/>
        <v>0</v>
      </c>
      <c r="AD107" s="1">
        <f t="shared" si="197"/>
        <v>0</v>
      </c>
      <c r="AE107" s="1">
        <f t="shared" si="198"/>
        <v>0</v>
      </c>
      <c r="AF107" s="1">
        <f t="shared" si="199"/>
        <v>0</v>
      </c>
      <c r="AG107" s="1">
        <f t="shared" si="200"/>
        <v>0</v>
      </c>
      <c r="AH107" s="1">
        <f t="shared" si="201"/>
        <v>0</v>
      </c>
      <c r="AI107" s="1">
        <f t="shared" si="202"/>
        <v>0</v>
      </c>
      <c r="AJ107" s="1">
        <f t="shared" si="203"/>
        <v>0</v>
      </c>
      <c r="AK107" s="1">
        <f t="shared" si="204"/>
        <v>0</v>
      </c>
      <c r="AM107" s="1828"/>
      <c r="AN107" s="1828"/>
      <c r="AO107" s="1828"/>
      <c r="AP107" s="1828"/>
      <c r="AQ107" s="1828"/>
      <c r="AR107" s="1828"/>
      <c r="AS107" s="1828"/>
      <c r="AT107" s="1828"/>
      <c r="AU107" s="1828"/>
      <c r="AV107" s="1828"/>
      <c r="AW107" s="1828"/>
      <c r="AX107" s="1828"/>
      <c r="AY107" s="1828"/>
      <c r="BA107" s="2014"/>
      <c r="BB107" s="2014" t="e">
        <f t="shared" si="174"/>
        <v>#REF!</v>
      </c>
      <c r="BC107" s="2014"/>
      <c r="BD107" s="2013" t="e">
        <f>BR107*#REF!</f>
        <v>#REF!</v>
      </c>
      <c r="BE107" s="2013" t="e">
        <f>BS107*#REF!</f>
        <v>#REF!</v>
      </c>
      <c r="BF107" s="2013" t="e">
        <f>BT107*#REF!</f>
        <v>#REF!</v>
      </c>
      <c r="BG107" s="2013" t="e">
        <f>BU107*#REF!</f>
        <v>#REF!</v>
      </c>
      <c r="BH107" s="2094" t="e">
        <f>BV107*#REF!</f>
        <v>#REF!</v>
      </c>
      <c r="BI107" s="2013" t="e">
        <f>BW107*#REF!</f>
        <v>#REF!</v>
      </c>
      <c r="BJ107" s="2013" t="e">
        <f>BX107*#REF!</f>
        <v>#REF!</v>
      </c>
      <c r="BK107" s="2013" t="e">
        <f>BY107*#REF!</f>
        <v>#REF!</v>
      </c>
      <c r="BL107" s="2013" t="e">
        <f>BZ107*#REF!</f>
        <v>#REF!</v>
      </c>
      <c r="BM107" s="2013" t="e">
        <f>CA107*#REF!</f>
        <v>#REF!</v>
      </c>
      <c r="BO107" s="2040" t="str">
        <f t="shared" si="175"/>
        <v>3.3.2</v>
      </c>
      <c r="BP107" s="2040" t="str">
        <f t="shared" si="176"/>
        <v xml:space="preserve"> Q2 3.3</v>
      </c>
      <c r="BQ107" s="829" t="str">
        <f t="shared" si="177"/>
        <v>給排水管の更新性</v>
      </c>
      <c r="BR107" s="2010">
        <f t="shared" si="178"/>
        <v>0.2</v>
      </c>
      <c r="BS107" s="2010">
        <f t="shared" si="179"/>
        <v>0.2</v>
      </c>
      <c r="BT107" s="2010">
        <f t="shared" si="180"/>
        <v>0.2</v>
      </c>
      <c r="BU107" s="2010">
        <f t="shared" si="181"/>
        <v>0.2</v>
      </c>
      <c r="BV107" s="2093">
        <f t="shared" si="182"/>
        <v>0.2</v>
      </c>
      <c r="BW107" s="2010">
        <f t="shared" si="183"/>
        <v>0.2</v>
      </c>
      <c r="BX107" s="2010">
        <f t="shared" si="184"/>
        <v>0.2</v>
      </c>
      <c r="BY107" s="2010">
        <f t="shared" si="185"/>
        <v>0.2</v>
      </c>
      <c r="BZ107" s="2010">
        <f t="shared" si="186"/>
        <v>0.2</v>
      </c>
      <c r="CA107" s="2010">
        <f t="shared" si="187"/>
        <v>0.2</v>
      </c>
      <c r="CB107" s="2039">
        <f t="shared" si="188"/>
        <v>0</v>
      </c>
      <c r="CC107" s="2010">
        <f t="shared" si="189"/>
        <v>0</v>
      </c>
      <c r="CD107" s="2010">
        <f t="shared" si="190"/>
        <v>0</v>
      </c>
      <c r="CF107" s="1207" t="s">
        <v>3218</v>
      </c>
      <c r="CG107" s="1211" t="s">
        <v>108</v>
      </c>
      <c r="CH107" s="1208" t="s">
        <v>110</v>
      </c>
      <c r="CI107" s="1209">
        <v>0.2</v>
      </c>
      <c r="CJ107" s="1209">
        <v>0.2</v>
      </c>
      <c r="CK107" s="1209">
        <v>0.2</v>
      </c>
      <c r="CL107" s="1209">
        <v>0.2</v>
      </c>
      <c r="CM107" s="1217">
        <v>0.2</v>
      </c>
      <c r="CN107" s="1209">
        <v>0.2</v>
      </c>
      <c r="CO107" s="1213">
        <v>0.2</v>
      </c>
      <c r="CP107" s="1209">
        <v>0.2</v>
      </c>
      <c r="CQ107" s="1209">
        <v>0.2</v>
      </c>
      <c r="CR107" s="1209">
        <v>0.2</v>
      </c>
      <c r="CS107" s="1214"/>
      <c r="CT107" s="1213"/>
      <c r="CU107" s="1213"/>
      <c r="CW107" s="1207" t="s">
        <v>3221</v>
      </c>
      <c r="CX107" s="1211" t="s">
        <v>108</v>
      </c>
      <c r="CY107" s="1208" t="s">
        <v>110</v>
      </c>
      <c r="CZ107" s="1213">
        <v>0.2</v>
      </c>
      <c r="DA107" s="1213">
        <v>0.2</v>
      </c>
      <c r="DB107" s="1213">
        <v>0.2</v>
      </c>
      <c r="DC107" s="1213">
        <v>0.2</v>
      </c>
      <c r="DD107" s="1220">
        <v>0.2</v>
      </c>
      <c r="DE107" s="1213">
        <v>0.2</v>
      </c>
      <c r="DF107" s="1213">
        <v>0.2</v>
      </c>
      <c r="DG107" s="1213">
        <v>0.2</v>
      </c>
      <c r="DH107" s="1213">
        <v>0.2</v>
      </c>
      <c r="DI107" s="1213">
        <v>0.2</v>
      </c>
      <c r="DJ107" s="1214"/>
      <c r="DK107" s="1213"/>
      <c r="DL107" s="1213"/>
      <c r="DN107" s="1207" t="s">
        <v>3220</v>
      </c>
      <c r="DO107" s="1211" t="s">
        <v>108</v>
      </c>
      <c r="DP107" s="1208" t="s">
        <v>110</v>
      </c>
      <c r="DQ107" s="1213">
        <v>0.2</v>
      </c>
      <c r="DR107" s="1213">
        <v>0.2</v>
      </c>
      <c r="DS107" s="1213">
        <v>0.2</v>
      </c>
      <c r="DT107" s="1213">
        <v>0.2</v>
      </c>
      <c r="DU107" s="1220">
        <v>0.2</v>
      </c>
      <c r="DV107" s="1213">
        <v>0.2</v>
      </c>
      <c r="DW107" s="1213">
        <v>0.2</v>
      </c>
      <c r="DX107" s="1213">
        <v>0.2</v>
      </c>
      <c r="DY107" s="1213">
        <v>0.2</v>
      </c>
      <c r="DZ107" s="1213">
        <v>0.2</v>
      </c>
      <c r="EA107" s="1214"/>
      <c r="EB107" s="1213"/>
      <c r="EC107" s="1213"/>
      <c r="ED107" s="1469"/>
      <c r="EF107" s="1207" t="s">
        <v>3219</v>
      </c>
      <c r="EG107" s="1211" t="s">
        <v>108</v>
      </c>
      <c r="EH107" s="1208" t="s">
        <v>110</v>
      </c>
      <c r="EI107" s="1689">
        <v>0</v>
      </c>
      <c r="EJ107" s="1689">
        <v>0</v>
      </c>
      <c r="EK107" s="1689">
        <v>0</v>
      </c>
      <c r="EL107" s="1689">
        <v>0</v>
      </c>
      <c r="EM107" s="1689">
        <v>0</v>
      </c>
      <c r="EN107" s="1689">
        <v>0</v>
      </c>
      <c r="EO107" s="1689">
        <v>0</v>
      </c>
      <c r="EP107" s="1689">
        <v>0</v>
      </c>
      <c r="EQ107" s="1689">
        <v>0</v>
      </c>
      <c r="ER107" s="1689">
        <v>0</v>
      </c>
      <c r="ES107" s="1689">
        <v>0</v>
      </c>
      <c r="ET107" s="1689">
        <v>0</v>
      </c>
      <c r="EU107" s="1689">
        <v>0</v>
      </c>
      <c r="EW107" s="1207" t="s">
        <v>3218</v>
      </c>
      <c r="EX107" s="1211" t="s">
        <v>108</v>
      </c>
      <c r="EY107" s="1208" t="s">
        <v>110</v>
      </c>
      <c r="EZ107" s="1814">
        <v>0.4</v>
      </c>
      <c r="FA107" s="1678"/>
      <c r="FB107" s="1678"/>
      <c r="FC107" s="1678"/>
      <c r="FD107" s="1678"/>
      <c r="FE107" s="1678"/>
      <c r="FF107" s="1678"/>
      <c r="FG107" s="1678"/>
      <c r="FH107" s="1678"/>
      <c r="FI107" s="1678"/>
      <c r="FJ107" s="1678"/>
      <c r="FK107" s="1678"/>
      <c r="FL107" s="1678"/>
    </row>
    <row r="108" spans="2:168">
      <c r="B108" s="2023" t="str">
        <f t="shared" si="142"/>
        <v>3.3.3</v>
      </c>
      <c r="C108" s="829" t="str">
        <f t="shared" si="170"/>
        <v>電気配線の更新性</v>
      </c>
      <c r="D108" s="2100" t="e">
        <f t="shared" si="191"/>
        <v>#REF!</v>
      </c>
      <c r="E108" s="2021" t="e">
        <f t="shared" si="191"/>
        <v>#REF!</v>
      </c>
      <c r="G108" s="2021" t="e">
        <f t="shared" si="171"/>
        <v>#REF!</v>
      </c>
      <c r="H108" s="2021" t="e">
        <f t="shared" si="172"/>
        <v>#REF!</v>
      </c>
      <c r="I108" s="2021"/>
      <c r="J108" s="2021"/>
      <c r="K108" s="2021" t="e">
        <f>IF(#REF!=0,0,1)</f>
        <v>#REF!</v>
      </c>
      <c r="L108" s="2021" t="e">
        <f>IF(#REF!=0,0,1)</f>
        <v>#REF!</v>
      </c>
      <c r="M108" s="2021">
        <f t="shared" si="173"/>
        <v>0.1</v>
      </c>
      <c r="N108" s="2021">
        <f t="shared" si="169"/>
        <v>0</v>
      </c>
      <c r="P108" s="2123"/>
      <c r="Q108" s="2019"/>
      <c r="R108" s="993">
        <v>3</v>
      </c>
      <c r="S108" s="1655" t="s">
        <v>1040</v>
      </c>
      <c r="T108" s="2036"/>
      <c r="U108" s="2017"/>
      <c r="V108" s="2038">
        <f t="shared" si="158"/>
        <v>0</v>
      </c>
      <c r="W108" s="2037">
        <f t="shared" si="159"/>
        <v>0</v>
      </c>
      <c r="Y108" s="1">
        <f t="shared" si="192"/>
        <v>0</v>
      </c>
      <c r="Z108" s="1">
        <f t="shared" si="193"/>
        <v>0</v>
      </c>
      <c r="AA108" s="1">
        <f t="shared" si="194"/>
        <v>0</v>
      </c>
      <c r="AB108" s="1">
        <f t="shared" si="195"/>
        <v>0</v>
      </c>
      <c r="AC108" s="1">
        <f t="shared" si="196"/>
        <v>0</v>
      </c>
      <c r="AD108" s="1">
        <f t="shared" si="197"/>
        <v>0</v>
      </c>
      <c r="AE108" s="1">
        <f t="shared" si="198"/>
        <v>0</v>
      </c>
      <c r="AF108" s="1">
        <f t="shared" si="199"/>
        <v>0</v>
      </c>
      <c r="AG108" s="1">
        <f t="shared" si="200"/>
        <v>0</v>
      </c>
      <c r="AH108" s="1">
        <f t="shared" si="201"/>
        <v>0</v>
      </c>
      <c r="AI108" s="1">
        <f t="shared" si="202"/>
        <v>0</v>
      </c>
      <c r="AJ108" s="1">
        <f t="shared" si="203"/>
        <v>0</v>
      </c>
      <c r="AK108" s="1">
        <f t="shared" si="204"/>
        <v>0</v>
      </c>
      <c r="AM108" s="1828"/>
      <c r="AN108" s="1828"/>
      <c r="AO108" s="1828"/>
      <c r="AP108" s="1828"/>
      <c r="AQ108" s="1828"/>
      <c r="AR108" s="1828"/>
      <c r="AS108" s="1828"/>
      <c r="AT108" s="1828"/>
      <c r="AU108" s="1828"/>
      <c r="AV108" s="1828"/>
      <c r="AW108" s="1828"/>
      <c r="AX108" s="1828"/>
      <c r="AY108" s="1828"/>
      <c r="BA108" s="2014"/>
      <c r="BB108" s="2014" t="e">
        <f t="shared" si="174"/>
        <v>#REF!</v>
      </c>
      <c r="BC108" s="2014"/>
      <c r="BD108" s="2013" t="e">
        <f>BR108*#REF!</f>
        <v>#REF!</v>
      </c>
      <c r="BE108" s="2013" t="e">
        <f>BS108*#REF!</f>
        <v>#REF!</v>
      </c>
      <c r="BF108" s="2013" t="e">
        <f>BT108*#REF!</f>
        <v>#REF!</v>
      </c>
      <c r="BG108" s="2013" t="e">
        <f>BU108*#REF!</f>
        <v>#REF!</v>
      </c>
      <c r="BH108" s="2094" t="e">
        <f>BV108*#REF!</f>
        <v>#REF!</v>
      </c>
      <c r="BI108" s="2013" t="e">
        <f>BW108*#REF!</f>
        <v>#REF!</v>
      </c>
      <c r="BJ108" s="2013" t="e">
        <f>BX108*#REF!</f>
        <v>#REF!</v>
      </c>
      <c r="BK108" s="2013" t="e">
        <f>BY108*#REF!</f>
        <v>#REF!</v>
      </c>
      <c r="BL108" s="2013" t="e">
        <f>BZ108*#REF!</f>
        <v>#REF!</v>
      </c>
      <c r="BM108" s="2013" t="e">
        <f>CA108*#REF!</f>
        <v>#REF!</v>
      </c>
      <c r="BO108" s="2040" t="str">
        <f t="shared" si="175"/>
        <v>3.3.3</v>
      </c>
      <c r="BP108" s="2040" t="str">
        <f t="shared" si="176"/>
        <v xml:space="preserve"> Q2 3.3</v>
      </c>
      <c r="BQ108" s="829" t="str">
        <f t="shared" si="177"/>
        <v>電気配線の更新性</v>
      </c>
      <c r="BR108" s="2010">
        <f t="shared" si="178"/>
        <v>0.1</v>
      </c>
      <c r="BS108" s="2010">
        <f t="shared" si="179"/>
        <v>0.1</v>
      </c>
      <c r="BT108" s="2010">
        <f t="shared" si="180"/>
        <v>0.1</v>
      </c>
      <c r="BU108" s="2010">
        <f t="shared" si="181"/>
        <v>0.1</v>
      </c>
      <c r="BV108" s="2093">
        <f t="shared" si="182"/>
        <v>0.1</v>
      </c>
      <c r="BW108" s="2010">
        <f t="shared" si="183"/>
        <v>0.1</v>
      </c>
      <c r="BX108" s="2010">
        <f t="shared" si="184"/>
        <v>0.1</v>
      </c>
      <c r="BY108" s="2010">
        <f t="shared" si="185"/>
        <v>0.1</v>
      </c>
      <c r="BZ108" s="2010">
        <f t="shared" si="186"/>
        <v>0.1</v>
      </c>
      <c r="CA108" s="2010">
        <f t="shared" si="187"/>
        <v>0.1</v>
      </c>
      <c r="CB108" s="2039">
        <f t="shared" si="188"/>
        <v>0</v>
      </c>
      <c r="CC108" s="2010">
        <f t="shared" si="189"/>
        <v>0</v>
      </c>
      <c r="CD108" s="2010">
        <f t="shared" si="190"/>
        <v>0</v>
      </c>
      <c r="CF108" s="1207" t="s">
        <v>3217</v>
      </c>
      <c r="CG108" s="1211" t="s">
        <v>108</v>
      </c>
      <c r="CH108" s="1208" t="s">
        <v>111</v>
      </c>
      <c r="CI108" s="1209">
        <v>0.1</v>
      </c>
      <c r="CJ108" s="1209">
        <v>0.1</v>
      </c>
      <c r="CK108" s="1209">
        <v>0.1</v>
      </c>
      <c r="CL108" s="1209">
        <v>0.1</v>
      </c>
      <c r="CM108" s="1217">
        <v>0.1</v>
      </c>
      <c r="CN108" s="1209">
        <v>0.1</v>
      </c>
      <c r="CO108" s="1213">
        <v>0.1</v>
      </c>
      <c r="CP108" s="1209">
        <v>0.1</v>
      </c>
      <c r="CQ108" s="1209">
        <v>0.1</v>
      </c>
      <c r="CR108" s="1209">
        <v>0.1</v>
      </c>
      <c r="CS108" s="1214"/>
      <c r="CT108" s="1213"/>
      <c r="CU108" s="1213"/>
      <c r="CW108" s="1207" t="s">
        <v>3216</v>
      </c>
      <c r="CX108" s="1211" t="s">
        <v>108</v>
      </c>
      <c r="CY108" s="1208" t="s">
        <v>111</v>
      </c>
      <c r="CZ108" s="1213">
        <v>0.1</v>
      </c>
      <c r="DA108" s="1213">
        <v>0.1</v>
      </c>
      <c r="DB108" s="1213">
        <v>0.1</v>
      </c>
      <c r="DC108" s="1213">
        <v>0.1</v>
      </c>
      <c r="DD108" s="1220">
        <v>0.1</v>
      </c>
      <c r="DE108" s="1213">
        <v>0.1</v>
      </c>
      <c r="DF108" s="1213">
        <v>0.1</v>
      </c>
      <c r="DG108" s="1213">
        <v>0.1</v>
      </c>
      <c r="DH108" s="1213">
        <v>0.1</v>
      </c>
      <c r="DI108" s="1213">
        <v>0.1</v>
      </c>
      <c r="DJ108" s="1214"/>
      <c r="DK108" s="1213"/>
      <c r="DL108" s="1213"/>
      <c r="DN108" s="1207" t="s">
        <v>3216</v>
      </c>
      <c r="DO108" s="1211" t="s">
        <v>108</v>
      </c>
      <c r="DP108" s="1208" t="s">
        <v>111</v>
      </c>
      <c r="DQ108" s="1213">
        <v>0.1</v>
      </c>
      <c r="DR108" s="1213">
        <v>0.1</v>
      </c>
      <c r="DS108" s="1213">
        <v>0.1</v>
      </c>
      <c r="DT108" s="1213">
        <v>0.1</v>
      </c>
      <c r="DU108" s="1220">
        <v>0.1</v>
      </c>
      <c r="DV108" s="1213">
        <v>0.1</v>
      </c>
      <c r="DW108" s="1213">
        <v>0.1</v>
      </c>
      <c r="DX108" s="1213">
        <v>0.1</v>
      </c>
      <c r="DY108" s="1213">
        <v>0.1</v>
      </c>
      <c r="DZ108" s="1213">
        <v>0.1</v>
      </c>
      <c r="EA108" s="1214"/>
      <c r="EB108" s="1213"/>
      <c r="EC108" s="1213"/>
      <c r="ED108" s="1469"/>
      <c r="EF108" s="1207" t="s">
        <v>3215</v>
      </c>
      <c r="EG108" s="1211" t="s">
        <v>108</v>
      </c>
      <c r="EH108" s="1208" t="s">
        <v>111</v>
      </c>
      <c r="EI108" s="1689">
        <v>0</v>
      </c>
      <c r="EJ108" s="1689">
        <v>0</v>
      </c>
      <c r="EK108" s="1689">
        <v>0</v>
      </c>
      <c r="EL108" s="1689">
        <v>0</v>
      </c>
      <c r="EM108" s="1689">
        <v>0</v>
      </c>
      <c r="EN108" s="1689">
        <v>0</v>
      </c>
      <c r="EO108" s="1689">
        <v>0</v>
      </c>
      <c r="EP108" s="1689">
        <v>0</v>
      </c>
      <c r="EQ108" s="1689">
        <v>0</v>
      </c>
      <c r="ER108" s="1689">
        <v>0</v>
      </c>
      <c r="ES108" s="1689">
        <v>0</v>
      </c>
      <c r="ET108" s="1689">
        <v>0</v>
      </c>
      <c r="EU108" s="1689">
        <v>0</v>
      </c>
      <c r="EW108" s="1207" t="s">
        <v>3214</v>
      </c>
      <c r="EX108" s="1211" t="s">
        <v>108</v>
      </c>
      <c r="EY108" s="1208" t="s">
        <v>111</v>
      </c>
      <c r="EZ108" s="1678">
        <f>DQ108</f>
        <v>0.1</v>
      </c>
      <c r="FA108" s="1678"/>
      <c r="FB108" s="1678"/>
      <c r="FC108" s="1678"/>
      <c r="FD108" s="1678"/>
      <c r="FE108" s="1678"/>
      <c r="FF108" s="1678"/>
      <c r="FG108" s="1678"/>
      <c r="FH108" s="1678"/>
      <c r="FI108" s="1678"/>
      <c r="FJ108" s="1678"/>
      <c r="FK108" s="1678"/>
      <c r="FL108" s="1678"/>
    </row>
    <row r="109" spans="2:168">
      <c r="B109" s="2023" t="str">
        <f t="shared" si="142"/>
        <v>3.3.4</v>
      </c>
      <c r="C109" s="829" t="str">
        <f t="shared" si="170"/>
        <v>通信配線の更新性</v>
      </c>
      <c r="D109" s="2100" t="e">
        <f t="shared" si="191"/>
        <v>#REF!</v>
      </c>
      <c r="E109" s="2021" t="e">
        <f t="shared" si="191"/>
        <v>#REF!</v>
      </c>
      <c r="G109" s="2021" t="e">
        <f t="shared" si="171"/>
        <v>#REF!</v>
      </c>
      <c r="H109" s="2021" t="e">
        <f t="shared" si="172"/>
        <v>#REF!</v>
      </c>
      <c r="I109" s="2021"/>
      <c r="J109" s="2021"/>
      <c r="K109" s="2021" t="e">
        <f>IF(#REF!=0,0,1)</f>
        <v>#REF!</v>
      </c>
      <c r="L109" s="2021" t="e">
        <f>IF(#REF!=0,0,1)</f>
        <v>#REF!</v>
      </c>
      <c r="M109" s="2021">
        <f t="shared" si="173"/>
        <v>0.1</v>
      </c>
      <c r="N109" s="2021">
        <f t="shared" si="169"/>
        <v>0</v>
      </c>
      <c r="P109" s="2123"/>
      <c r="Q109" s="2019"/>
      <c r="R109" s="2018">
        <v>4</v>
      </c>
      <c r="S109" s="2107" t="s">
        <v>1041</v>
      </c>
      <c r="T109" s="2106"/>
      <c r="U109" s="2017"/>
      <c r="V109" s="2038">
        <f t="shared" si="158"/>
        <v>0</v>
      </c>
      <c r="W109" s="2037">
        <f t="shared" si="159"/>
        <v>0</v>
      </c>
      <c r="Y109" s="1">
        <f t="shared" si="192"/>
        <v>0</v>
      </c>
      <c r="Z109" s="1">
        <f t="shared" si="193"/>
        <v>0</v>
      </c>
      <c r="AA109" s="1">
        <f t="shared" si="194"/>
        <v>0</v>
      </c>
      <c r="AB109" s="1">
        <f t="shared" si="195"/>
        <v>0</v>
      </c>
      <c r="AC109" s="1">
        <f t="shared" si="196"/>
        <v>0</v>
      </c>
      <c r="AD109" s="1">
        <f t="shared" si="197"/>
        <v>0</v>
      </c>
      <c r="AE109" s="1">
        <f t="shared" si="198"/>
        <v>0</v>
      </c>
      <c r="AF109" s="1">
        <f t="shared" si="199"/>
        <v>0</v>
      </c>
      <c r="AG109" s="1">
        <f t="shared" si="200"/>
        <v>0</v>
      </c>
      <c r="AH109" s="1">
        <f t="shared" si="201"/>
        <v>0</v>
      </c>
      <c r="AI109" s="1">
        <f t="shared" si="202"/>
        <v>0</v>
      </c>
      <c r="AJ109" s="1">
        <f t="shared" si="203"/>
        <v>0</v>
      </c>
      <c r="AK109" s="1">
        <f t="shared" si="204"/>
        <v>0</v>
      </c>
      <c r="AM109" s="1828"/>
      <c r="AN109" s="1828"/>
      <c r="AO109" s="1828"/>
      <c r="AP109" s="1828"/>
      <c r="AQ109" s="1828"/>
      <c r="AR109" s="1828"/>
      <c r="AS109" s="1828"/>
      <c r="AT109" s="1828"/>
      <c r="AU109" s="1828"/>
      <c r="AV109" s="1828"/>
      <c r="AW109" s="1828"/>
      <c r="AX109" s="1828"/>
      <c r="AY109" s="1828"/>
      <c r="BA109" s="2014"/>
      <c r="BB109" s="2014" t="e">
        <f t="shared" si="174"/>
        <v>#REF!</v>
      </c>
      <c r="BC109" s="2014"/>
      <c r="BD109" s="2013" t="e">
        <f>BR109*#REF!</f>
        <v>#REF!</v>
      </c>
      <c r="BE109" s="2013" t="e">
        <f>BS109*#REF!</f>
        <v>#REF!</v>
      </c>
      <c r="BF109" s="2013" t="e">
        <f>BT109*#REF!</f>
        <v>#REF!</v>
      </c>
      <c r="BG109" s="2013" t="e">
        <f>BU109*#REF!</f>
        <v>#REF!</v>
      </c>
      <c r="BH109" s="2094" t="e">
        <f>BV109*#REF!</f>
        <v>#REF!</v>
      </c>
      <c r="BI109" s="2013" t="e">
        <f>BW109*#REF!</f>
        <v>#REF!</v>
      </c>
      <c r="BJ109" s="2013" t="e">
        <f>BX109*#REF!</f>
        <v>#REF!</v>
      </c>
      <c r="BK109" s="2013" t="e">
        <f>BY109*#REF!</f>
        <v>#REF!</v>
      </c>
      <c r="BL109" s="2013" t="e">
        <f>BZ109*#REF!</f>
        <v>#REF!</v>
      </c>
      <c r="BM109" s="2013" t="e">
        <f>CA109*#REF!</f>
        <v>#REF!</v>
      </c>
      <c r="BO109" s="2040" t="str">
        <f t="shared" si="175"/>
        <v>3.3.4</v>
      </c>
      <c r="BP109" s="2040" t="str">
        <f t="shared" si="176"/>
        <v xml:space="preserve"> Q2 3.3</v>
      </c>
      <c r="BQ109" s="829" t="str">
        <f t="shared" si="177"/>
        <v>通信配線の更新性</v>
      </c>
      <c r="BR109" s="2010">
        <f t="shared" si="178"/>
        <v>0.1</v>
      </c>
      <c r="BS109" s="2010">
        <f t="shared" si="179"/>
        <v>0.1</v>
      </c>
      <c r="BT109" s="2010">
        <f t="shared" si="180"/>
        <v>0.1</v>
      </c>
      <c r="BU109" s="2010">
        <f t="shared" si="181"/>
        <v>0.1</v>
      </c>
      <c r="BV109" s="2093">
        <f t="shared" si="182"/>
        <v>0.1</v>
      </c>
      <c r="BW109" s="2010">
        <f t="shared" si="183"/>
        <v>0.1</v>
      </c>
      <c r="BX109" s="2010">
        <f t="shared" si="184"/>
        <v>0.1</v>
      </c>
      <c r="BY109" s="2010">
        <f t="shared" si="185"/>
        <v>0.1</v>
      </c>
      <c r="BZ109" s="2010">
        <f t="shared" si="186"/>
        <v>0.1</v>
      </c>
      <c r="CA109" s="2010">
        <f t="shared" si="187"/>
        <v>0.1</v>
      </c>
      <c r="CB109" s="2039">
        <f t="shared" si="188"/>
        <v>0</v>
      </c>
      <c r="CC109" s="2010">
        <f t="shared" si="189"/>
        <v>0</v>
      </c>
      <c r="CD109" s="2010">
        <f t="shared" si="190"/>
        <v>0</v>
      </c>
      <c r="CF109" s="1207" t="s">
        <v>3213</v>
      </c>
      <c r="CG109" s="1211" t="s">
        <v>108</v>
      </c>
      <c r="CH109" s="1208" t="s">
        <v>112</v>
      </c>
      <c r="CI109" s="1209">
        <v>0.1</v>
      </c>
      <c r="CJ109" s="1209">
        <v>0.1</v>
      </c>
      <c r="CK109" s="1209">
        <v>0.1</v>
      </c>
      <c r="CL109" s="1209">
        <v>0.1</v>
      </c>
      <c r="CM109" s="1217">
        <v>0.1</v>
      </c>
      <c r="CN109" s="1209">
        <v>0.1</v>
      </c>
      <c r="CO109" s="1213">
        <v>0.1</v>
      </c>
      <c r="CP109" s="1209">
        <v>0.1</v>
      </c>
      <c r="CQ109" s="1209">
        <v>0.1</v>
      </c>
      <c r="CR109" s="1209">
        <v>0.1</v>
      </c>
      <c r="CS109" s="1214"/>
      <c r="CT109" s="1213"/>
      <c r="CU109" s="1213"/>
      <c r="CW109" s="1207" t="s">
        <v>3210</v>
      </c>
      <c r="CX109" s="1211" t="s">
        <v>108</v>
      </c>
      <c r="CY109" s="1208" t="s">
        <v>112</v>
      </c>
      <c r="CZ109" s="1213">
        <v>0.1</v>
      </c>
      <c r="DA109" s="1213">
        <v>0.1</v>
      </c>
      <c r="DB109" s="1213">
        <v>0.1</v>
      </c>
      <c r="DC109" s="1213">
        <v>0.1</v>
      </c>
      <c r="DD109" s="1220">
        <v>0.1</v>
      </c>
      <c r="DE109" s="1213">
        <v>0.1</v>
      </c>
      <c r="DF109" s="1213">
        <v>0.1</v>
      </c>
      <c r="DG109" s="1213">
        <v>0.1</v>
      </c>
      <c r="DH109" s="1213">
        <v>0.1</v>
      </c>
      <c r="DI109" s="1213">
        <v>0.1</v>
      </c>
      <c r="DJ109" s="1214"/>
      <c r="DK109" s="1213"/>
      <c r="DL109" s="1213"/>
      <c r="DN109" s="1207" t="s">
        <v>3212</v>
      </c>
      <c r="DO109" s="1211" t="s">
        <v>108</v>
      </c>
      <c r="DP109" s="1208" t="s">
        <v>112</v>
      </c>
      <c r="DQ109" s="1213">
        <v>0.1</v>
      </c>
      <c r="DR109" s="1213">
        <v>0.1</v>
      </c>
      <c r="DS109" s="1213">
        <v>0.1</v>
      </c>
      <c r="DT109" s="1213">
        <v>0.1</v>
      </c>
      <c r="DU109" s="1220">
        <v>0.1</v>
      </c>
      <c r="DV109" s="1213">
        <v>0.1</v>
      </c>
      <c r="DW109" s="1213">
        <v>0.1</v>
      </c>
      <c r="DX109" s="1213">
        <v>0.1</v>
      </c>
      <c r="DY109" s="1213">
        <v>0.1</v>
      </c>
      <c r="DZ109" s="1213">
        <v>0.1</v>
      </c>
      <c r="EA109" s="1214"/>
      <c r="EB109" s="1213"/>
      <c r="EC109" s="1213"/>
      <c r="ED109" s="1469"/>
      <c r="EF109" s="1207" t="s">
        <v>3211</v>
      </c>
      <c r="EG109" s="1211" t="s">
        <v>108</v>
      </c>
      <c r="EH109" s="1208" t="s">
        <v>112</v>
      </c>
      <c r="EI109" s="1689">
        <v>0</v>
      </c>
      <c r="EJ109" s="1689">
        <v>0</v>
      </c>
      <c r="EK109" s="1689">
        <v>0</v>
      </c>
      <c r="EL109" s="1689">
        <v>0</v>
      </c>
      <c r="EM109" s="1689">
        <v>0</v>
      </c>
      <c r="EN109" s="1689">
        <v>0</v>
      </c>
      <c r="EO109" s="1689">
        <v>0</v>
      </c>
      <c r="EP109" s="1689">
        <v>0</v>
      </c>
      <c r="EQ109" s="1689">
        <v>0</v>
      </c>
      <c r="ER109" s="1689">
        <v>0</v>
      </c>
      <c r="ES109" s="1689">
        <v>0</v>
      </c>
      <c r="ET109" s="1689">
        <v>0</v>
      </c>
      <c r="EU109" s="1689">
        <v>0</v>
      </c>
      <c r="EW109" s="1207" t="s">
        <v>3210</v>
      </c>
      <c r="EX109" s="1211" t="s">
        <v>108</v>
      </c>
      <c r="EY109" s="1208" t="s">
        <v>112</v>
      </c>
      <c r="EZ109" s="1678">
        <f>DQ109</f>
        <v>0.1</v>
      </c>
      <c r="FA109" s="1678"/>
      <c r="FB109" s="1678"/>
      <c r="FC109" s="1678"/>
      <c r="FD109" s="1678"/>
      <c r="FE109" s="1678"/>
      <c r="FF109" s="1678"/>
      <c r="FG109" s="1678"/>
      <c r="FH109" s="1678"/>
      <c r="FI109" s="1678"/>
      <c r="FJ109" s="1678"/>
      <c r="FK109" s="1678"/>
      <c r="FL109" s="1678"/>
    </row>
    <row r="110" spans="2:168">
      <c r="B110" s="2023" t="str">
        <f t="shared" si="142"/>
        <v>3.3.5</v>
      </c>
      <c r="C110" s="829" t="str">
        <f t="shared" si="170"/>
        <v>設備機器の更新性</v>
      </c>
      <c r="D110" s="2100" t="e">
        <f t="shared" si="191"/>
        <v>#REF!</v>
      </c>
      <c r="E110" s="2021" t="e">
        <f t="shared" si="191"/>
        <v>#REF!</v>
      </c>
      <c r="G110" s="2021" t="e">
        <f t="shared" si="171"/>
        <v>#REF!</v>
      </c>
      <c r="H110" s="2021" t="e">
        <f t="shared" si="172"/>
        <v>#REF!</v>
      </c>
      <c r="I110" s="2021"/>
      <c r="J110" s="2021"/>
      <c r="K110" s="2021" t="e">
        <f>IF(#REF!=0,0,1)</f>
        <v>#REF!</v>
      </c>
      <c r="L110" s="2021" t="e">
        <f>IF(#REF!=0,0,1)</f>
        <v>#REF!</v>
      </c>
      <c r="M110" s="2021">
        <f t="shared" si="173"/>
        <v>0.2</v>
      </c>
      <c r="N110" s="2021">
        <f t="shared" si="169"/>
        <v>0</v>
      </c>
      <c r="P110" s="2123"/>
      <c r="Q110" s="2019"/>
      <c r="R110" s="993">
        <v>5</v>
      </c>
      <c r="S110" s="1655" t="s">
        <v>1042</v>
      </c>
      <c r="T110" s="2036"/>
      <c r="U110" s="2017"/>
      <c r="V110" s="2038">
        <f t="shared" ref="V110:V141" si="205">IF(SUMPRODUCT($AM$7:$AV$7,Y110:AH110)=0,0,SUMPRODUCT($AM$7:$AV$7,AM110:AV110)/SUMPRODUCT($AM$7:$AV$7,Y110:AH110))</f>
        <v>0</v>
      </c>
      <c r="W110" s="2037">
        <f t="shared" ref="W110:W141" si="206">IF(SUMPRODUCT($AW$7:$AY$7,AI110:AK110)=0,0,SUMPRODUCT($AW$7:$AY$7,AW110:AY110)/SUMPRODUCT($AW$7:$AY$7,AI110:AK110))</f>
        <v>0</v>
      </c>
      <c r="Y110" s="1">
        <f t="shared" si="192"/>
        <v>0</v>
      </c>
      <c r="Z110" s="1">
        <f t="shared" si="193"/>
        <v>0</v>
      </c>
      <c r="AA110" s="1">
        <f t="shared" si="194"/>
        <v>0</v>
      </c>
      <c r="AB110" s="1">
        <f t="shared" si="195"/>
        <v>0</v>
      </c>
      <c r="AC110" s="1">
        <f t="shared" si="196"/>
        <v>0</v>
      </c>
      <c r="AD110" s="1">
        <f t="shared" si="197"/>
        <v>0</v>
      </c>
      <c r="AE110" s="1">
        <f t="shared" si="198"/>
        <v>0</v>
      </c>
      <c r="AF110" s="1">
        <f t="shared" si="199"/>
        <v>0</v>
      </c>
      <c r="AG110" s="1">
        <f t="shared" si="200"/>
        <v>0</v>
      </c>
      <c r="AH110" s="1">
        <f t="shared" si="201"/>
        <v>0</v>
      </c>
      <c r="AI110" s="1">
        <f t="shared" si="202"/>
        <v>0</v>
      </c>
      <c r="AJ110" s="1">
        <f t="shared" si="203"/>
        <v>0</v>
      </c>
      <c r="AK110" s="1">
        <f t="shared" si="204"/>
        <v>0</v>
      </c>
      <c r="AM110" s="1828"/>
      <c r="AN110" s="1828"/>
      <c r="AO110" s="1828"/>
      <c r="AP110" s="1828"/>
      <c r="AQ110" s="1828"/>
      <c r="AR110" s="1828"/>
      <c r="AS110" s="1828"/>
      <c r="AT110" s="1828"/>
      <c r="AU110" s="1828"/>
      <c r="AV110" s="1828"/>
      <c r="AW110" s="1828"/>
      <c r="AX110" s="1828"/>
      <c r="AY110" s="1828"/>
      <c r="BA110" s="2014"/>
      <c r="BB110" s="2014" t="e">
        <f t="shared" si="174"/>
        <v>#REF!</v>
      </c>
      <c r="BC110" s="2014"/>
      <c r="BD110" s="2013" t="e">
        <f>BR110*#REF!</f>
        <v>#REF!</v>
      </c>
      <c r="BE110" s="2013" t="e">
        <f>BS110*#REF!</f>
        <v>#REF!</v>
      </c>
      <c r="BF110" s="2013" t="e">
        <f>BT110*#REF!</f>
        <v>#REF!</v>
      </c>
      <c r="BG110" s="2013" t="e">
        <f>BU110*#REF!</f>
        <v>#REF!</v>
      </c>
      <c r="BH110" s="2094" t="e">
        <f>BV110*#REF!</f>
        <v>#REF!</v>
      </c>
      <c r="BI110" s="2013" t="e">
        <f>BW110*#REF!</f>
        <v>#REF!</v>
      </c>
      <c r="BJ110" s="2013" t="e">
        <f>BX110*#REF!</f>
        <v>#REF!</v>
      </c>
      <c r="BK110" s="2013" t="e">
        <f>BY110*#REF!</f>
        <v>#REF!</v>
      </c>
      <c r="BL110" s="2013" t="e">
        <f>BZ110*#REF!</f>
        <v>#REF!</v>
      </c>
      <c r="BM110" s="2013" t="e">
        <f>CA110*#REF!</f>
        <v>#REF!</v>
      </c>
      <c r="BO110" s="2040" t="str">
        <f t="shared" si="175"/>
        <v>3.3.5</v>
      </c>
      <c r="BP110" s="2040" t="str">
        <f t="shared" si="176"/>
        <v xml:space="preserve"> Q2 3.3</v>
      </c>
      <c r="BQ110" s="829" t="str">
        <f t="shared" si="177"/>
        <v>設備機器の更新性</v>
      </c>
      <c r="BR110" s="2010">
        <f t="shared" si="178"/>
        <v>0.2</v>
      </c>
      <c r="BS110" s="2010">
        <f t="shared" si="179"/>
        <v>0.2</v>
      </c>
      <c r="BT110" s="2010">
        <f t="shared" si="180"/>
        <v>0.2</v>
      </c>
      <c r="BU110" s="2010">
        <f t="shared" si="181"/>
        <v>0.2</v>
      </c>
      <c r="BV110" s="2093">
        <f t="shared" si="182"/>
        <v>0.2</v>
      </c>
      <c r="BW110" s="2010">
        <f t="shared" si="183"/>
        <v>0.2</v>
      </c>
      <c r="BX110" s="2010">
        <f t="shared" si="184"/>
        <v>0.2</v>
      </c>
      <c r="BY110" s="2010">
        <f t="shared" si="185"/>
        <v>0.2</v>
      </c>
      <c r="BZ110" s="2010">
        <f t="shared" si="186"/>
        <v>0.2</v>
      </c>
      <c r="CA110" s="2010">
        <f t="shared" si="187"/>
        <v>0.2</v>
      </c>
      <c r="CB110" s="2039">
        <f t="shared" si="188"/>
        <v>0</v>
      </c>
      <c r="CC110" s="2010">
        <f t="shared" si="189"/>
        <v>0</v>
      </c>
      <c r="CD110" s="2010">
        <f t="shared" si="190"/>
        <v>0</v>
      </c>
      <c r="CF110" s="1207" t="s">
        <v>3209</v>
      </c>
      <c r="CG110" s="1211" t="s">
        <v>108</v>
      </c>
      <c r="CH110" s="1208" t="s">
        <v>113</v>
      </c>
      <c r="CI110" s="1209">
        <v>0.2</v>
      </c>
      <c r="CJ110" s="1209">
        <v>0.2</v>
      </c>
      <c r="CK110" s="1209">
        <v>0.2</v>
      </c>
      <c r="CL110" s="1209">
        <v>0.2</v>
      </c>
      <c r="CM110" s="1217">
        <v>0.2</v>
      </c>
      <c r="CN110" s="1209">
        <v>0.2</v>
      </c>
      <c r="CO110" s="1213">
        <v>0.2</v>
      </c>
      <c r="CP110" s="1209">
        <v>0.2</v>
      </c>
      <c r="CQ110" s="1209">
        <v>0.2</v>
      </c>
      <c r="CR110" s="1209">
        <v>0.2</v>
      </c>
      <c r="CS110" s="1214"/>
      <c r="CT110" s="1213"/>
      <c r="CU110" s="1213"/>
      <c r="CW110" s="1207" t="s">
        <v>3209</v>
      </c>
      <c r="CX110" s="1211" t="s">
        <v>108</v>
      </c>
      <c r="CY110" s="1208" t="s">
        <v>113</v>
      </c>
      <c r="CZ110" s="1213">
        <v>0.2</v>
      </c>
      <c r="DA110" s="1213">
        <v>0.2</v>
      </c>
      <c r="DB110" s="1213">
        <v>0.2</v>
      </c>
      <c r="DC110" s="1213">
        <v>0.2</v>
      </c>
      <c r="DD110" s="1220">
        <v>0.2</v>
      </c>
      <c r="DE110" s="1213">
        <v>0.2</v>
      </c>
      <c r="DF110" s="1213">
        <v>0.2</v>
      </c>
      <c r="DG110" s="1213">
        <v>0.2</v>
      </c>
      <c r="DH110" s="1213">
        <v>0.2</v>
      </c>
      <c r="DI110" s="1213">
        <v>0.2</v>
      </c>
      <c r="DJ110" s="1214"/>
      <c r="DK110" s="1213"/>
      <c r="DL110" s="1213"/>
      <c r="DN110" s="1207" t="s">
        <v>3208</v>
      </c>
      <c r="DO110" s="1211" t="s">
        <v>108</v>
      </c>
      <c r="DP110" s="1208" t="s">
        <v>113</v>
      </c>
      <c r="DQ110" s="1213">
        <v>0.2</v>
      </c>
      <c r="DR110" s="1213">
        <v>0.2</v>
      </c>
      <c r="DS110" s="1213">
        <v>0.2</v>
      </c>
      <c r="DT110" s="1213">
        <v>0.2</v>
      </c>
      <c r="DU110" s="1220">
        <v>0.2</v>
      </c>
      <c r="DV110" s="1213">
        <v>0.2</v>
      </c>
      <c r="DW110" s="1213">
        <v>0.2</v>
      </c>
      <c r="DX110" s="1213">
        <v>0.2</v>
      </c>
      <c r="DY110" s="1213">
        <v>0.2</v>
      </c>
      <c r="DZ110" s="1213">
        <v>0.2</v>
      </c>
      <c r="EA110" s="1214"/>
      <c r="EB110" s="1213"/>
      <c r="EC110" s="1213"/>
      <c r="ED110" s="1469"/>
      <c r="EF110" s="1207" t="s">
        <v>3209</v>
      </c>
      <c r="EG110" s="1211" t="s">
        <v>108</v>
      </c>
      <c r="EH110" s="1208" t="s">
        <v>113</v>
      </c>
      <c r="EI110" s="1689">
        <v>0</v>
      </c>
      <c r="EJ110" s="1689">
        <v>0</v>
      </c>
      <c r="EK110" s="1689">
        <v>0</v>
      </c>
      <c r="EL110" s="1689">
        <v>0</v>
      </c>
      <c r="EM110" s="1689">
        <v>0</v>
      </c>
      <c r="EN110" s="1689">
        <v>0</v>
      </c>
      <c r="EO110" s="1689">
        <v>0</v>
      </c>
      <c r="EP110" s="1689">
        <v>0</v>
      </c>
      <c r="EQ110" s="1689">
        <v>0</v>
      </c>
      <c r="ER110" s="1689">
        <v>0</v>
      </c>
      <c r="ES110" s="1689">
        <v>0</v>
      </c>
      <c r="ET110" s="1689">
        <v>0</v>
      </c>
      <c r="EU110" s="1689">
        <v>0</v>
      </c>
      <c r="EW110" s="1207" t="s">
        <v>3208</v>
      </c>
      <c r="EX110" s="1211" t="s">
        <v>108</v>
      </c>
      <c r="EY110" s="1208" t="s">
        <v>113</v>
      </c>
      <c r="EZ110" s="1678">
        <f>DQ110</f>
        <v>0.2</v>
      </c>
      <c r="FA110" s="1678"/>
      <c r="FB110" s="1678"/>
      <c r="FC110" s="1678"/>
      <c r="FD110" s="1678"/>
      <c r="FE110" s="1678"/>
      <c r="FF110" s="1678"/>
      <c r="FG110" s="1678"/>
      <c r="FH110" s="1678"/>
      <c r="FI110" s="1678"/>
      <c r="FJ110" s="1678"/>
      <c r="FK110" s="1678"/>
      <c r="FL110" s="1678"/>
    </row>
    <row r="111" spans="2:168" ht="14.25" thickBot="1">
      <c r="B111" s="2023" t="str">
        <f t="shared" si="142"/>
        <v>3.3.6</v>
      </c>
      <c r="C111" s="829" t="str">
        <f t="shared" si="170"/>
        <v>バックアップスペースの確保</v>
      </c>
      <c r="D111" s="2100" t="e">
        <f t="shared" si="191"/>
        <v>#REF!</v>
      </c>
      <c r="E111" s="2021" t="e">
        <f t="shared" si="191"/>
        <v>#REF!</v>
      </c>
      <c r="G111" s="2021" t="e">
        <f t="shared" si="171"/>
        <v>#REF!</v>
      </c>
      <c r="H111" s="2021" t="e">
        <f t="shared" si="172"/>
        <v>#REF!</v>
      </c>
      <c r="I111" s="2021"/>
      <c r="J111" s="2021"/>
      <c r="K111" s="2021" t="e">
        <f>IF(#REF!=0,0,1)</f>
        <v>#REF!</v>
      </c>
      <c r="L111" s="2021" t="e">
        <f>IF(#REF!=0,0,1)</f>
        <v>#REF!</v>
      </c>
      <c r="M111" s="2021">
        <f t="shared" si="173"/>
        <v>0.2</v>
      </c>
      <c r="N111" s="2021">
        <f t="shared" si="169"/>
        <v>0</v>
      </c>
      <c r="P111" s="2209"/>
      <c r="Q111" s="2208"/>
      <c r="R111" s="2097">
        <v>6</v>
      </c>
      <c r="S111" s="2096" t="s">
        <v>1043</v>
      </c>
      <c r="T111" s="2095"/>
      <c r="U111" s="2017"/>
      <c r="V111" s="2016">
        <f t="shared" si="205"/>
        <v>0</v>
      </c>
      <c r="W111" s="2015">
        <f t="shared" si="206"/>
        <v>0</v>
      </c>
      <c r="Y111" s="1">
        <f t="shared" si="192"/>
        <v>0</v>
      </c>
      <c r="Z111" s="1">
        <f t="shared" si="193"/>
        <v>0</v>
      </c>
      <c r="AA111" s="1">
        <f t="shared" si="194"/>
        <v>0</v>
      </c>
      <c r="AB111" s="1">
        <f t="shared" si="195"/>
        <v>0</v>
      </c>
      <c r="AC111" s="1">
        <f t="shared" si="196"/>
        <v>0</v>
      </c>
      <c r="AD111" s="1">
        <f t="shared" si="197"/>
        <v>0</v>
      </c>
      <c r="AE111" s="1">
        <f t="shared" si="198"/>
        <v>0</v>
      </c>
      <c r="AF111" s="1">
        <f t="shared" si="199"/>
        <v>0</v>
      </c>
      <c r="AG111" s="1">
        <f t="shared" si="200"/>
        <v>0</v>
      </c>
      <c r="AH111" s="1">
        <f t="shared" si="201"/>
        <v>0</v>
      </c>
      <c r="AI111" s="1">
        <f t="shared" si="202"/>
        <v>0</v>
      </c>
      <c r="AJ111" s="1">
        <f t="shared" si="203"/>
        <v>0</v>
      </c>
      <c r="AK111" s="1">
        <f t="shared" si="204"/>
        <v>0</v>
      </c>
      <c r="AM111" s="1831"/>
      <c r="AN111" s="1831"/>
      <c r="AO111" s="1831"/>
      <c r="AP111" s="1831"/>
      <c r="AQ111" s="1831"/>
      <c r="AR111" s="1831"/>
      <c r="AS111" s="1831"/>
      <c r="AT111" s="1831"/>
      <c r="AU111" s="1831"/>
      <c r="AV111" s="1831"/>
      <c r="AW111" s="1831"/>
      <c r="AX111" s="1831"/>
      <c r="AY111" s="1831"/>
      <c r="BA111" s="2014"/>
      <c r="BB111" s="2014" t="e">
        <f t="shared" si="174"/>
        <v>#REF!</v>
      </c>
      <c r="BC111" s="2014"/>
      <c r="BD111" s="2013" t="e">
        <f>BR111*#REF!</f>
        <v>#REF!</v>
      </c>
      <c r="BE111" s="2013" t="e">
        <f>BS111*#REF!</f>
        <v>#REF!</v>
      </c>
      <c r="BF111" s="2013" t="e">
        <f>BT111*#REF!</f>
        <v>#REF!</v>
      </c>
      <c r="BG111" s="2013" t="e">
        <f>BU111*#REF!</f>
        <v>#REF!</v>
      </c>
      <c r="BH111" s="2094" t="e">
        <f>BV111*#REF!</f>
        <v>#REF!</v>
      </c>
      <c r="BI111" s="2013" t="e">
        <f>BW111*#REF!</f>
        <v>#REF!</v>
      </c>
      <c r="BJ111" s="2013" t="e">
        <f>BX111*#REF!</f>
        <v>#REF!</v>
      </c>
      <c r="BK111" s="2013" t="e">
        <f>BY111*#REF!</f>
        <v>#REF!</v>
      </c>
      <c r="BL111" s="2013" t="e">
        <f>BZ111*#REF!</f>
        <v>#REF!</v>
      </c>
      <c r="BM111" s="2013" t="e">
        <f>CA111*#REF!</f>
        <v>#REF!</v>
      </c>
      <c r="BO111" s="2040" t="str">
        <f t="shared" si="175"/>
        <v>3.3.6</v>
      </c>
      <c r="BP111" s="2040" t="str">
        <f t="shared" si="176"/>
        <v xml:space="preserve"> Q2 3.3</v>
      </c>
      <c r="BQ111" s="829" t="str">
        <f t="shared" si="177"/>
        <v>バックアップスペースの確保</v>
      </c>
      <c r="BR111" s="2010">
        <f t="shared" si="178"/>
        <v>0.2</v>
      </c>
      <c r="BS111" s="2010">
        <f t="shared" si="179"/>
        <v>0.2</v>
      </c>
      <c r="BT111" s="2010">
        <f t="shared" si="180"/>
        <v>0.2</v>
      </c>
      <c r="BU111" s="2010">
        <f t="shared" si="181"/>
        <v>0.2</v>
      </c>
      <c r="BV111" s="2093">
        <f t="shared" si="182"/>
        <v>0.2</v>
      </c>
      <c r="BW111" s="2010">
        <f t="shared" si="183"/>
        <v>0.2</v>
      </c>
      <c r="BX111" s="2010">
        <f t="shared" si="184"/>
        <v>0.2</v>
      </c>
      <c r="BY111" s="2010">
        <f t="shared" si="185"/>
        <v>0.2</v>
      </c>
      <c r="BZ111" s="2010">
        <f t="shared" si="186"/>
        <v>0.2</v>
      </c>
      <c r="CA111" s="2010">
        <f t="shared" si="187"/>
        <v>0.2</v>
      </c>
      <c r="CB111" s="2039">
        <f t="shared" si="188"/>
        <v>0</v>
      </c>
      <c r="CC111" s="2010">
        <f t="shared" si="189"/>
        <v>0</v>
      </c>
      <c r="CD111" s="2010">
        <f t="shared" si="190"/>
        <v>0</v>
      </c>
      <c r="CF111" s="1207" t="s">
        <v>3206</v>
      </c>
      <c r="CG111" s="1211" t="s">
        <v>108</v>
      </c>
      <c r="CH111" s="1208" t="s">
        <v>1043</v>
      </c>
      <c r="CI111" s="1209">
        <v>0.2</v>
      </c>
      <c r="CJ111" s="1209">
        <v>0.2</v>
      </c>
      <c r="CK111" s="1209">
        <v>0.2</v>
      </c>
      <c r="CL111" s="1209">
        <v>0.2</v>
      </c>
      <c r="CM111" s="1217">
        <v>0.2</v>
      </c>
      <c r="CN111" s="1209">
        <v>0.2</v>
      </c>
      <c r="CO111" s="1213">
        <v>0.2</v>
      </c>
      <c r="CP111" s="1209">
        <v>0.2</v>
      </c>
      <c r="CQ111" s="1209">
        <v>0.2</v>
      </c>
      <c r="CR111" s="1209">
        <v>0.2</v>
      </c>
      <c r="CS111" s="1214"/>
      <c r="CT111" s="1213"/>
      <c r="CU111" s="1213"/>
      <c r="CW111" s="1207" t="s">
        <v>3207</v>
      </c>
      <c r="CX111" s="1211" t="s">
        <v>108</v>
      </c>
      <c r="CY111" s="1208" t="s">
        <v>1712</v>
      </c>
      <c r="CZ111" s="1213">
        <v>0.2</v>
      </c>
      <c r="DA111" s="1213">
        <v>0.2</v>
      </c>
      <c r="DB111" s="1213">
        <v>0.2</v>
      </c>
      <c r="DC111" s="1213">
        <v>0.2</v>
      </c>
      <c r="DD111" s="1220">
        <v>0.2</v>
      </c>
      <c r="DE111" s="1213">
        <v>0.2</v>
      </c>
      <c r="DF111" s="1213">
        <v>0.2</v>
      </c>
      <c r="DG111" s="1213">
        <v>0.2</v>
      </c>
      <c r="DH111" s="1213">
        <v>0.2</v>
      </c>
      <c r="DI111" s="1213">
        <v>0.2</v>
      </c>
      <c r="DJ111" s="1214"/>
      <c r="DK111" s="1213"/>
      <c r="DL111" s="1213"/>
      <c r="DN111" s="1207" t="s">
        <v>3206</v>
      </c>
      <c r="DO111" s="1211" t="s">
        <v>108</v>
      </c>
      <c r="DP111" s="1208" t="s">
        <v>1043</v>
      </c>
      <c r="DQ111" s="1213">
        <v>0.2</v>
      </c>
      <c r="DR111" s="1213">
        <v>0.2</v>
      </c>
      <c r="DS111" s="1213">
        <v>0.2</v>
      </c>
      <c r="DT111" s="1213">
        <v>0.2</v>
      </c>
      <c r="DU111" s="1220">
        <v>0.2</v>
      </c>
      <c r="DV111" s="1213">
        <v>0.2</v>
      </c>
      <c r="DW111" s="1213">
        <v>0.2</v>
      </c>
      <c r="DX111" s="1213">
        <v>0.2</v>
      </c>
      <c r="DY111" s="1213">
        <v>0.2</v>
      </c>
      <c r="DZ111" s="1213">
        <v>0.2</v>
      </c>
      <c r="EA111" s="1214"/>
      <c r="EB111" s="1213"/>
      <c r="EC111" s="1213"/>
      <c r="ED111" s="1469"/>
      <c r="EF111" s="1207" t="s">
        <v>3206</v>
      </c>
      <c r="EG111" s="1211" t="s">
        <v>108</v>
      </c>
      <c r="EH111" s="1208" t="s">
        <v>1043</v>
      </c>
      <c r="EI111" s="1689">
        <v>0</v>
      </c>
      <c r="EJ111" s="1689">
        <v>0</v>
      </c>
      <c r="EK111" s="1689">
        <v>0</v>
      </c>
      <c r="EL111" s="1689">
        <v>0</v>
      </c>
      <c r="EM111" s="1689">
        <v>0</v>
      </c>
      <c r="EN111" s="1689">
        <v>0</v>
      </c>
      <c r="EO111" s="1689">
        <v>0</v>
      </c>
      <c r="EP111" s="1689">
        <v>0</v>
      </c>
      <c r="EQ111" s="1689">
        <v>0</v>
      </c>
      <c r="ER111" s="1689">
        <v>0</v>
      </c>
      <c r="ES111" s="1689">
        <v>0</v>
      </c>
      <c r="ET111" s="1689">
        <v>0</v>
      </c>
      <c r="EU111" s="1689">
        <v>0</v>
      </c>
      <c r="EW111" s="1207" t="s">
        <v>3206</v>
      </c>
      <c r="EX111" s="1211" t="s">
        <v>108</v>
      </c>
      <c r="EY111" s="1208" t="s">
        <v>1043</v>
      </c>
      <c r="EZ111" s="1678">
        <f>DQ111</f>
        <v>0.2</v>
      </c>
      <c r="FA111" s="1678"/>
      <c r="FB111" s="1678"/>
      <c r="FC111" s="1678"/>
      <c r="FD111" s="1678"/>
      <c r="FE111" s="1678"/>
      <c r="FF111" s="1678"/>
      <c r="FG111" s="1678"/>
      <c r="FH111" s="1678"/>
      <c r="FI111" s="1678"/>
      <c r="FJ111" s="1678"/>
      <c r="FK111" s="1678"/>
      <c r="FL111" s="1678"/>
    </row>
    <row r="112" spans="2:168" ht="14.25" thickBot="1">
      <c r="B112" s="2023" t="str">
        <f t="shared" si="142"/>
        <v>Q3</v>
      </c>
      <c r="C112" s="2079" t="str">
        <f t="shared" si="170"/>
        <v>室外環境（敷地内）</v>
      </c>
      <c r="D112" s="2207" t="e">
        <f>IF(I$8=0,0,G112/I$8)</f>
        <v>#REF!</v>
      </c>
      <c r="E112" s="2089" t="e">
        <f>IF(J$8=0,0,H112/J$8)</f>
        <v>#REF!</v>
      </c>
      <c r="G112" s="2089" t="e">
        <f t="shared" si="171"/>
        <v>#REF!</v>
      </c>
      <c r="H112" s="2089" t="e">
        <f t="shared" si="172"/>
        <v>#REF!</v>
      </c>
      <c r="I112" s="2089" t="e">
        <f>G113+G116+G117+G114</f>
        <v>#REF!</v>
      </c>
      <c r="J112" s="2089" t="e">
        <f>H113+H116+H117+H114</f>
        <v>#REF!</v>
      </c>
      <c r="K112" s="2089" t="e">
        <f>IF(#REF!=0,0,1)</f>
        <v>#REF!</v>
      </c>
      <c r="L112" s="2089" t="e">
        <f>IF(#REF!=0,0,1)</f>
        <v>#REF!</v>
      </c>
      <c r="M112" s="2089">
        <f t="shared" si="173"/>
        <v>0.3</v>
      </c>
      <c r="N112" s="2089">
        <f t="shared" si="169"/>
        <v>0</v>
      </c>
      <c r="P112" s="2088" t="s">
        <v>3205</v>
      </c>
      <c r="Q112" s="2087" t="s">
        <v>3203</v>
      </c>
      <c r="R112" s="2087"/>
      <c r="S112" s="2087"/>
      <c r="T112" s="2086"/>
      <c r="U112" s="2017"/>
      <c r="V112" s="2206">
        <f t="shared" si="205"/>
        <v>0</v>
      </c>
      <c r="W112" s="2205">
        <f t="shared" si="206"/>
        <v>0</v>
      </c>
      <c r="Y112" s="1">
        <f t="shared" si="192"/>
        <v>1</v>
      </c>
      <c r="Z112" s="1">
        <f t="shared" si="193"/>
        <v>1</v>
      </c>
      <c r="AA112" s="1">
        <f t="shared" si="194"/>
        <v>1</v>
      </c>
      <c r="AB112" s="1">
        <f t="shared" si="195"/>
        <v>1</v>
      </c>
      <c r="AC112" s="1">
        <f t="shared" si="196"/>
        <v>1</v>
      </c>
      <c r="AD112" s="1">
        <f t="shared" si="197"/>
        <v>1</v>
      </c>
      <c r="AE112" s="1">
        <f t="shared" si="198"/>
        <v>1</v>
      </c>
      <c r="AF112" s="1">
        <f t="shared" si="199"/>
        <v>1</v>
      </c>
      <c r="AG112" s="1">
        <f t="shared" si="200"/>
        <v>1</v>
      </c>
      <c r="AH112" s="1">
        <f t="shared" si="201"/>
        <v>1</v>
      </c>
      <c r="AI112" s="1">
        <f t="shared" si="202"/>
        <v>1</v>
      </c>
      <c r="AJ112" s="1">
        <f t="shared" si="203"/>
        <v>1</v>
      </c>
      <c r="AK112" s="1">
        <f t="shared" si="204"/>
        <v>1</v>
      </c>
      <c r="AM112" s="2083" t="str">
        <f t="shared" ref="AM112:AY112" si="207">AM$6</f>
        <v>事務所</v>
      </c>
      <c r="AN112" s="2083" t="str">
        <f t="shared" si="207"/>
        <v>学校</v>
      </c>
      <c r="AO112" s="2083" t="str">
        <f t="shared" si="207"/>
        <v>物販店</v>
      </c>
      <c r="AP112" s="2083" t="str">
        <f t="shared" si="207"/>
        <v>飲食店</v>
      </c>
      <c r="AQ112" s="2083" t="str">
        <f t="shared" si="207"/>
        <v>集会所</v>
      </c>
      <c r="AR112" s="2083" t="str">
        <f t="shared" si="207"/>
        <v>工場</v>
      </c>
      <c r="AS112" s="2083" t="str">
        <f t="shared" si="207"/>
        <v>小中高</v>
      </c>
      <c r="AT112" s="2083" t="str">
        <f t="shared" si="207"/>
        <v>病院</v>
      </c>
      <c r="AU112" s="2083" t="str">
        <f t="shared" si="207"/>
        <v>ホテル</v>
      </c>
      <c r="AV112" s="2083" t="str">
        <f t="shared" si="207"/>
        <v>集合住宅</v>
      </c>
      <c r="AW112" s="2083" t="str">
        <f t="shared" si="207"/>
        <v>病院o</v>
      </c>
      <c r="AX112" s="2083" t="str">
        <f t="shared" si="207"/>
        <v>ホテルo</v>
      </c>
      <c r="AY112" s="2083" t="str">
        <f t="shared" si="207"/>
        <v>集合住宅o</v>
      </c>
      <c r="BA112" s="2082" t="e">
        <f>BB112/$BC$8</f>
        <v>#REF!</v>
      </c>
      <c r="BB112" s="2082" t="e">
        <f t="shared" si="174"/>
        <v>#REF!</v>
      </c>
      <c r="BC112" s="2082" t="e">
        <f>BB113+BB116+BB117+BB114</f>
        <v>#REF!</v>
      </c>
      <c r="BD112" s="2081" t="e">
        <f>BR112*#REF!</f>
        <v>#REF!</v>
      </c>
      <c r="BE112" s="2081" t="e">
        <f>BS112*#REF!</f>
        <v>#REF!</v>
      </c>
      <c r="BF112" s="2081" t="e">
        <f>BT112*#REF!</f>
        <v>#REF!</v>
      </c>
      <c r="BG112" s="2081" t="e">
        <f>BU112*#REF!</f>
        <v>#REF!</v>
      </c>
      <c r="BH112" s="2081" t="e">
        <f>BV112*#REF!</f>
        <v>#REF!</v>
      </c>
      <c r="BI112" s="2081" t="e">
        <f>BW112*#REF!</f>
        <v>#REF!</v>
      </c>
      <c r="BJ112" s="2081" t="e">
        <f>BX112*#REF!</f>
        <v>#REF!</v>
      </c>
      <c r="BK112" s="2081" t="e">
        <f>BY112*#REF!</f>
        <v>#REF!</v>
      </c>
      <c r="BL112" s="2081" t="e">
        <f>BZ112*#REF!</f>
        <v>#REF!</v>
      </c>
      <c r="BM112" s="2081" t="e">
        <f>CA112*#REF!</f>
        <v>#REF!</v>
      </c>
      <c r="BO112" s="2023" t="str">
        <f t="shared" si="175"/>
        <v>Q3</v>
      </c>
      <c r="BP112" s="2023" t="str">
        <f t="shared" si="176"/>
        <v xml:space="preserve"> Q</v>
      </c>
      <c r="BQ112" s="2079" t="str">
        <f t="shared" si="177"/>
        <v>室外環境（敷地内）</v>
      </c>
      <c r="BR112" s="2078">
        <f t="shared" si="178"/>
        <v>0.3</v>
      </c>
      <c r="BS112" s="2078">
        <f t="shared" si="179"/>
        <v>0.3</v>
      </c>
      <c r="BT112" s="2078">
        <f t="shared" si="180"/>
        <v>0.3</v>
      </c>
      <c r="BU112" s="2078">
        <f t="shared" si="181"/>
        <v>0.3</v>
      </c>
      <c r="BV112" s="2078">
        <f t="shared" si="182"/>
        <v>0.3</v>
      </c>
      <c r="BW112" s="2078">
        <f t="shared" si="183"/>
        <v>0.4</v>
      </c>
      <c r="BX112" s="2078">
        <f t="shared" si="184"/>
        <v>0.3</v>
      </c>
      <c r="BY112" s="2078">
        <f t="shared" si="185"/>
        <v>0.3</v>
      </c>
      <c r="BZ112" s="2078">
        <f t="shared" si="186"/>
        <v>0.3</v>
      </c>
      <c r="CA112" s="2078">
        <f t="shared" si="187"/>
        <v>0.3</v>
      </c>
      <c r="CB112" s="2168">
        <f t="shared" si="188"/>
        <v>0</v>
      </c>
      <c r="CC112" s="2078">
        <f t="shared" si="189"/>
        <v>0</v>
      </c>
      <c r="CD112" s="2078">
        <f t="shared" si="190"/>
        <v>0</v>
      </c>
      <c r="CF112" s="1186" t="s">
        <v>3204</v>
      </c>
      <c r="CG112" s="1191" t="s">
        <v>792</v>
      </c>
      <c r="CH112" s="1189" t="s">
        <v>3203</v>
      </c>
      <c r="CI112" s="1190">
        <v>0.3</v>
      </c>
      <c r="CJ112" s="1190">
        <v>0.3</v>
      </c>
      <c r="CK112" s="1190">
        <v>0.3</v>
      </c>
      <c r="CL112" s="1190">
        <v>0.3</v>
      </c>
      <c r="CM112" s="1190">
        <v>0.3</v>
      </c>
      <c r="CN112" s="1190">
        <v>0.4</v>
      </c>
      <c r="CO112" s="1192">
        <v>0.3</v>
      </c>
      <c r="CP112" s="1190">
        <v>0.3</v>
      </c>
      <c r="CQ112" s="1190">
        <v>0.3</v>
      </c>
      <c r="CR112" s="1190">
        <v>0.3</v>
      </c>
      <c r="CS112" s="1193">
        <v>0</v>
      </c>
      <c r="CT112" s="1192">
        <v>0</v>
      </c>
      <c r="CU112" s="1192">
        <v>0</v>
      </c>
      <c r="CW112" s="1186" t="s">
        <v>3201</v>
      </c>
      <c r="CX112" s="1191" t="s">
        <v>792</v>
      </c>
      <c r="CY112" s="1189" t="s">
        <v>3203</v>
      </c>
      <c r="CZ112" s="1192">
        <v>0.3</v>
      </c>
      <c r="DA112" s="1192">
        <v>0.3</v>
      </c>
      <c r="DB112" s="1192">
        <v>0.3</v>
      </c>
      <c r="DC112" s="1192">
        <v>0.3</v>
      </c>
      <c r="DD112" s="1192">
        <v>0.3</v>
      </c>
      <c r="DE112" s="1192">
        <v>0.4</v>
      </c>
      <c r="DF112" s="1192">
        <v>0.3</v>
      </c>
      <c r="DG112" s="1192">
        <v>0.3</v>
      </c>
      <c r="DH112" s="1192">
        <v>0.3</v>
      </c>
      <c r="DI112" s="1192">
        <v>0.3</v>
      </c>
      <c r="DJ112" s="1193"/>
      <c r="DK112" s="1192"/>
      <c r="DL112" s="1192"/>
      <c r="DN112" s="1186" t="s">
        <v>3201</v>
      </c>
      <c r="DO112" s="1191" t="s">
        <v>792</v>
      </c>
      <c r="DP112" s="1189" t="s">
        <v>3202</v>
      </c>
      <c r="DQ112" s="1192">
        <v>0.3</v>
      </c>
      <c r="DR112" s="1192">
        <v>0.3</v>
      </c>
      <c r="DS112" s="1192">
        <v>0.3</v>
      </c>
      <c r="DT112" s="1192">
        <v>0.3</v>
      </c>
      <c r="DU112" s="1192">
        <v>0.3</v>
      </c>
      <c r="DV112" s="1192">
        <v>0.4</v>
      </c>
      <c r="DW112" s="1192">
        <v>0.3</v>
      </c>
      <c r="DX112" s="1192">
        <v>0.3</v>
      </c>
      <c r="DY112" s="1192">
        <v>0.3</v>
      </c>
      <c r="DZ112" s="1192">
        <v>0.3</v>
      </c>
      <c r="EA112" s="1193"/>
      <c r="EB112" s="1192"/>
      <c r="EC112" s="1192"/>
      <c r="ED112" s="1467"/>
      <c r="EF112" s="1186" t="s">
        <v>3201</v>
      </c>
      <c r="EG112" s="1191" t="s">
        <v>792</v>
      </c>
      <c r="EH112" s="1189" t="s">
        <v>3199</v>
      </c>
      <c r="EI112" s="1674">
        <v>0.35</v>
      </c>
      <c r="EJ112" s="1674">
        <v>0.35</v>
      </c>
      <c r="EK112" s="1674">
        <v>0.35</v>
      </c>
      <c r="EL112" s="1674">
        <v>0.35</v>
      </c>
      <c r="EM112" s="1674">
        <v>0.35</v>
      </c>
      <c r="EN112" s="1674">
        <v>0.5</v>
      </c>
      <c r="EO112" s="1674">
        <v>0.35</v>
      </c>
      <c r="EP112" s="1674">
        <v>0.35</v>
      </c>
      <c r="EQ112" s="1674">
        <v>0.35</v>
      </c>
      <c r="ER112" s="1674">
        <v>0.35</v>
      </c>
      <c r="ES112" s="1675">
        <f t="shared" ref="ES112:EU113" si="208">EA112</f>
        <v>0</v>
      </c>
      <c r="ET112" s="1674">
        <f t="shared" si="208"/>
        <v>0</v>
      </c>
      <c r="EU112" s="1674">
        <f t="shared" si="208"/>
        <v>0</v>
      </c>
      <c r="EW112" s="1186" t="s">
        <v>3200</v>
      </c>
      <c r="EX112" s="1191" t="s">
        <v>792</v>
      </c>
      <c r="EY112" s="1189" t="s">
        <v>3199</v>
      </c>
      <c r="EZ112" s="1813">
        <v>0.1</v>
      </c>
      <c r="FA112" s="1674"/>
      <c r="FB112" s="1674"/>
      <c r="FC112" s="1674"/>
      <c r="FD112" s="1674"/>
      <c r="FE112" s="1674"/>
      <c r="FF112" s="1674"/>
      <c r="FG112" s="1674"/>
      <c r="FH112" s="1674"/>
      <c r="FI112" s="1674"/>
      <c r="FJ112" s="1675"/>
      <c r="FK112" s="1674"/>
      <c r="FL112" s="1674"/>
    </row>
    <row r="113" spans="2:168">
      <c r="B113" s="2023">
        <f t="shared" si="142"/>
        <v>1</v>
      </c>
      <c r="C113" s="2050" t="str">
        <f t="shared" si="170"/>
        <v>生物資源の保全と創出</v>
      </c>
      <c r="D113" s="2061" t="e">
        <f>IF(I$112=0,0,G113/I$112)</f>
        <v>#REF!</v>
      </c>
      <c r="E113" s="2060" t="e">
        <f>IF(J$112=0,0,H113/J$112)</f>
        <v>#REF!</v>
      </c>
      <c r="G113" s="2060" t="e">
        <f t="shared" si="171"/>
        <v>#REF!</v>
      </c>
      <c r="H113" s="2060" t="e">
        <f t="shared" si="172"/>
        <v>#REF!</v>
      </c>
      <c r="I113" s="2060"/>
      <c r="J113" s="2060"/>
      <c r="K113" s="2060" t="e">
        <f>IF(#REF!=0,0,1)</f>
        <v>#REF!</v>
      </c>
      <c r="L113" s="2060" t="e">
        <f>IF(#REF!=0,0,1)</f>
        <v>#REF!</v>
      </c>
      <c r="M113" s="2060">
        <f t="shared" si="173"/>
        <v>0.3</v>
      </c>
      <c r="N113" s="2060">
        <f t="shared" si="169"/>
        <v>0</v>
      </c>
      <c r="P113" s="2066">
        <v>1</v>
      </c>
      <c r="Q113" s="2045" t="s">
        <v>1044</v>
      </c>
      <c r="R113" s="7"/>
      <c r="S113" s="7"/>
      <c r="T113" s="2044"/>
      <c r="U113" s="2017"/>
      <c r="V113" s="2204">
        <f t="shared" si="205"/>
        <v>0</v>
      </c>
      <c r="W113" s="2203">
        <f t="shared" si="206"/>
        <v>0</v>
      </c>
      <c r="Y113" s="1">
        <f t="shared" si="192"/>
        <v>0</v>
      </c>
      <c r="Z113" s="1">
        <f t="shared" si="193"/>
        <v>0</v>
      </c>
      <c r="AA113" s="1">
        <f t="shared" si="194"/>
        <v>0</v>
      </c>
      <c r="AB113" s="1">
        <f t="shared" si="195"/>
        <v>0</v>
      </c>
      <c r="AC113" s="1">
        <f t="shared" si="196"/>
        <v>0</v>
      </c>
      <c r="AD113" s="1">
        <f t="shared" si="197"/>
        <v>0</v>
      </c>
      <c r="AE113" s="1">
        <f t="shared" si="198"/>
        <v>0</v>
      </c>
      <c r="AF113" s="1">
        <f t="shared" si="199"/>
        <v>0</v>
      </c>
      <c r="AG113" s="1">
        <f t="shared" si="200"/>
        <v>0</v>
      </c>
      <c r="AH113" s="1">
        <f t="shared" si="201"/>
        <v>0</v>
      </c>
      <c r="AI113" s="1">
        <f t="shared" si="202"/>
        <v>0</v>
      </c>
      <c r="AJ113" s="1">
        <f t="shared" si="203"/>
        <v>0</v>
      </c>
      <c r="AK113" s="1">
        <f t="shared" si="204"/>
        <v>0</v>
      </c>
      <c r="AM113" s="1792"/>
      <c r="AN113" s="1792"/>
      <c r="AO113" s="1792"/>
      <c r="AP113" s="1792"/>
      <c r="AQ113" s="1792"/>
      <c r="AR113" s="1792"/>
      <c r="AS113" s="1792"/>
      <c r="AT113" s="1792"/>
      <c r="AU113" s="1792"/>
      <c r="AV113" s="1792"/>
      <c r="AW113" s="1792"/>
      <c r="AX113" s="1792"/>
      <c r="AY113" s="1792"/>
      <c r="BA113" s="2054" t="e">
        <f>BB113/$BC$112</f>
        <v>#REF!</v>
      </c>
      <c r="BB113" s="2054" t="e">
        <f t="shared" si="174"/>
        <v>#REF!</v>
      </c>
      <c r="BC113" s="2054"/>
      <c r="BD113" s="2053" t="e">
        <f>BR113*#REF!</f>
        <v>#REF!</v>
      </c>
      <c r="BE113" s="2053" t="e">
        <f>BS113*#REF!</f>
        <v>#REF!</v>
      </c>
      <c r="BF113" s="2053" t="e">
        <f>BT113*#REF!</f>
        <v>#REF!</v>
      </c>
      <c r="BG113" s="2053" t="e">
        <f>BU113*#REF!</f>
        <v>#REF!</v>
      </c>
      <c r="BH113" s="2115" t="e">
        <f>BV113*#REF!</f>
        <v>#REF!</v>
      </c>
      <c r="BI113" s="2053" t="e">
        <f>BW113*#REF!</f>
        <v>#REF!</v>
      </c>
      <c r="BJ113" s="2053" t="e">
        <f>BX113*#REF!</f>
        <v>#REF!</v>
      </c>
      <c r="BK113" s="2053" t="e">
        <f>BY113*#REF!</f>
        <v>#REF!</v>
      </c>
      <c r="BL113" s="2053" t="e">
        <f>BZ113*#REF!</f>
        <v>#REF!</v>
      </c>
      <c r="BM113" s="2053" t="e">
        <f>CA113*#REF!</f>
        <v>#REF!</v>
      </c>
      <c r="BO113" s="2114">
        <f t="shared" si="175"/>
        <v>1</v>
      </c>
      <c r="BP113" s="2114" t="str">
        <f t="shared" si="176"/>
        <v xml:space="preserve"> Q3</v>
      </c>
      <c r="BQ113" s="2050" t="str">
        <f t="shared" si="177"/>
        <v>生物資源の保全と創出</v>
      </c>
      <c r="BR113" s="2048">
        <f t="shared" si="178"/>
        <v>0.3</v>
      </c>
      <c r="BS113" s="2048">
        <f t="shared" si="179"/>
        <v>0.3</v>
      </c>
      <c r="BT113" s="2048">
        <f t="shared" si="180"/>
        <v>0.3</v>
      </c>
      <c r="BU113" s="2048">
        <f t="shared" si="181"/>
        <v>0.3</v>
      </c>
      <c r="BV113" s="2113">
        <f t="shared" si="182"/>
        <v>0.3</v>
      </c>
      <c r="BW113" s="2048">
        <f t="shared" si="183"/>
        <v>0.3</v>
      </c>
      <c r="BX113" s="2048">
        <f t="shared" si="184"/>
        <v>0.3</v>
      </c>
      <c r="BY113" s="2048">
        <f t="shared" si="185"/>
        <v>0.3</v>
      </c>
      <c r="BZ113" s="2048">
        <f t="shared" si="186"/>
        <v>0.3</v>
      </c>
      <c r="CA113" s="2048">
        <f t="shared" si="187"/>
        <v>0.3</v>
      </c>
      <c r="CB113" s="2049">
        <f t="shared" si="188"/>
        <v>0</v>
      </c>
      <c r="CC113" s="2048">
        <f t="shared" si="189"/>
        <v>0</v>
      </c>
      <c r="CD113" s="2048">
        <f t="shared" si="190"/>
        <v>0</v>
      </c>
      <c r="CF113" s="1197">
        <v>1</v>
      </c>
      <c r="CG113" s="1201" t="s">
        <v>114</v>
      </c>
      <c r="CH113" s="1198" t="s">
        <v>115</v>
      </c>
      <c r="CI113" s="1199">
        <v>0.3</v>
      </c>
      <c r="CJ113" s="1199">
        <v>0.3</v>
      </c>
      <c r="CK113" s="1199">
        <v>0.3</v>
      </c>
      <c r="CL113" s="1199">
        <v>0.3</v>
      </c>
      <c r="CM113" s="1251">
        <v>0.3</v>
      </c>
      <c r="CN113" s="1199">
        <v>0.3</v>
      </c>
      <c r="CO113" s="1202">
        <v>0.3</v>
      </c>
      <c r="CP113" s="1199">
        <v>0.3</v>
      </c>
      <c r="CQ113" s="1199">
        <v>0.3</v>
      </c>
      <c r="CR113" s="1199">
        <v>0.3</v>
      </c>
      <c r="CS113" s="1203">
        <v>0</v>
      </c>
      <c r="CT113" s="1202">
        <v>0</v>
      </c>
      <c r="CU113" s="1202">
        <v>0</v>
      </c>
      <c r="CW113" s="1197">
        <v>1</v>
      </c>
      <c r="CX113" s="1201" t="s">
        <v>114</v>
      </c>
      <c r="CY113" s="1198" t="s">
        <v>115</v>
      </c>
      <c r="CZ113" s="1202">
        <v>0.3</v>
      </c>
      <c r="DA113" s="1202">
        <v>0.3</v>
      </c>
      <c r="DB113" s="1202">
        <v>0.3</v>
      </c>
      <c r="DC113" s="1202">
        <v>0.3</v>
      </c>
      <c r="DD113" s="1252">
        <v>0.3</v>
      </c>
      <c r="DE113" s="1202">
        <v>0.3</v>
      </c>
      <c r="DF113" s="1202">
        <v>0.3</v>
      </c>
      <c r="DG113" s="1202">
        <v>0.3</v>
      </c>
      <c r="DH113" s="1202">
        <v>0.3</v>
      </c>
      <c r="DI113" s="1202">
        <v>0.3</v>
      </c>
      <c r="DJ113" s="1203"/>
      <c r="DK113" s="1202"/>
      <c r="DL113" s="1202"/>
      <c r="DN113" s="1197">
        <v>1</v>
      </c>
      <c r="DO113" s="1201" t="s">
        <v>114</v>
      </c>
      <c r="DP113" s="1198" t="s">
        <v>115</v>
      </c>
      <c r="DQ113" s="1202">
        <v>0.3</v>
      </c>
      <c r="DR113" s="1202">
        <v>0.3</v>
      </c>
      <c r="DS113" s="1202">
        <v>0.3</v>
      </c>
      <c r="DT113" s="1202">
        <v>0.3</v>
      </c>
      <c r="DU113" s="1252">
        <v>0.3</v>
      </c>
      <c r="DV113" s="1202">
        <v>0.3</v>
      </c>
      <c r="DW113" s="1202">
        <v>0.3</v>
      </c>
      <c r="DX113" s="1202">
        <v>0.3</v>
      </c>
      <c r="DY113" s="1202">
        <v>0.3</v>
      </c>
      <c r="DZ113" s="1202">
        <v>0.3</v>
      </c>
      <c r="EA113" s="1203"/>
      <c r="EB113" s="1202"/>
      <c r="EC113" s="1202"/>
      <c r="ED113" s="1468"/>
      <c r="EF113" s="1197">
        <v>1</v>
      </c>
      <c r="EG113" s="1201" t="s">
        <v>114</v>
      </c>
      <c r="EH113" s="1198" t="s">
        <v>115</v>
      </c>
      <c r="EI113" s="1686">
        <f t="shared" ref="EI113:ER113" si="209">DQ113</f>
        <v>0.3</v>
      </c>
      <c r="EJ113" s="1686">
        <f t="shared" si="209"/>
        <v>0.3</v>
      </c>
      <c r="EK113" s="1686">
        <f t="shared" si="209"/>
        <v>0.3</v>
      </c>
      <c r="EL113" s="1686">
        <f t="shared" si="209"/>
        <v>0.3</v>
      </c>
      <c r="EM113" s="1703">
        <f t="shared" si="209"/>
        <v>0.3</v>
      </c>
      <c r="EN113" s="1686">
        <f t="shared" si="209"/>
        <v>0.3</v>
      </c>
      <c r="EO113" s="1686">
        <f t="shared" si="209"/>
        <v>0.3</v>
      </c>
      <c r="EP113" s="1686">
        <f t="shared" si="209"/>
        <v>0.3</v>
      </c>
      <c r="EQ113" s="1686">
        <f t="shared" si="209"/>
        <v>0.3</v>
      </c>
      <c r="ER113" s="1686">
        <f t="shared" si="209"/>
        <v>0.3</v>
      </c>
      <c r="ES113" s="1688">
        <f t="shared" si="208"/>
        <v>0</v>
      </c>
      <c r="ET113" s="1686">
        <f t="shared" si="208"/>
        <v>0</v>
      </c>
      <c r="EU113" s="1686">
        <f t="shared" si="208"/>
        <v>0</v>
      </c>
      <c r="EW113" s="1197">
        <v>1</v>
      </c>
      <c r="EX113" s="1201" t="s">
        <v>114</v>
      </c>
      <c r="EY113" s="1198" t="s">
        <v>115</v>
      </c>
      <c r="EZ113" s="1821">
        <v>0</v>
      </c>
      <c r="FA113" s="1676"/>
      <c r="FB113" s="1676"/>
      <c r="FC113" s="1676"/>
      <c r="FD113" s="1804"/>
      <c r="FE113" s="1676"/>
      <c r="FF113" s="1676"/>
      <c r="FG113" s="1676"/>
      <c r="FH113" s="1676"/>
      <c r="FI113" s="1676"/>
      <c r="FJ113" s="1677"/>
      <c r="FK113" s="1676"/>
      <c r="FL113" s="1676"/>
    </row>
    <row r="114" spans="2:168" hidden="1">
      <c r="B114" s="2023">
        <v>1</v>
      </c>
      <c r="C114" s="2050">
        <f t="shared" si="170"/>
        <v>0</v>
      </c>
      <c r="D114" s="2061" t="e">
        <f>IF(I$112=0,0,G114/I$112)</f>
        <v>#REF!</v>
      </c>
      <c r="E114" s="2060" t="e">
        <f>IF(J$112=0,0,H114/J$112)</f>
        <v>#REF!</v>
      </c>
      <c r="G114" s="2060" t="e">
        <f t="shared" si="171"/>
        <v>#REF!</v>
      </c>
      <c r="H114" s="2060" t="e">
        <f t="shared" si="172"/>
        <v>#REF!</v>
      </c>
      <c r="I114" s="1254" t="e">
        <f>SUM(G115)</f>
        <v>#REF!</v>
      </c>
      <c r="J114" s="1254" t="e">
        <f>SUM(H115)</f>
        <v>#REF!</v>
      </c>
      <c r="K114" s="2060" t="e">
        <f>IF(#REF!=0,0,1)</f>
        <v>#REF!</v>
      </c>
      <c r="L114" s="2060" t="e">
        <f>IF(#REF!=0,0,1)</f>
        <v>#REF!</v>
      </c>
      <c r="M114" s="2060">
        <f t="shared" si="173"/>
        <v>0</v>
      </c>
      <c r="N114" s="2060">
        <f t="shared" si="169"/>
        <v>0</v>
      </c>
      <c r="P114" s="2202">
        <v>1</v>
      </c>
      <c r="Q114" s="2201" t="s">
        <v>2933</v>
      </c>
      <c r="R114" s="2200"/>
      <c r="S114" s="1655"/>
      <c r="T114" s="2036"/>
      <c r="U114" s="2017"/>
      <c r="V114" s="2038">
        <f t="shared" si="205"/>
        <v>0</v>
      </c>
      <c r="W114" s="2037">
        <f t="shared" si="206"/>
        <v>0</v>
      </c>
      <c r="Y114" s="1">
        <f t="shared" si="192"/>
        <v>0</v>
      </c>
      <c r="Z114" s="1">
        <f t="shared" si="193"/>
        <v>0</v>
      </c>
      <c r="AA114" s="1">
        <f t="shared" si="194"/>
        <v>0</v>
      </c>
      <c r="AB114" s="1">
        <f t="shared" si="195"/>
        <v>0</v>
      </c>
      <c r="AC114" s="1">
        <f t="shared" si="196"/>
        <v>0</v>
      </c>
      <c r="AD114" s="1">
        <f t="shared" si="197"/>
        <v>0</v>
      </c>
      <c r="AE114" s="1">
        <f t="shared" si="198"/>
        <v>0</v>
      </c>
      <c r="AF114" s="1">
        <f t="shared" si="199"/>
        <v>0</v>
      </c>
      <c r="AG114" s="1">
        <f t="shared" si="200"/>
        <v>0</v>
      </c>
      <c r="AH114" s="1">
        <f t="shared" si="201"/>
        <v>0</v>
      </c>
      <c r="AI114" s="1">
        <f t="shared" si="202"/>
        <v>0</v>
      </c>
      <c r="AJ114" s="1">
        <f t="shared" si="203"/>
        <v>0</v>
      </c>
      <c r="AK114" s="1">
        <f t="shared" si="204"/>
        <v>0</v>
      </c>
      <c r="AM114" s="1830"/>
      <c r="AN114" s="1830"/>
      <c r="AO114" s="1830"/>
      <c r="AP114" s="1830"/>
      <c r="AQ114" s="1830"/>
      <c r="AR114" s="1830"/>
      <c r="AS114" s="1830"/>
      <c r="AT114" s="1830"/>
      <c r="AU114" s="1830"/>
      <c r="AV114" s="1830"/>
      <c r="AW114" s="1830"/>
      <c r="AX114" s="1830"/>
      <c r="AY114" s="1830"/>
      <c r="BA114" s="2054"/>
      <c r="BB114" s="2054" t="e">
        <f t="shared" si="174"/>
        <v>#REF!</v>
      </c>
      <c r="BC114" s="2054"/>
      <c r="BD114" s="2053" t="e">
        <f>BR114*#REF!</f>
        <v>#REF!</v>
      </c>
      <c r="BE114" s="2053" t="e">
        <f>BS114*#REF!</f>
        <v>#REF!</v>
      </c>
      <c r="BF114" s="2053" t="e">
        <f>BT114*#REF!</f>
        <v>#REF!</v>
      </c>
      <c r="BG114" s="2053" t="e">
        <f>BU114*#REF!</f>
        <v>#REF!</v>
      </c>
      <c r="BH114" s="2115" t="e">
        <f>BV114*#REF!</f>
        <v>#REF!</v>
      </c>
      <c r="BI114" s="2053" t="e">
        <f>BW114*#REF!</f>
        <v>#REF!</v>
      </c>
      <c r="BJ114" s="2053" t="e">
        <f>BX114*#REF!</f>
        <v>#REF!</v>
      </c>
      <c r="BK114" s="2053" t="e">
        <f>BY114*#REF!</f>
        <v>#REF!</v>
      </c>
      <c r="BL114" s="2053" t="e">
        <f>BZ114*#REF!</f>
        <v>#REF!</v>
      </c>
      <c r="BM114" s="2053" t="e">
        <f>CA114*#REF!</f>
        <v>#REF!</v>
      </c>
      <c r="BO114" s="2114">
        <f t="shared" si="175"/>
        <v>0</v>
      </c>
      <c r="BP114" s="2114">
        <f t="shared" si="176"/>
        <v>0</v>
      </c>
      <c r="BQ114" s="2050">
        <f t="shared" si="177"/>
        <v>0</v>
      </c>
      <c r="BR114" s="2048">
        <f t="shared" si="178"/>
        <v>0</v>
      </c>
      <c r="BS114" s="2048">
        <f t="shared" si="179"/>
        <v>0</v>
      </c>
      <c r="BT114" s="2048">
        <f t="shared" si="180"/>
        <v>0</v>
      </c>
      <c r="BU114" s="2048">
        <f t="shared" si="181"/>
        <v>0</v>
      </c>
      <c r="BV114" s="2113">
        <f t="shared" si="182"/>
        <v>0</v>
      </c>
      <c r="BW114" s="2048">
        <f t="shared" si="183"/>
        <v>0</v>
      </c>
      <c r="BX114" s="2048">
        <f t="shared" si="184"/>
        <v>0</v>
      </c>
      <c r="BY114" s="2048">
        <f t="shared" si="185"/>
        <v>0</v>
      </c>
      <c r="BZ114" s="2048">
        <f t="shared" si="186"/>
        <v>0</v>
      </c>
      <c r="CA114" s="2048">
        <f t="shared" si="187"/>
        <v>0</v>
      </c>
      <c r="CB114" s="2049">
        <f t="shared" si="188"/>
        <v>0</v>
      </c>
      <c r="CC114" s="2048">
        <f t="shared" si="189"/>
        <v>0</v>
      </c>
      <c r="CD114" s="2048">
        <f t="shared" si="190"/>
        <v>0</v>
      </c>
      <c r="CF114" s="1197"/>
      <c r="CG114" s="1201"/>
      <c r="CH114" s="1198"/>
      <c r="CI114" s="1199"/>
      <c r="CJ114" s="1199"/>
      <c r="CK114" s="1199"/>
      <c r="CL114" s="1199"/>
      <c r="CM114" s="1251"/>
      <c r="CN114" s="1199"/>
      <c r="CO114" s="1202"/>
      <c r="CP114" s="1199"/>
      <c r="CQ114" s="1199"/>
      <c r="CR114" s="1199"/>
      <c r="CS114" s="1203"/>
      <c r="CT114" s="1202"/>
      <c r="CU114" s="1202"/>
      <c r="CW114" s="1197"/>
      <c r="CX114" s="1201"/>
      <c r="CY114" s="1198"/>
      <c r="CZ114" s="1202"/>
      <c r="DA114" s="1202"/>
      <c r="DB114" s="1202"/>
      <c r="DC114" s="1202"/>
      <c r="DD114" s="1252"/>
      <c r="DE114" s="1202"/>
      <c r="DF114" s="1202"/>
      <c r="DG114" s="1202"/>
      <c r="DH114" s="1202"/>
      <c r="DI114" s="1202"/>
      <c r="DJ114" s="1203"/>
      <c r="DK114" s="1202"/>
      <c r="DL114" s="1202"/>
      <c r="DN114" s="1197"/>
      <c r="DO114" s="1201"/>
      <c r="DP114" s="1198"/>
      <c r="DQ114" s="1202"/>
      <c r="DR114" s="1202"/>
      <c r="DS114" s="1202"/>
      <c r="DT114" s="1202"/>
      <c r="DU114" s="1252"/>
      <c r="DV114" s="1202"/>
      <c r="DW114" s="1202"/>
      <c r="DX114" s="1202"/>
      <c r="DY114" s="1202"/>
      <c r="DZ114" s="1202"/>
      <c r="EA114" s="1203"/>
      <c r="EB114" s="1202"/>
      <c r="EC114" s="1202"/>
      <c r="ED114" s="1468"/>
      <c r="EF114" s="1197"/>
      <c r="EG114" s="1201"/>
      <c r="EH114" s="1198"/>
      <c r="EI114" s="1686"/>
      <c r="EJ114" s="1686"/>
      <c r="EK114" s="1686"/>
      <c r="EL114" s="1686"/>
      <c r="EM114" s="1703"/>
      <c r="EN114" s="1686"/>
      <c r="EO114" s="1686"/>
      <c r="EP114" s="1686"/>
      <c r="EQ114" s="1686"/>
      <c r="ER114" s="1686"/>
      <c r="ES114" s="1688"/>
      <c r="ET114" s="1686"/>
      <c r="EU114" s="1686"/>
      <c r="EW114" s="1197">
        <v>1</v>
      </c>
      <c r="EX114" s="1201" t="s">
        <v>114</v>
      </c>
      <c r="EY114" s="1822" t="s">
        <v>2945</v>
      </c>
      <c r="EZ114" s="1821">
        <v>1</v>
      </c>
      <c r="FA114" s="1676"/>
      <c r="FB114" s="1676"/>
      <c r="FC114" s="1676"/>
      <c r="FD114" s="1804"/>
      <c r="FE114" s="1676"/>
      <c r="FF114" s="1676"/>
      <c r="FG114" s="1676"/>
      <c r="FH114" s="1676"/>
      <c r="FI114" s="1676"/>
      <c r="FJ114" s="1677"/>
      <c r="FK114" s="1676"/>
      <c r="FL114" s="1676"/>
    </row>
    <row r="115" spans="2:168" hidden="1">
      <c r="B115" s="2023">
        <v>1.1000000000000001</v>
      </c>
      <c r="C115" s="829">
        <f t="shared" si="170"/>
        <v>0</v>
      </c>
      <c r="D115" s="2021" t="e">
        <f>IF(I$114=0,0,G115/I$114)</f>
        <v>#REF!</v>
      </c>
      <c r="E115" s="2021" t="e">
        <f>IF(J$114=0,0,H115/J$114)</f>
        <v>#REF!</v>
      </c>
      <c r="G115" s="2021" t="e">
        <f t="shared" si="171"/>
        <v>#REF!</v>
      </c>
      <c r="H115" s="2021" t="e">
        <f t="shared" si="172"/>
        <v>#REF!</v>
      </c>
      <c r="I115" s="513"/>
      <c r="J115" s="2021"/>
      <c r="K115" s="2021" t="e">
        <f>IF(#REF!=0,0,1)</f>
        <v>#REF!</v>
      </c>
      <c r="L115" s="2021" t="e">
        <f>IF(#REF!=0,0,1)</f>
        <v>#REF!</v>
      </c>
      <c r="M115" s="2021">
        <f t="shared" si="173"/>
        <v>0</v>
      </c>
      <c r="N115" s="2021">
        <f t="shared" si="169"/>
        <v>0</v>
      </c>
      <c r="P115" s="2199"/>
      <c r="Q115" s="2198">
        <v>1.1000000000000001</v>
      </c>
      <c r="R115" s="2064" t="s">
        <v>2934</v>
      </c>
      <c r="S115" s="2195"/>
      <c r="T115" s="2032"/>
      <c r="U115" s="2017"/>
      <c r="V115" s="2038">
        <f t="shared" si="205"/>
        <v>0</v>
      </c>
      <c r="W115" s="2037">
        <f t="shared" si="206"/>
        <v>0</v>
      </c>
      <c r="Y115" s="1">
        <f t="shared" si="192"/>
        <v>0</v>
      </c>
      <c r="Z115" s="1">
        <f t="shared" si="193"/>
        <v>0</v>
      </c>
      <c r="AA115" s="1">
        <f t="shared" si="194"/>
        <v>0</v>
      </c>
      <c r="AB115" s="1">
        <f t="shared" si="195"/>
        <v>0</v>
      </c>
      <c r="AC115" s="1">
        <f t="shared" si="196"/>
        <v>0</v>
      </c>
      <c r="AD115" s="1">
        <f t="shared" si="197"/>
        <v>0</v>
      </c>
      <c r="AE115" s="1">
        <f t="shared" si="198"/>
        <v>0</v>
      </c>
      <c r="AF115" s="1">
        <f t="shared" si="199"/>
        <v>0</v>
      </c>
      <c r="AG115" s="1">
        <f t="shared" si="200"/>
        <v>0</v>
      </c>
      <c r="AH115" s="1">
        <f t="shared" si="201"/>
        <v>0</v>
      </c>
      <c r="AI115" s="1">
        <f t="shared" si="202"/>
        <v>0</v>
      </c>
      <c r="AJ115" s="1">
        <f t="shared" si="203"/>
        <v>0</v>
      </c>
      <c r="AK115" s="1">
        <f t="shared" si="204"/>
        <v>0</v>
      </c>
      <c r="AM115" s="1830"/>
      <c r="AN115" s="1830"/>
      <c r="AO115" s="1830"/>
      <c r="AP115" s="1830"/>
      <c r="AQ115" s="1830"/>
      <c r="AR115" s="1830"/>
      <c r="AS115" s="1830"/>
      <c r="AT115" s="1830"/>
      <c r="AU115" s="1830"/>
      <c r="AV115" s="1830"/>
      <c r="AW115" s="1830"/>
      <c r="AX115" s="1830"/>
      <c r="AY115" s="1830"/>
      <c r="BA115" s="2054"/>
      <c r="BB115" s="2054" t="e">
        <f t="shared" si="174"/>
        <v>#REF!</v>
      </c>
      <c r="BC115" s="2054"/>
      <c r="BD115" s="2053" t="e">
        <f>BR115*#REF!</f>
        <v>#REF!</v>
      </c>
      <c r="BE115" s="2053" t="e">
        <f>BS115*#REF!</f>
        <v>#REF!</v>
      </c>
      <c r="BF115" s="2053" t="e">
        <f>BT115*#REF!</f>
        <v>#REF!</v>
      </c>
      <c r="BG115" s="2053" t="e">
        <f>BU115*#REF!</f>
        <v>#REF!</v>
      </c>
      <c r="BH115" s="2115" t="e">
        <f>BV115*#REF!</f>
        <v>#REF!</v>
      </c>
      <c r="BI115" s="2053" t="e">
        <f>BW115*#REF!</f>
        <v>#REF!</v>
      </c>
      <c r="BJ115" s="2053" t="e">
        <f>BX115*#REF!</f>
        <v>#REF!</v>
      </c>
      <c r="BK115" s="2053" t="e">
        <f>BY115*#REF!</f>
        <v>#REF!</v>
      </c>
      <c r="BL115" s="2053" t="e">
        <f>BZ115*#REF!</f>
        <v>#REF!</v>
      </c>
      <c r="BM115" s="2053" t="e">
        <f>CA115*#REF!</f>
        <v>#REF!</v>
      </c>
      <c r="BO115" s="2114">
        <f t="shared" si="175"/>
        <v>0</v>
      </c>
      <c r="BP115" s="2114">
        <f t="shared" si="176"/>
        <v>0</v>
      </c>
      <c r="BQ115" s="2050">
        <f t="shared" si="177"/>
        <v>0</v>
      </c>
      <c r="BR115" s="2048">
        <f t="shared" si="178"/>
        <v>0</v>
      </c>
      <c r="BS115" s="2048">
        <f t="shared" si="179"/>
        <v>0</v>
      </c>
      <c r="BT115" s="2048">
        <f t="shared" si="180"/>
        <v>0</v>
      </c>
      <c r="BU115" s="2048">
        <f t="shared" si="181"/>
        <v>0</v>
      </c>
      <c r="BV115" s="2113">
        <f t="shared" si="182"/>
        <v>0</v>
      </c>
      <c r="BW115" s="2048">
        <f t="shared" si="183"/>
        <v>0</v>
      </c>
      <c r="BX115" s="2048">
        <f t="shared" si="184"/>
        <v>0</v>
      </c>
      <c r="BY115" s="2048">
        <f t="shared" si="185"/>
        <v>0</v>
      </c>
      <c r="BZ115" s="2048">
        <f t="shared" si="186"/>
        <v>0</v>
      </c>
      <c r="CA115" s="2048">
        <f t="shared" si="187"/>
        <v>0</v>
      </c>
      <c r="CB115" s="2049">
        <f t="shared" si="188"/>
        <v>0</v>
      </c>
      <c r="CC115" s="2048">
        <f t="shared" si="189"/>
        <v>0</v>
      </c>
      <c r="CD115" s="2048">
        <f t="shared" si="190"/>
        <v>0</v>
      </c>
      <c r="CF115" s="1197"/>
      <c r="CG115" s="1201"/>
      <c r="CH115" s="1198"/>
      <c r="CI115" s="1199"/>
      <c r="CJ115" s="1199"/>
      <c r="CK115" s="1199"/>
      <c r="CL115" s="1199"/>
      <c r="CM115" s="1251"/>
      <c r="CN115" s="1199"/>
      <c r="CO115" s="1202"/>
      <c r="CP115" s="1199"/>
      <c r="CQ115" s="1199"/>
      <c r="CR115" s="1199"/>
      <c r="CS115" s="1203"/>
      <c r="CT115" s="1202"/>
      <c r="CU115" s="1202"/>
      <c r="CW115" s="1197"/>
      <c r="CX115" s="1201"/>
      <c r="CY115" s="1198"/>
      <c r="CZ115" s="1202"/>
      <c r="DA115" s="1202"/>
      <c r="DB115" s="1202"/>
      <c r="DC115" s="1202"/>
      <c r="DD115" s="1252"/>
      <c r="DE115" s="1202"/>
      <c r="DF115" s="1202"/>
      <c r="DG115" s="1202"/>
      <c r="DH115" s="1202"/>
      <c r="DI115" s="1202"/>
      <c r="DJ115" s="1203"/>
      <c r="DK115" s="1202"/>
      <c r="DL115" s="1202"/>
      <c r="DN115" s="1197"/>
      <c r="DO115" s="1201"/>
      <c r="DP115" s="1198"/>
      <c r="DQ115" s="1202"/>
      <c r="DR115" s="1202"/>
      <c r="DS115" s="1202"/>
      <c r="DT115" s="1202"/>
      <c r="DU115" s="1252"/>
      <c r="DV115" s="1202"/>
      <c r="DW115" s="1202"/>
      <c r="DX115" s="1202"/>
      <c r="DY115" s="1202"/>
      <c r="DZ115" s="1202"/>
      <c r="EA115" s="1203"/>
      <c r="EB115" s="1202"/>
      <c r="EC115" s="1202"/>
      <c r="ED115" s="1468"/>
      <c r="EF115" s="1197"/>
      <c r="EG115" s="1201"/>
      <c r="EH115" s="1198"/>
      <c r="EI115" s="1686"/>
      <c r="EJ115" s="1686"/>
      <c r="EK115" s="1686"/>
      <c r="EL115" s="1686"/>
      <c r="EM115" s="1703"/>
      <c r="EN115" s="1686"/>
      <c r="EO115" s="1686"/>
      <c r="EP115" s="1686"/>
      <c r="EQ115" s="1686"/>
      <c r="ER115" s="1686"/>
      <c r="ES115" s="1688"/>
      <c r="ET115" s="1686"/>
      <c r="EU115" s="1686"/>
      <c r="EW115" s="1207" t="s">
        <v>3198</v>
      </c>
      <c r="EX115" s="1211" t="s">
        <v>116</v>
      </c>
      <c r="EY115" s="1823" t="s">
        <v>2936</v>
      </c>
      <c r="EZ115" s="1821">
        <v>1</v>
      </c>
      <c r="FA115" s="1676"/>
      <c r="FB115" s="1676"/>
      <c r="FC115" s="1676"/>
      <c r="FD115" s="1804"/>
      <c r="FE115" s="1676"/>
      <c r="FF115" s="1676"/>
      <c r="FG115" s="1676"/>
      <c r="FH115" s="1676"/>
      <c r="FI115" s="1676"/>
      <c r="FJ115" s="1677"/>
      <c r="FK115" s="1676"/>
      <c r="FL115" s="1676"/>
    </row>
    <row r="116" spans="2:168" ht="14.25" thickBot="1">
      <c r="B116" s="2023">
        <f t="shared" ref="B116:B158" si="210">BO116</f>
        <v>2</v>
      </c>
      <c r="C116" s="2050" t="str">
        <f t="shared" si="170"/>
        <v>まちなみ・景観への配慮</v>
      </c>
      <c r="D116" s="2061" t="e">
        <f>IF(I$112=0,0,G116/I$112)</f>
        <v>#REF!</v>
      </c>
      <c r="E116" s="2060" t="e">
        <f>IF(J$112=0,0,H116/J$112)</f>
        <v>#REF!</v>
      </c>
      <c r="G116" s="2060" t="e">
        <f t="shared" si="171"/>
        <v>#REF!</v>
      </c>
      <c r="H116" s="2060" t="e">
        <f t="shared" si="172"/>
        <v>#REF!</v>
      </c>
      <c r="I116" s="2060"/>
      <c r="J116" s="2060"/>
      <c r="K116" s="2060" t="e">
        <f>IF(#REF!=0,0,1)</f>
        <v>#REF!</v>
      </c>
      <c r="L116" s="2060" t="e">
        <f>IF(#REF!=0,0,1)</f>
        <v>#REF!</v>
      </c>
      <c r="M116" s="2060">
        <f t="shared" si="173"/>
        <v>0.4</v>
      </c>
      <c r="N116" s="2060">
        <f t="shared" si="169"/>
        <v>0</v>
      </c>
      <c r="P116" s="2197">
        <v>2</v>
      </c>
      <c r="Q116" s="2058" t="s">
        <v>1045</v>
      </c>
      <c r="R116" s="1655"/>
      <c r="S116" s="1655"/>
      <c r="T116" s="2036"/>
      <c r="U116" s="2017"/>
      <c r="V116" s="2167">
        <f t="shared" si="205"/>
        <v>0</v>
      </c>
      <c r="W116" s="2166">
        <f t="shared" si="206"/>
        <v>0</v>
      </c>
      <c r="Y116" s="1">
        <f t="shared" si="192"/>
        <v>0</v>
      </c>
      <c r="Z116" s="1">
        <f t="shared" si="193"/>
        <v>0</v>
      </c>
      <c r="AA116" s="1">
        <f t="shared" si="194"/>
        <v>0</v>
      </c>
      <c r="AB116" s="1">
        <f t="shared" si="195"/>
        <v>0</v>
      </c>
      <c r="AC116" s="1">
        <f t="shared" si="196"/>
        <v>0</v>
      </c>
      <c r="AD116" s="1">
        <f t="shared" si="197"/>
        <v>0</v>
      </c>
      <c r="AE116" s="1">
        <f t="shared" si="198"/>
        <v>0</v>
      </c>
      <c r="AF116" s="1">
        <f t="shared" si="199"/>
        <v>0</v>
      </c>
      <c r="AG116" s="1">
        <f t="shared" si="200"/>
        <v>0</v>
      </c>
      <c r="AH116" s="1">
        <f t="shared" si="201"/>
        <v>0</v>
      </c>
      <c r="AI116" s="1">
        <f t="shared" si="202"/>
        <v>0</v>
      </c>
      <c r="AJ116" s="1">
        <f t="shared" si="203"/>
        <v>0</v>
      </c>
      <c r="AK116" s="1">
        <f t="shared" si="204"/>
        <v>0</v>
      </c>
      <c r="AM116" s="2196"/>
      <c r="AN116" s="2196"/>
      <c r="AO116" s="2196"/>
      <c r="AP116" s="2196"/>
      <c r="AQ116" s="2196"/>
      <c r="AR116" s="2196"/>
      <c r="AS116" s="2196"/>
      <c r="AT116" s="2196"/>
      <c r="AU116" s="2196"/>
      <c r="AV116" s="2196"/>
      <c r="AW116" s="2196"/>
      <c r="AX116" s="2196"/>
      <c r="AY116" s="2196"/>
      <c r="BA116" s="2054" t="e">
        <f>BB116/$BC$112</f>
        <v>#REF!</v>
      </c>
      <c r="BB116" s="2054" t="e">
        <f t="shared" si="174"/>
        <v>#REF!</v>
      </c>
      <c r="BC116" s="2054"/>
      <c r="BD116" s="2053" t="e">
        <f>BR116*#REF!</f>
        <v>#REF!</v>
      </c>
      <c r="BE116" s="2053" t="e">
        <f>BS116*#REF!</f>
        <v>#REF!</v>
      </c>
      <c r="BF116" s="2053" t="e">
        <f>BT116*#REF!</f>
        <v>#REF!</v>
      </c>
      <c r="BG116" s="2053" t="e">
        <f>BU116*#REF!</f>
        <v>#REF!</v>
      </c>
      <c r="BH116" s="2115" t="e">
        <f>BV116*#REF!</f>
        <v>#REF!</v>
      </c>
      <c r="BI116" s="2053" t="e">
        <f>BW116*#REF!</f>
        <v>#REF!</v>
      </c>
      <c r="BJ116" s="2053" t="e">
        <f>BX116*#REF!</f>
        <v>#REF!</v>
      </c>
      <c r="BK116" s="2053" t="e">
        <f>BY116*#REF!</f>
        <v>#REF!</v>
      </c>
      <c r="BL116" s="2053" t="e">
        <f>BZ116*#REF!</f>
        <v>#REF!</v>
      </c>
      <c r="BM116" s="2053" t="e">
        <f>CA116*#REF!</f>
        <v>#REF!</v>
      </c>
      <c r="BO116" s="2114">
        <f t="shared" si="175"/>
        <v>2</v>
      </c>
      <c r="BP116" s="2114" t="str">
        <f t="shared" si="176"/>
        <v xml:space="preserve"> Q3</v>
      </c>
      <c r="BQ116" s="2050" t="str">
        <f t="shared" si="177"/>
        <v>まちなみ・景観への配慮</v>
      </c>
      <c r="BR116" s="2048">
        <f t="shared" si="178"/>
        <v>0.4</v>
      </c>
      <c r="BS116" s="2048">
        <f t="shared" si="179"/>
        <v>0.4</v>
      </c>
      <c r="BT116" s="2048">
        <f t="shared" si="180"/>
        <v>0.4</v>
      </c>
      <c r="BU116" s="2048">
        <f t="shared" si="181"/>
        <v>0.4</v>
      </c>
      <c r="BV116" s="2113">
        <f t="shared" si="182"/>
        <v>0.4</v>
      </c>
      <c r="BW116" s="2048">
        <f t="shared" si="183"/>
        <v>0.4</v>
      </c>
      <c r="BX116" s="2048">
        <f t="shared" si="184"/>
        <v>0.4</v>
      </c>
      <c r="BY116" s="2048">
        <f t="shared" si="185"/>
        <v>0.4</v>
      </c>
      <c r="BZ116" s="2048">
        <f t="shared" si="186"/>
        <v>0.4</v>
      </c>
      <c r="CA116" s="2048">
        <f t="shared" si="187"/>
        <v>0.4</v>
      </c>
      <c r="CB116" s="2049">
        <f t="shared" si="188"/>
        <v>0</v>
      </c>
      <c r="CC116" s="2048">
        <f t="shared" si="189"/>
        <v>0</v>
      </c>
      <c r="CD116" s="2048">
        <f t="shared" si="190"/>
        <v>0</v>
      </c>
      <c r="CF116" s="1197">
        <v>2</v>
      </c>
      <c r="CG116" s="1201" t="s">
        <v>114</v>
      </c>
      <c r="CH116" s="1198" t="s">
        <v>3197</v>
      </c>
      <c r="CI116" s="1199">
        <v>0.4</v>
      </c>
      <c r="CJ116" s="1199">
        <v>0.4</v>
      </c>
      <c r="CK116" s="1199">
        <v>0.4</v>
      </c>
      <c r="CL116" s="1199">
        <v>0.4</v>
      </c>
      <c r="CM116" s="1251">
        <v>0.4</v>
      </c>
      <c r="CN116" s="1199">
        <v>0.4</v>
      </c>
      <c r="CO116" s="1202">
        <v>0.4</v>
      </c>
      <c r="CP116" s="1199">
        <v>0.4</v>
      </c>
      <c r="CQ116" s="1199">
        <v>0.4</v>
      </c>
      <c r="CR116" s="1199">
        <v>0.4</v>
      </c>
      <c r="CS116" s="1203">
        <v>0</v>
      </c>
      <c r="CT116" s="1202">
        <v>0</v>
      </c>
      <c r="CU116" s="1202">
        <v>0</v>
      </c>
      <c r="CW116" s="1197">
        <v>2</v>
      </c>
      <c r="CX116" s="1201" t="s">
        <v>114</v>
      </c>
      <c r="CY116" s="1198" t="s">
        <v>3197</v>
      </c>
      <c r="CZ116" s="1202">
        <v>0.4</v>
      </c>
      <c r="DA116" s="1202">
        <v>0.4</v>
      </c>
      <c r="DB116" s="1202">
        <v>0.4</v>
      </c>
      <c r="DC116" s="1202">
        <v>0.4</v>
      </c>
      <c r="DD116" s="1252">
        <v>0.4</v>
      </c>
      <c r="DE116" s="1202">
        <v>0.4</v>
      </c>
      <c r="DF116" s="1202">
        <v>0.4</v>
      </c>
      <c r="DG116" s="1202">
        <v>0.4</v>
      </c>
      <c r="DH116" s="1202">
        <v>0.4</v>
      </c>
      <c r="DI116" s="1202">
        <v>0.4</v>
      </c>
      <c r="DJ116" s="1203"/>
      <c r="DK116" s="1202"/>
      <c r="DL116" s="1202"/>
      <c r="DN116" s="1197">
        <v>2</v>
      </c>
      <c r="DO116" s="1201" t="s">
        <v>114</v>
      </c>
      <c r="DP116" s="1198" t="s">
        <v>3196</v>
      </c>
      <c r="DQ116" s="1202">
        <v>0.4</v>
      </c>
      <c r="DR116" s="1202">
        <v>0.4</v>
      </c>
      <c r="DS116" s="1202">
        <v>0.4</v>
      </c>
      <c r="DT116" s="1202">
        <v>0.4</v>
      </c>
      <c r="DU116" s="1252">
        <v>0.4</v>
      </c>
      <c r="DV116" s="1202">
        <v>0.4</v>
      </c>
      <c r="DW116" s="1202">
        <v>0.4</v>
      </c>
      <c r="DX116" s="1202">
        <v>0.4</v>
      </c>
      <c r="DY116" s="1202">
        <v>0.4</v>
      </c>
      <c r="DZ116" s="1202">
        <v>0.4</v>
      </c>
      <c r="EA116" s="1203"/>
      <c r="EB116" s="1202"/>
      <c r="EC116" s="1202"/>
      <c r="ED116" s="1468"/>
      <c r="EF116" s="1197">
        <v>2</v>
      </c>
      <c r="EG116" s="1201" t="s">
        <v>114</v>
      </c>
      <c r="EH116" s="1198" t="s">
        <v>3196</v>
      </c>
      <c r="EI116" s="1686">
        <f t="shared" ref="EI116:EU121" si="211">DQ116</f>
        <v>0.4</v>
      </c>
      <c r="EJ116" s="1686">
        <f t="shared" si="211"/>
        <v>0.4</v>
      </c>
      <c r="EK116" s="1686">
        <f t="shared" si="211"/>
        <v>0.4</v>
      </c>
      <c r="EL116" s="1686">
        <f t="shared" si="211"/>
        <v>0.4</v>
      </c>
      <c r="EM116" s="1703">
        <f t="shared" si="211"/>
        <v>0.4</v>
      </c>
      <c r="EN116" s="1686">
        <f t="shared" si="211"/>
        <v>0.4</v>
      </c>
      <c r="EO116" s="1686">
        <f t="shared" si="211"/>
        <v>0.4</v>
      </c>
      <c r="EP116" s="1686">
        <f t="shared" si="211"/>
        <v>0.4</v>
      </c>
      <c r="EQ116" s="1686">
        <f t="shared" si="211"/>
        <v>0.4</v>
      </c>
      <c r="ER116" s="1686">
        <f t="shared" si="211"/>
        <v>0.4</v>
      </c>
      <c r="ES116" s="1688">
        <f t="shared" si="211"/>
        <v>0</v>
      </c>
      <c r="ET116" s="1686">
        <f t="shared" si="211"/>
        <v>0</v>
      </c>
      <c r="EU116" s="1686">
        <f t="shared" si="211"/>
        <v>0</v>
      </c>
      <c r="EW116" s="1197">
        <v>2</v>
      </c>
      <c r="EX116" s="1201" t="s">
        <v>114</v>
      </c>
      <c r="EY116" s="1198" t="s">
        <v>3195</v>
      </c>
      <c r="EZ116" s="1821">
        <v>0</v>
      </c>
      <c r="FA116" s="1676"/>
      <c r="FB116" s="1676"/>
      <c r="FC116" s="1676"/>
      <c r="FD116" s="1804"/>
      <c r="FE116" s="1676"/>
      <c r="FF116" s="1676"/>
      <c r="FG116" s="1676"/>
      <c r="FH116" s="1676"/>
      <c r="FI116" s="1676"/>
      <c r="FJ116" s="1677"/>
      <c r="FK116" s="1676"/>
      <c r="FL116" s="1676"/>
    </row>
    <row r="117" spans="2:168" ht="14.25" thickBot="1">
      <c r="B117" s="2023">
        <f t="shared" si="210"/>
        <v>3</v>
      </c>
      <c r="C117" s="2050" t="str">
        <f t="shared" si="170"/>
        <v>地域性・アメニティへの配慮</v>
      </c>
      <c r="D117" s="2061" t="e">
        <f>IF(I$112=0,0,G117/I$112)</f>
        <v>#REF!</v>
      </c>
      <c r="E117" s="2060" t="e">
        <f>IF(J$112=0,0,H117/J$112)</f>
        <v>#REF!</v>
      </c>
      <c r="G117" s="2060" t="e">
        <f t="shared" si="171"/>
        <v>#REF!</v>
      </c>
      <c r="H117" s="2060" t="e">
        <f t="shared" si="172"/>
        <v>#REF!</v>
      </c>
      <c r="I117" s="1254" t="e">
        <f>SUM(G118:G119)</f>
        <v>#REF!</v>
      </c>
      <c r="J117" s="1254" t="e">
        <f>SUM(H118:H119)</f>
        <v>#REF!</v>
      </c>
      <c r="K117" s="2060" t="e">
        <f>IF(#REF!=0,0,1)</f>
        <v>#REF!</v>
      </c>
      <c r="L117" s="2060" t="e">
        <f>IF(#REF!=0,0,1)</f>
        <v>#REF!</v>
      </c>
      <c r="M117" s="2060">
        <f t="shared" si="173"/>
        <v>0.3</v>
      </c>
      <c r="N117" s="2060">
        <f t="shared" si="169"/>
        <v>0</v>
      </c>
      <c r="P117" s="2070">
        <v>3</v>
      </c>
      <c r="Q117" s="2033" t="s">
        <v>1046</v>
      </c>
      <c r="R117" s="2195"/>
      <c r="S117" s="2195"/>
      <c r="T117" s="2032"/>
      <c r="U117" s="2017"/>
      <c r="V117" s="2105">
        <f t="shared" si="205"/>
        <v>0</v>
      </c>
      <c r="W117" s="2104">
        <f t="shared" si="206"/>
        <v>0</v>
      </c>
      <c r="Y117" s="1">
        <f t="shared" si="192"/>
        <v>0</v>
      </c>
      <c r="Z117" s="1">
        <f t="shared" si="193"/>
        <v>0</v>
      </c>
      <c r="AA117" s="1">
        <f t="shared" si="194"/>
        <v>0</v>
      </c>
      <c r="AB117" s="1">
        <f t="shared" si="195"/>
        <v>0</v>
      </c>
      <c r="AC117" s="1">
        <f t="shared" si="196"/>
        <v>0</v>
      </c>
      <c r="AD117" s="1">
        <f t="shared" si="197"/>
        <v>0</v>
      </c>
      <c r="AE117" s="1">
        <f t="shared" si="198"/>
        <v>0</v>
      </c>
      <c r="AF117" s="1">
        <f t="shared" si="199"/>
        <v>0</v>
      </c>
      <c r="AG117" s="1">
        <f t="shared" si="200"/>
        <v>0</v>
      </c>
      <c r="AH117" s="1">
        <f t="shared" si="201"/>
        <v>0</v>
      </c>
      <c r="AI117" s="1">
        <f t="shared" si="202"/>
        <v>0</v>
      </c>
      <c r="AJ117" s="1">
        <f t="shared" si="203"/>
        <v>0</v>
      </c>
      <c r="AK117" s="1">
        <f t="shared" si="204"/>
        <v>0</v>
      </c>
      <c r="AM117" s="2103" t="s">
        <v>3167</v>
      </c>
      <c r="AN117" s="2103" t="s">
        <v>3167</v>
      </c>
      <c r="AO117" s="2103" t="s">
        <v>3194</v>
      </c>
      <c r="AP117" s="2103" t="s">
        <v>3167</v>
      </c>
      <c r="AQ117" s="2103" t="s">
        <v>3167</v>
      </c>
      <c r="AR117" s="2103" t="s">
        <v>3167</v>
      </c>
      <c r="AS117" s="2103" t="s">
        <v>3167</v>
      </c>
      <c r="AT117" s="2103" t="s">
        <v>3194</v>
      </c>
      <c r="AU117" s="2103" t="s">
        <v>3167</v>
      </c>
      <c r="AV117" s="2103" t="s">
        <v>3163</v>
      </c>
      <c r="AW117" s="2103" t="s">
        <v>3194</v>
      </c>
      <c r="AX117" s="2103" t="s">
        <v>3194</v>
      </c>
      <c r="AY117" s="2103" t="s">
        <v>3167</v>
      </c>
      <c r="BA117" s="2054" t="e">
        <f>BB117/$BC$112</f>
        <v>#REF!</v>
      </c>
      <c r="BB117" s="2054" t="e">
        <f t="shared" si="174"/>
        <v>#REF!</v>
      </c>
      <c r="BC117" s="2054"/>
      <c r="BD117" s="2053" t="e">
        <f>BR117*#REF!</f>
        <v>#REF!</v>
      </c>
      <c r="BE117" s="2053" t="e">
        <f>BS117*#REF!</f>
        <v>#REF!</v>
      </c>
      <c r="BF117" s="2053" t="e">
        <f>BT117*#REF!</f>
        <v>#REF!</v>
      </c>
      <c r="BG117" s="2053" t="e">
        <f>BU117*#REF!</f>
        <v>#REF!</v>
      </c>
      <c r="BH117" s="2115" t="e">
        <f>BV117*#REF!</f>
        <v>#REF!</v>
      </c>
      <c r="BI117" s="2053" t="e">
        <f>BW117*#REF!</f>
        <v>#REF!</v>
      </c>
      <c r="BJ117" s="2053" t="e">
        <f>BX117*#REF!</f>
        <v>#REF!</v>
      </c>
      <c r="BK117" s="2053" t="e">
        <f>BY117*#REF!</f>
        <v>#REF!</v>
      </c>
      <c r="BL117" s="2053" t="e">
        <f>BZ117*#REF!</f>
        <v>#REF!</v>
      </c>
      <c r="BM117" s="2053" t="e">
        <f>CA117*#REF!</f>
        <v>#REF!</v>
      </c>
      <c r="BO117" s="2114">
        <f t="shared" si="175"/>
        <v>3</v>
      </c>
      <c r="BP117" s="2114" t="str">
        <f t="shared" si="176"/>
        <v xml:space="preserve"> Q3</v>
      </c>
      <c r="BQ117" s="2050" t="str">
        <f t="shared" si="177"/>
        <v>地域性・アメニティへの配慮</v>
      </c>
      <c r="BR117" s="2048">
        <f t="shared" si="178"/>
        <v>0.3</v>
      </c>
      <c r="BS117" s="2048">
        <f t="shared" si="179"/>
        <v>0.3</v>
      </c>
      <c r="BT117" s="2048">
        <f t="shared" si="180"/>
        <v>0.3</v>
      </c>
      <c r="BU117" s="2048">
        <f t="shared" si="181"/>
        <v>0.3</v>
      </c>
      <c r="BV117" s="2113">
        <f t="shared" si="182"/>
        <v>0.3</v>
      </c>
      <c r="BW117" s="2048">
        <f t="shared" si="183"/>
        <v>0.3</v>
      </c>
      <c r="BX117" s="2048">
        <f t="shared" si="184"/>
        <v>0.3</v>
      </c>
      <c r="BY117" s="2048">
        <f t="shared" si="185"/>
        <v>0.3</v>
      </c>
      <c r="BZ117" s="2048">
        <f t="shared" si="186"/>
        <v>0.3</v>
      </c>
      <c r="CA117" s="2048">
        <f t="shared" si="187"/>
        <v>0.3</v>
      </c>
      <c r="CB117" s="2049">
        <f t="shared" si="188"/>
        <v>0</v>
      </c>
      <c r="CC117" s="2048">
        <f t="shared" si="189"/>
        <v>0</v>
      </c>
      <c r="CD117" s="2048">
        <f t="shared" si="190"/>
        <v>0</v>
      </c>
      <c r="CF117" s="1197">
        <v>3</v>
      </c>
      <c r="CG117" s="1201" t="s">
        <v>114</v>
      </c>
      <c r="CH117" s="1198" t="s">
        <v>3193</v>
      </c>
      <c r="CI117" s="1199">
        <v>0.3</v>
      </c>
      <c r="CJ117" s="1199">
        <v>0.3</v>
      </c>
      <c r="CK117" s="1199">
        <v>0.3</v>
      </c>
      <c r="CL117" s="1199">
        <v>0.3</v>
      </c>
      <c r="CM117" s="1251">
        <v>0.3</v>
      </c>
      <c r="CN117" s="1199">
        <v>0.3</v>
      </c>
      <c r="CO117" s="1202">
        <v>0.3</v>
      </c>
      <c r="CP117" s="1199">
        <v>0.3</v>
      </c>
      <c r="CQ117" s="1199">
        <v>0.3</v>
      </c>
      <c r="CR117" s="1199">
        <v>0.3</v>
      </c>
      <c r="CS117" s="1203">
        <v>0</v>
      </c>
      <c r="CT117" s="1202">
        <v>0</v>
      </c>
      <c r="CU117" s="1202">
        <v>0</v>
      </c>
      <c r="CW117" s="1197">
        <v>3</v>
      </c>
      <c r="CX117" s="1201" t="s">
        <v>114</v>
      </c>
      <c r="CY117" s="1198" t="s">
        <v>3192</v>
      </c>
      <c r="CZ117" s="1202">
        <v>0.3</v>
      </c>
      <c r="DA117" s="1202">
        <v>0.3</v>
      </c>
      <c r="DB117" s="1202">
        <v>0.3</v>
      </c>
      <c r="DC117" s="1202">
        <v>0.3</v>
      </c>
      <c r="DD117" s="1252">
        <v>0.3</v>
      </c>
      <c r="DE117" s="1202">
        <v>0.3</v>
      </c>
      <c r="DF117" s="1202">
        <v>0.3</v>
      </c>
      <c r="DG117" s="1202">
        <v>0.3</v>
      </c>
      <c r="DH117" s="1202">
        <v>0.3</v>
      </c>
      <c r="DI117" s="1202">
        <v>0.3</v>
      </c>
      <c r="DJ117" s="1203"/>
      <c r="DK117" s="1202"/>
      <c r="DL117" s="1202"/>
      <c r="DN117" s="1197">
        <v>3</v>
      </c>
      <c r="DO117" s="1201" t="s">
        <v>114</v>
      </c>
      <c r="DP117" s="1198" t="s">
        <v>3191</v>
      </c>
      <c r="DQ117" s="1202">
        <v>0.3</v>
      </c>
      <c r="DR117" s="1202">
        <v>0.3</v>
      </c>
      <c r="DS117" s="1202">
        <v>0.3</v>
      </c>
      <c r="DT117" s="1202">
        <v>0.3</v>
      </c>
      <c r="DU117" s="1252">
        <v>0.3</v>
      </c>
      <c r="DV117" s="1202">
        <v>0.3</v>
      </c>
      <c r="DW117" s="1202">
        <v>0.3</v>
      </c>
      <c r="DX117" s="1202">
        <v>0.3</v>
      </c>
      <c r="DY117" s="1202">
        <v>0.3</v>
      </c>
      <c r="DZ117" s="1202">
        <v>0.3</v>
      </c>
      <c r="EA117" s="1203"/>
      <c r="EB117" s="1202"/>
      <c r="EC117" s="1202"/>
      <c r="ED117" s="1468"/>
      <c r="EF117" s="1197">
        <v>3</v>
      </c>
      <c r="EG117" s="1201" t="s">
        <v>114</v>
      </c>
      <c r="EH117" s="1198" t="s">
        <v>3191</v>
      </c>
      <c r="EI117" s="1686">
        <f t="shared" si="211"/>
        <v>0.3</v>
      </c>
      <c r="EJ117" s="1686">
        <f t="shared" si="211"/>
        <v>0.3</v>
      </c>
      <c r="EK117" s="1686">
        <f t="shared" si="211"/>
        <v>0.3</v>
      </c>
      <c r="EL117" s="1686">
        <f t="shared" si="211"/>
        <v>0.3</v>
      </c>
      <c r="EM117" s="1703">
        <f t="shared" si="211"/>
        <v>0.3</v>
      </c>
      <c r="EN117" s="1686">
        <f t="shared" si="211"/>
        <v>0.3</v>
      </c>
      <c r="EO117" s="1686">
        <f t="shared" si="211"/>
        <v>0.3</v>
      </c>
      <c r="EP117" s="1686">
        <f t="shared" si="211"/>
        <v>0.3</v>
      </c>
      <c r="EQ117" s="1686">
        <f t="shared" si="211"/>
        <v>0.3</v>
      </c>
      <c r="ER117" s="1686">
        <f t="shared" si="211"/>
        <v>0.3</v>
      </c>
      <c r="ES117" s="1688">
        <f t="shared" si="211"/>
        <v>0</v>
      </c>
      <c r="ET117" s="1686">
        <f t="shared" si="211"/>
        <v>0</v>
      </c>
      <c r="EU117" s="1686">
        <f t="shared" si="211"/>
        <v>0</v>
      </c>
      <c r="EW117" s="1197">
        <v>3</v>
      </c>
      <c r="EX117" s="1201" t="s">
        <v>114</v>
      </c>
      <c r="EY117" s="1198" t="s">
        <v>3191</v>
      </c>
      <c r="EZ117" s="1821">
        <v>0</v>
      </c>
      <c r="FA117" s="1676"/>
      <c r="FB117" s="1676"/>
      <c r="FC117" s="1676"/>
      <c r="FD117" s="1804"/>
      <c r="FE117" s="1676"/>
      <c r="FF117" s="1676"/>
      <c r="FG117" s="1676"/>
      <c r="FH117" s="1676"/>
      <c r="FI117" s="1676"/>
      <c r="FJ117" s="1677"/>
      <c r="FK117" s="1676"/>
      <c r="FL117" s="1676"/>
    </row>
    <row r="118" spans="2:168">
      <c r="B118" s="2023" t="str">
        <f t="shared" si="210"/>
        <v>3.1</v>
      </c>
      <c r="C118" s="829" t="str">
        <f t="shared" si="170"/>
        <v>地域性への配慮、快適性の向上</v>
      </c>
      <c r="D118" s="2022" t="e">
        <f>IF(I$117=0,0,G118/I$117)</f>
        <v>#REF!</v>
      </c>
      <c r="E118" s="2021" t="e">
        <f>IF(J$117=0,0,H118/J$117)</f>
        <v>#REF!</v>
      </c>
      <c r="G118" s="2021" t="e">
        <f t="shared" si="171"/>
        <v>#REF!</v>
      </c>
      <c r="H118" s="2021" t="e">
        <f t="shared" si="172"/>
        <v>#REF!</v>
      </c>
      <c r="I118" s="513"/>
      <c r="J118" s="2021"/>
      <c r="K118" s="2021" t="e">
        <f>IF(#REF!=0,0,1)</f>
        <v>#REF!</v>
      </c>
      <c r="L118" s="2021" t="e">
        <f>IF(#REF!=0,0,1)</f>
        <v>#REF!</v>
      </c>
      <c r="M118" s="2021">
        <f t="shared" si="173"/>
        <v>0.5</v>
      </c>
      <c r="N118" s="2021">
        <f t="shared" si="169"/>
        <v>0</v>
      </c>
      <c r="P118" s="2066"/>
      <c r="Q118" s="2068">
        <v>3.1</v>
      </c>
      <c r="R118" s="2046" t="s">
        <v>1047</v>
      </c>
      <c r="S118" s="2195"/>
      <c r="T118" s="2032"/>
      <c r="U118" s="2017"/>
      <c r="V118" s="2025">
        <f t="shared" si="205"/>
        <v>0</v>
      </c>
      <c r="W118" s="2024">
        <f t="shared" si="206"/>
        <v>0</v>
      </c>
      <c r="Y118" s="1">
        <f t="shared" si="192"/>
        <v>0</v>
      </c>
      <c r="Z118" s="1">
        <f t="shared" si="193"/>
        <v>0</v>
      </c>
      <c r="AA118" s="1">
        <f t="shared" si="194"/>
        <v>0</v>
      </c>
      <c r="AB118" s="1">
        <f t="shared" si="195"/>
        <v>0</v>
      </c>
      <c r="AC118" s="1">
        <f t="shared" si="196"/>
        <v>0</v>
      </c>
      <c r="AD118" s="1">
        <f t="shared" si="197"/>
        <v>0</v>
      </c>
      <c r="AE118" s="1">
        <f t="shared" si="198"/>
        <v>0</v>
      </c>
      <c r="AF118" s="1">
        <f t="shared" si="199"/>
        <v>0</v>
      </c>
      <c r="AG118" s="1">
        <f t="shared" si="200"/>
        <v>0</v>
      </c>
      <c r="AH118" s="1">
        <f t="shared" si="201"/>
        <v>0</v>
      </c>
      <c r="AI118" s="1">
        <f t="shared" si="202"/>
        <v>0</v>
      </c>
      <c r="AJ118" s="1">
        <f t="shared" si="203"/>
        <v>0</v>
      </c>
      <c r="AK118" s="1">
        <f t="shared" si="204"/>
        <v>0</v>
      </c>
      <c r="AM118" s="1792"/>
      <c r="AN118" s="1792"/>
      <c r="AO118" s="1792"/>
      <c r="AP118" s="1792"/>
      <c r="AQ118" s="1792"/>
      <c r="AR118" s="1792"/>
      <c r="AS118" s="1792"/>
      <c r="AT118" s="1792"/>
      <c r="AU118" s="1792"/>
      <c r="AV118" s="1792"/>
      <c r="AW118" s="1792"/>
      <c r="AX118" s="1792"/>
      <c r="AY118" s="1792"/>
      <c r="BA118" s="2028"/>
      <c r="BB118" s="2028" t="e">
        <f t="shared" si="174"/>
        <v>#REF!</v>
      </c>
      <c r="BC118" s="2028"/>
      <c r="BD118" s="2027" t="e">
        <f>BR118*#REF!</f>
        <v>#REF!</v>
      </c>
      <c r="BE118" s="2027" t="e">
        <f>BS118*#REF!</f>
        <v>#REF!</v>
      </c>
      <c r="BF118" s="2027" t="e">
        <f>BT118*#REF!</f>
        <v>#REF!</v>
      </c>
      <c r="BG118" s="2027" t="e">
        <f>BU118*#REF!</f>
        <v>#REF!</v>
      </c>
      <c r="BH118" s="2027" t="e">
        <f>BV118*#REF!</f>
        <v>#REF!</v>
      </c>
      <c r="BI118" s="2027" t="e">
        <f>BW118*#REF!</f>
        <v>#REF!</v>
      </c>
      <c r="BJ118" s="2027" t="e">
        <f>BX118*#REF!</f>
        <v>#REF!</v>
      </c>
      <c r="BK118" s="2027" t="e">
        <f>BY118*#REF!</f>
        <v>#REF!</v>
      </c>
      <c r="BL118" s="2027" t="e">
        <f>BZ118*#REF!</f>
        <v>#REF!</v>
      </c>
      <c r="BM118" s="2027" t="e">
        <f>CA118*#REF!</f>
        <v>#REF!</v>
      </c>
      <c r="BO118" s="2040" t="str">
        <f t="shared" si="175"/>
        <v>3.1</v>
      </c>
      <c r="BP118" s="2040" t="str">
        <f t="shared" si="176"/>
        <v xml:space="preserve"> Q3 3</v>
      </c>
      <c r="BQ118" s="829" t="str">
        <f t="shared" si="177"/>
        <v>地域性への配慮、快適性の向上</v>
      </c>
      <c r="BR118" s="2008">
        <f t="shared" si="178"/>
        <v>0.5</v>
      </c>
      <c r="BS118" s="2008">
        <f t="shared" si="179"/>
        <v>0.5</v>
      </c>
      <c r="BT118" s="2008">
        <f t="shared" si="180"/>
        <v>0.5</v>
      </c>
      <c r="BU118" s="2008">
        <f t="shared" si="181"/>
        <v>0.5</v>
      </c>
      <c r="BV118" s="2008">
        <f t="shared" si="182"/>
        <v>0.5</v>
      </c>
      <c r="BW118" s="2008">
        <f t="shared" si="183"/>
        <v>0.5</v>
      </c>
      <c r="BX118" s="2008">
        <f t="shared" si="184"/>
        <v>0.5</v>
      </c>
      <c r="BY118" s="2008">
        <f t="shared" si="185"/>
        <v>0.5</v>
      </c>
      <c r="BZ118" s="2008">
        <f t="shared" si="186"/>
        <v>0.5</v>
      </c>
      <c r="CA118" s="2008">
        <f t="shared" si="187"/>
        <v>0.5</v>
      </c>
      <c r="CB118" s="2009">
        <f t="shared" si="188"/>
        <v>0</v>
      </c>
      <c r="CC118" s="2008">
        <f t="shared" si="189"/>
        <v>0</v>
      </c>
      <c r="CD118" s="2008">
        <f t="shared" si="190"/>
        <v>0</v>
      </c>
      <c r="CF118" s="1207" t="s">
        <v>3189</v>
      </c>
      <c r="CG118" s="1211" t="s">
        <v>116</v>
      </c>
      <c r="CH118" s="1255" t="s">
        <v>3186</v>
      </c>
      <c r="CI118" s="1256">
        <v>0.5</v>
      </c>
      <c r="CJ118" s="1256">
        <v>0.5</v>
      </c>
      <c r="CK118" s="1256">
        <v>0.5</v>
      </c>
      <c r="CL118" s="1256">
        <v>0.5</v>
      </c>
      <c r="CM118" s="1256">
        <v>0.5</v>
      </c>
      <c r="CN118" s="1256">
        <v>0.5</v>
      </c>
      <c r="CO118" s="1257">
        <v>0.5</v>
      </c>
      <c r="CP118" s="1256">
        <v>0.5</v>
      </c>
      <c r="CQ118" s="1256">
        <v>0.5</v>
      </c>
      <c r="CR118" s="1256">
        <v>0.5</v>
      </c>
      <c r="CS118" s="1258">
        <v>0</v>
      </c>
      <c r="CT118" s="1257">
        <v>0</v>
      </c>
      <c r="CU118" s="1257">
        <v>0</v>
      </c>
      <c r="CW118" s="1207" t="s">
        <v>3189</v>
      </c>
      <c r="CX118" s="1211" t="s">
        <v>116</v>
      </c>
      <c r="CY118" s="1255" t="s">
        <v>3190</v>
      </c>
      <c r="CZ118" s="1257">
        <v>0.5</v>
      </c>
      <c r="DA118" s="1257">
        <v>0.5</v>
      </c>
      <c r="DB118" s="1257">
        <v>0.5</v>
      </c>
      <c r="DC118" s="1257">
        <v>0.5</v>
      </c>
      <c r="DD118" s="1257">
        <v>0.5</v>
      </c>
      <c r="DE118" s="1257">
        <v>0.5</v>
      </c>
      <c r="DF118" s="1257">
        <v>0.5</v>
      </c>
      <c r="DG118" s="1257">
        <v>0.5</v>
      </c>
      <c r="DH118" s="1257">
        <v>0.5</v>
      </c>
      <c r="DI118" s="1257">
        <v>0.5</v>
      </c>
      <c r="DJ118" s="1258"/>
      <c r="DK118" s="1257"/>
      <c r="DL118" s="1257"/>
      <c r="DN118" s="1207" t="s">
        <v>3189</v>
      </c>
      <c r="DO118" s="1211" t="s">
        <v>116</v>
      </c>
      <c r="DP118" s="1255" t="s">
        <v>3190</v>
      </c>
      <c r="DQ118" s="1257">
        <v>0.5</v>
      </c>
      <c r="DR118" s="1257">
        <v>0.5</v>
      </c>
      <c r="DS118" s="1257">
        <v>0.5</v>
      </c>
      <c r="DT118" s="1257">
        <v>0.5</v>
      </c>
      <c r="DU118" s="1257">
        <v>0.5</v>
      </c>
      <c r="DV118" s="1257">
        <v>0.5</v>
      </c>
      <c r="DW118" s="1257">
        <v>0.5</v>
      </c>
      <c r="DX118" s="1257">
        <v>0.5</v>
      </c>
      <c r="DY118" s="1257">
        <v>0.5</v>
      </c>
      <c r="DZ118" s="1257">
        <v>0.5</v>
      </c>
      <c r="EA118" s="1258"/>
      <c r="EB118" s="1257"/>
      <c r="EC118" s="1257"/>
      <c r="ED118" s="1472"/>
      <c r="EF118" s="1207" t="s">
        <v>3189</v>
      </c>
      <c r="EG118" s="1211" t="s">
        <v>116</v>
      </c>
      <c r="EH118" s="1255" t="s">
        <v>3188</v>
      </c>
      <c r="EI118" s="1704">
        <f t="shared" si="211"/>
        <v>0.5</v>
      </c>
      <c r="EJ118" s="1704">
        <f t="shared" si="211"/>
        <v>0.5</v>
      </c>
      <c r="EK118" s="1704">
        <f t="shared" si="211"/>
        <v>0.5</v>
      </c>
      <c r="EL118" s="1704">
        <f t="shared" si="211"/>
        <v>0.5</v>
      </c>
      <c r="EM118" s="1704">
        <f t="shared" si="211"/>
        <v>0.5</v>
      </c>
      <c r="EN118" s="1704">
        <f t="shared" si="211"/>
        <v>0.5</v>
      </c>
      <c r="EO118" s="1704">
        <f t="shared" si="211"/>
        <v>0.5</v>
      </c>
      <c r="EP118" s="1704">
        <f t="shared" si="211"/>
        <v>0.5</v>
      </c>
      <c r="EQ118" s="1704">
        <f t="shared" si="211"/>
        <v>0.5</v>
      </c>
      <c r="ER118" s="1704">
        <f t="shared" si="211"/>
        <v>0.5</v>
      </c>
      <c r="ES118" s="1705">
        <f t="shared" si="211"/>
        <v>0</v>
      </c>
      <c r="ET118" s="1704">
        <f t="shared" si="211"/>
        <v>0</v>
      </c>
      <c r="EU118" s="1704">
        <f t="shared" si="211"/>
        <v>0</v>
      </c>
      <c r="EW118" s="1207" t="s">
        <v>3187</v>
      </c>
      <c r="EX118" s="1211" t="s">
        <v>116</v>
      </c>
      <c r="EY118" s="1255" t="s">
        <v>3186</v>
      </c>
      <c r="EZ118" s="1824">
        <v>0</v>
      </c>
      <c r="FA118" s="1681"/>
      <c r="FB118" s="1681"/>
      <c r="FC118" s="1681"/>
      <c r="FD118" s="1681"/>
      <c r="FE118" s="1681"/>
      <c r="FF118" s="1681"/>
      <c r="FG118" s="1681"/>
      <c r="FH118" s="1681"/>
      <c r="FI118" s="1681"/>
      <c r="FJ118" s="1805"/>
      <c r="FK118" s="1681"/>
      <c r="FL118" s="1681"/>
    </row>
    <row r="119" spans="2:168" ht="14.25" thickBot="1">
      <c r="B119" s="2023" t="str">
        <f t="shared" si="210"/>
        <v>3.2</v>
      </c>
      <c r="C119" s="829" t="str">
        <f t="shared" si="170"/>
        <v>敷地内温熱環境の向上</v>
      </c>
      <c r="D119" s="2022" t="e">
        <f>IF(I$117=0,0,G119/I$117)</f>
        <v>#REF!</v>
      </c>
      <c r="E119" s="2021" t="e">
        <f>IF(J$117=0,0,H119/J$117)</f>
        <v>#REF!</v>
      </c>
      <c r="G119" s="2021" t="e">
        <f t="shared" si="171"/>
        <v>#REF!</v>
      </c>
      <c r="H119" s="2021" t="e">
        <f t="shared" si="172"/>
        <v>#REF!</v>
      </c>
      <c r="I119" s="513"/>
      <c r="J119" s="2021"/>
      <c r="K119" s="2021" t="e">
        <f>IF(#REF!=0,0,1)</f>
        <v>#REF!</v>
      </c>
      <c r="L119" s="2021" t="e">
        <f>IF(#REF!=0,0,1)</f>
        <v>#REF!</v>
      </c>
      <c r="M119" s="2021">
        <f t="shared" si="173"/>
        <v>0.5</v>
      </c>
      <c r="N119" s="2021">
        <f t="shared" si="169"/>
        <v>0</v>
      </c>
      <c r="P119" s="2066"/>
      <c r="Q119" s="2069">
        <v>3.2</v>
      </c>
      <c r="R119" s="2034" t="s">
        <v>1048</v>
      </c>
      <c r="S119" s="1655"/>
      <c r="T119" s="2036"/>
      <c r="U119" s="2017"/>
      <c r="V119" s="2016">
        <f t="shared" si="205"/>
        <v>0</v>
      </c>
      <c r="W119" s="2015">
        <f t="shared" si="206"/>
        <v>0</v>
      </c>
      <c r="Y119" s="1">
        <f t="shared" si="192"/>
        <v>0</v>
      </c>
      <c r="Z119" s="1">
        <f t="shared" si="193"/>
        <v>0</v>
      </c>
      <c r="AA119" s="1">
        <f t="shared" si="194"/>
        <v>0</v>
      </c>
      <c r="AB119" s="1">
        <f t="shared" si="195"/>
        <v>0</v>
      </c>
      <c r="AC119" s="1">
        <f t="shared" si="196"/>
        <v>0</v>
      </c>
      <c r="AD119" s="1">
        <f t="shared" si="197"/>
        <v>0</v>
      </c>
      <c r="AE119" s="1">
        <f t="shared" si="198"/>
        <v>0</v>
      </c>
      <c r="AF119" s="1">
        <f t="shared" si="199"/>
        <v>0</v>
      </c>
      <c r="AG119" s="1">
        <f t="shared" si="200"/>
        <v>0</v>
      </c>
      <c r="AH119" s="1">
        <f t="shared" si="201"/>
        <v>0</v>
      </c>
      <c r="AI119" s="1">
        <f t="shared" si="202"/>
        <v>0</v>
      </c>
      <c r="AJ119" s="1">
        <f t="shared" si="203"/>
        <v>0</v>
      </c>
      <c r="AK119" s="1">
        <f t="shared" si="204"/>
        <v>0</v>
      </c>
      <c r="AM119" s="1829"/>
      <c r="AN119" s="1829"/>
      <c r="AO119" s="1829"/>
      <c r="AP119" s="1829"/>
      <c r="AQ119" s="1829"/>
      <c r="AR119" s="1829"/>
      <c r="AS119" s="1829"/>
      <c r="AT119" s="1829"/>
      <c r="AU119" s="1829"/>
      <c r="AV119" s="1829"/>
      <c r="AW119" s="1829"/>
      <c r="AX119" s="1829"/>
      <c r="AY119" s="1829"/>
      <c r="BA119" s="2028"/>
      <c r="BB119" s="2028" t="e">
        <f t="shared" si="174"/>
        <v>#REF!</v>
      </c>
      <c r="BC119" s="2028"/>
      <c r="BD119" s="2027" t="e">
        <f>BR119*#REF!</f>
        <v>#REF!</v>
      </c>
      <c r="BE119" s="2027" t="e">
        <f>BS119*#REF!</f>
        <v>#REF!</v>
      </c>
      <c r="BF119" s="2027" t="e">
        <f>BT119*#REF!</f>
        <v>#REF!</v>
      </c>
      <c r="BG119" s="2027" t="e">
        <f>BU119*#REF!</f>
        <v>#REF!</v>
      </c>
      <c r="BH119" s="2027" t="e">
        <f>BV119*#REF!</f>
        <v>#REF!</v>
      </c>
      <c r="BI119" s="2027" t="e">
        <f>BW119*#REF!</f>
        <v>#REF!</v>
      </c>
      <c r="BJ119" s="2027" t="e">
        <f>BX119*#REF!</f>
        <v>#REF!</v>
      </c>
      <c r="BK119" s="2027" t="e">
        <f>BY119*#REF!</f>
        <v>#REF!</v>
      </c>
      <c r="BL119" s="2027" t="e">
        <f>BZ119*#REF!</f>
        <v>#REF!</v>
      </c>
      <c r="BM119" s="2027" t="e">
        <f>CA119*#REF!</f>
        <v>#REF!</v>
      </c>
      <c r="BO119" s="2040" t="str">
        <f t="shared" si="175"/>
        <v>3.2</v>
      </c>
      <c r="BP119" s="2040" t="str">
        <f t="shared" si="176"/>
        <v xml:space="preserve"> Q3 3</v>
      </c>
      <c r="BQ119" s="829" t="str">
        <f t="shared" si="177"/>
        <v>敷地内温熱環境の向上</v>
      </c>
      <c r="BR119" s="2008">
        <f t="shared" si="178"/>
        <v>0.5</v>
      </c>
      <c r="BS119" s="2008">
        <f t="shared" si="179"/>
        <v>0.5</v>
      </c>
      <c r="BT119" s="2008">
        <f t="shared" si="180"/>
        <v>0.5</v>
      </c>
      <c r="BU119" s="2008">
        <f t="shared" si="181"/>
        <v>0.5</v>
      </c>
      <c r="BV119" s="2008">
        <f t="shared" si="182"/>
        <v>0.5</v>
      </c>
      <c r="BW119" s="2008">
        <f t="shared" si="183"/>
        <v>0.5</v>
      </c>
      <c r="BX119" s="2008">
        <f t="shared" si="184"/>
        <v>0.5</v>
      </c>
      <c r="BY119" s="2008">
        <f t="shared" si="185"/>
        <v>0.5</v>
      </c>
      <c r="BZ119" s="2008">
        <f t="shared" si="186"/>
        <v>0.5</v>
      </c>
      <c r="CA119" s="2008">
        <f t="shared" si="187"/>
        <v>0.5</v>
      </c>
      <c r="CB119" s="2009">
        <f t="shared" si="188"/>
        <v>0</v>
      </c>
      <c r="CC119" s="2008">
        <f t="shared" si="189"/>
        <v>0</v>
      </c>
      <c r="CD119" s="2008">
        <f t="shared" si="190"/>
        <v>0</v>
      </c>
      <c r="CF119" s="1207" t="s">
        <v>3185</v>
      </c>
      <c r="CG119" s="1211" t="s">
        <v>116</v>
      </c>
      <c r="CH119" s="1255" t="s">
        <v>3182</v>
      </c>
      <c r="CI119" s="1256">
        <v>0.5</v>
      </c>
      <c r="CJ119" s="1256">
        <v>0.5</v>
      </c>
      <c r="CK119" s="1256">
        <v>0.5</v>
      </c>
      <c r="CL119" s="1256">
        <v>0.5</v>
      </c>
      <c r="CM119" s="1256">
        <v>0.5</v>
      </c>
      <c r="CN119" s="1256">
        <v>0.5</v>
      </c>
      <c r="CO119" s="1257">
        <v>0.5</v>
      </c>
      <c r="CP119" s="1256">
        <v>0.5</v>
      </c>
      <c r="CQ119" s="1256">
        <v>0.5</v>
      </c>
      <c r="CR119" s="1256">
        <v>0.5</v>
      </c>
      <c r="CS119" s="1258">
        <v>0</v>
      </c>
      <c r="CT119" s="1257">
        <v>0</v>
      </c>
      <c r="CU119" s="1257">
        <v>0</v>
      </c>
      <c r="CW119" s="1207" t="s">
        <v>3184</v>
      </c>
      <c r="CX119" s="1211" t="s">
        <v>116</v>
      </c>
      <c r="CY119" s="1255" t="s">
        <v>3182</v>
      </c>
      <c r="CZ119" s="1257">
        <v>0.5</v>
      </c>
      <c r="DA119" s="1257">
        <v>0.5</v>
      </c>
      <c r="DB119" s="1257">
        <v>0.5</v>
      </c>
      <c r="DC119" s="1257">
        <v>0.5</v>
      </c>
      <c r="DD119" s="1257">
        <v>0.5</v>
      </c>
      <c r="DE119" s="1257">
        <v>0.5</v>
      </c>
      <c r="DF119" s="1257">
        <v>0.5</v>
      </c>
      <c r="DG119" s="1257">
        <v>0.5</v>
      </c>
      <c r="DH119" s="1257">
        <v>0.5</v>
      </c>
      <c r="DI119" s="1257">
        <v>0.5</v>
      </c>
      <c r="DJ119" s="1258"/>
      <c r="DK119" s="1257"/>
      <c r="DL119" s="1257"/>
      <c r="DN119" s="1207" t="s">
        <v>3184</v>
      </c>
      <c r="DO119" s="1211" t="s">
        <v>116</v>
      </c>
      <c r="DP119" s="1255" t="s">
        <v>3182</v>
      </c>
      <c r="DQ119" s="1257">
        <v>0.5</v>
      </c>
      <c r="DR119" s="1257">
        <v>0.5</v>
      </c>
      <c r="DS119" s="1257">
        <v>0.5</v>
      </c>
      <c r="DT119" s="1257">
        <v>0.5</v>
      </c>
      <c r="DU119" s="1257">
        <v>0.5</v>
      </c>
      <c r="DV119" s="1257">
        <v>0.5</v>
      </c>
      <c r="DW119" s="1257">
        <v>0.5</v>
      </c>
      <c r="DX119" s="1257">
        <v>0.5</v>
      </c>
      <c r="DY119" s="1257">
        <v>0.5</v>
      </c>
      <c r="DZ119" s="1257">
        <v>0.5</v>
      </c>
      <c r="EA119" s="1258"/>
      <c r="EB119" s="1257"/>
      <c r="EC119" s="1257"/>
      <c r="ED119" s="1472"/>
      <c r="EF119" s="1207" t="s">
        <v>3184</v>
      </c>
      <c r="EG119" s="1211" t="s">
        <v>116</v>
      </c>
      <c r="EH119" s="1255" t="s">
        <v>3182</v>
      </c>
      <c r="EI119" s="1704">
        <f t="shared" si="211"/>
        <v>0.5</v>
      </c>
      <c r="EJ119" s="1704">
        <f t="shared" si="211"/>
        <v>0.5</v>
      </c>
      <c r="EK119" s="1704">
        <f t="shared" si="211"/>
        <v>0.5</v>
      </c>
      <c r="EL119" s="1704">
        <f t="shared" si="211"/>
        <v>0.5</v>
      </c>
      <c r="EM119" s="1704">
        <f t="shared" si="211"/>
        <v>0.5</v>
      </c>
      <c r="EN119" s="1704">
        <f t="shared" si="211"/>
        <v>0.5</v>
      </c>
      <c r="EO119" s="1704">
        <f t="shared" si="211"/>
        <v>0.5</v>
      </c>
      <c r="EP119" s="1704">
        <f t="shared" si="211"/>
        <v>0.5</v>
      </c>
      <c r="EQ119" s="1704">
        <f t="shared" si="211"/>
        <v>0.5</v>
      </c>
      <c r="ER119" s="1704">
        <f t="shared" si="211"/>
        <v>0.5</v>
      </c>
      <c r="ES119" s="1705">
        <f t="shared" si="211"/>
        <v>0</v>
      </c>
      <c r="ET119" s="1704">
        <f t="shared" si="211"/>
        <v>0</v>
      </c>
      <c r="EU119" s="1704">
        <f t="shared" si="211"/>
        <v>0</v>
      </c>
      <c r="EW119" s="1207" t="s">
        <v>3183</v>
      </c>
      <c r="EX119" s="1211" t="s">
        <v>116</v>
      </c>
      <c r="EY119" s="1255" t="s">
        <v>3182</v>
      </c>
      <c r="EZ119" s="1824">
        <v>0</v>
      </c>
      <c r="FA119" s="1681"/>
      <c r="FB119" s="1681"/>
      <c r="FC119" s="1681"/>
      <c r="FD119" s="1681"/>
      <c r="FE119" s="1681"/>
      <c r="FF119" s="1681"/>
      <c r="FG119" s="1681"/>
      <c r="FH119" s="1681"/>
      <c r="FI119" s="1681"/>
      <c r="FJ119" s="1805"/>
      <c r="FK119" s="1681"/>
      <c r="FL119" s="1681"/>
    </row>
    <row r="120" spans="2:168" ht="14.25" hidden="1" thickBot="1">
      <c r="B120" s="2023">
        <f t="shared" si="210"/>
        <v>0</v>
      </c>
      <c r="C120" s="2050">
        <f t="shared" si="170"/>
        <v>0</v>
      </c>
      <c r="D120" s="2061"/>
      <c r="E120" s="2060"/>
      <c r="G120" s="2060">
        <f t="shared" si="171"/>
        <v>0</v>
      </c>
      <c r="H120" s="2060">
        <f t="shared" si="172"/>
        <v>0</v>
      </c>
      <c r="I120" s="2060"/>
      <c r="J120" s="2060"/>
      <c r="K120" s="2060"/>
      <c r="L120" s="2060"/>
      <c r="M120" s="2060">
        <f t="shared" si="173"/>
        <v>0</v>
      </c>
      <c r="N120" s="2060"/>
      <c r="P120" s="2194"/>
      <c r="Q120" s="2193"/>
      <c r="R120" s="2192"/>
      <c r="S120" s="2191"/>
      <c r="T120" s="2190"/>
      <c r="U120" s="2017"/>
      <c r="V120" s="2038">
        <f t="shared" si="205"/>
        <v>0</v>
      </c>
      <c r="W120" s="2037">
        <f t="shared" si="206"/>
        <v>0</v>
      </c>
      <c r="Y120" s="1">
        <f t="shared" si="192"/>
        <v>0</v>
      </c>
      <c r="Z120" s="1">
        <f t="shared" si="193"/>
        <v>0</v>
      </c>
      <c r="AA120" s="1">
        <f t="shared" si="194"/>
        <v>0</v>
      </c>
      <c r="AB120" s="1">
        <f t="shared" si="195"/>
        <v>0</v>
      </c>
      <c r="AC120" s="1">
        <f t="shared" si="196"/>
        <v>0</v>
      </c>
      <c r="AD120" s="1">
        <f t="shared" si="197"/>
        <v>0</v>
      </c>
      <c r="AE120" s="1">
        <f t="shared" si="198"/>
        <v>0</v>
      </c>
      <c r="AF120" s="1">
        <f t="shared" si="199"/>
        <v>0</v>
      </c>
      <c r="AG120" s="1">
        <f t="shared" si="200"/>
        <v>0</v>
      </c>
      <c r="AH120" s="1">
        <f t="shared" si="201"/>
        <v>0</v>
      </c>
      <c r="AI120" s="1">
        <f t="shared" si="202"/>
        <v>0</v>
      </c>
      <c r="AJ120" s="1">
        <f t="shared" si="203"/>
        <v>0</v>
      </c>
      <c r="AK120" s="1">
        <f t="shared" si="204"/>
        <v>0</v>
      </c>
      <c r="AM120" s="2063"/>
      <c r="AN120" s="2063"/>
      <c r="AO120" s="2063"/>
      <c r="AP120" s="2063"/>
      <c r="AQ120" s="2063"/>
      <c r="AR120" s="2063"/>
      <c r="AS120" s="2063"/>
      <c r="AT120" s="2063"/>
      <c r="AU120" s="2063"/>
      <c r="AV120" s="2063"/>
      <c r="AW120" s="2063"/>
      <c r="AX120" s="2063"/>
      <c r="AY120" s="2063"/>
      <c r="BA120" s="2054"/>
      <c r="BB120" s="2054" t="e">
        <f t="shared" si="174"/>
        <v>#REF!</v>
      </c>
      <c r="BC120" s="2054"/>
      <c r="BD120" s="2053" t="e">
        <f>BR120*#REF!</f>
        <v>#REF!</v>
      </c>
      <c r="BE120" s="2053" t="e">
        <f>BS120*#REF!</f>
        <v>#REF!</v>
      </c>
      <c r="BF120" s="2053" t="e">
        <f>BT120*#REF!</f>
        <v>#REF!</v>
      </c>
      <c r="BG120" s="2053" t="e">
        <f>BU120*#REF!</f>
        <v>#REF!</v>
      </c>
      <c r="BH120" s="2115" t="e">
        <f>BV120*#REF!</f>
        <v>#REF!</v>
      </c>
      <c r="BI120" s="2053" t="e">
        <f>BW120*#REF!</f>
        <v>#REF!</v>
      </c>
      <c r="BJ120" s="2053" t="e">
        <f>BX120*#REF!</f>
        <v>#REF!</v>
      </c>
      <c r="BK120" s="2053" t="e">
        <f>BY120*#REF!</f>
        <v>#REF!</v>
      </c>
      <c r="BL120" s="2053" t="e">
        <f>BZ120*#REF!</f>
        <v>#REF!</v>
      </c>
      <c r="BM120" s="2053" t="e">
        <f>CA120*#REF!</f>
        <v>#REF!</v>
      </c>
      <c r="BO120" s="2114">
        <f t="shared" si="175"/>
        <v>0</v>
      </c>
      <c r="BP120" s="2114" t="str">
        <f t="shared" si="176"/>
        <v xml:space="preserve"> Q</v>
      </c>
      <c r="BQ120" s="2050">
        <f t="shared" si="177"/>
        <v>0</v>
      </c>
      <c r="BR120" s="2048">
        <f t="shared" si="178"/>
        <v>0</v>
      </c>
      <c r="BS120" s="2048">
        <f t="shared" si="179"/>
        <v>0</v>
      </c>
      <c r="BT120" s="2048">
        <f t="shared" si="180"/>
        <v>0</v>
      </c>
      <c r="BU120" s="2048">
        <f t="shared" si="181"/>
        <v>0</v>
      </c>
      <c r="BV120" s="2113">
        <f t="shared" si="182"/>
        <v>0</v>
      </c>
      <c r="BW120" s="2048">
        <f t="shared" si="183"/>
        <v>0</v>
      </c>
      <c r="BX120" s="2048">
        <f t="shared" si="184"/>
        <v>0</v>
      </c>
      <c r="BY120" s="2048">
        <f t="shared" si="185"/>
        <v>0</v>
      </c>
      <c r="BZ120" s="2048">
        <f t="shared" si="186"/>
        <v>0</v>
      </c>
      <c r="CA120" s="2048">
        <f t="shared" si="187"/>
        <v>0</v>
      </c>
      <c r="CB120" s="2049">
        <f t="shared" si="188"/>
        <v>0</v>
      </c>
      <c r="CC120" s="2048">
        <f t="shared" si="189"/>
        <v>0</v>
      </c>
      <c r="CD120" s="2048">
        <f t="shared" si="190"/>
        <v>0</v>
      </c>
      <c r="CF120" s="1197"/>
      <c r="CG120" s="1201" t="s">
        <v>792</v>
      </c>
      <c r="CH120" s="1198"/>
      <c r="CI120" s="1202">
        <v>0</v>
      </c>
      <c r="CJ120" s="1202">
        <v>0</v>
      </c>
      <c r="CK120" s="1202">
        <v>0</v>
      </c>
      <c r="CL120" s="1202">
        <v>0</v>
      </c>
      <c r="CM120" s="1252">
        <v>0</v>
      </c>
      <c r="CN120" s="1202">
        <v>0</v>
      </c>
      <c r="CO120" s="1202">
        <v>0</v>
      </c>
      <c r="CP120" s="1202">
        <v>0</v>
      </c>
      <c r="CQ120" s="1202">
        <v>0</v>
      </c>
      <c r="CR120" s="1202">
        <v>0</v>
      </c>
      <c r="CS120" s="1203">
        <v>0</v>
      </c>
      <c r="CT120" s="1202">
        <v>0</v>
      </c>
      <c r="CU120" s="1202">
        <v>0</v>
      </c>
      <c r="CW120" s="1197"/>
      <c r="CX120" s="1201" t="s">
        <v>792</v>
      </c>
      <c r="CY120" s="1198"/>
      <c r="CZ120" s="1202"/>
      <c r="DA120" s="1202"/>
      <c r="DB120" s="1202"/>
      <c r="DC120" s="1202"/>
      <c r="DD120" s="1252"/>
      <c r="DE120" s="1202"/>
      <c r="DF120" s="1202"/>
      <c r="DG120" s="1202"/>
      <c r="DH120" s="1202"/>
      <c r="DI120" s="1202"/>
      <c r="DJ120" s="1203"/>
      <c r="DK120" s="1202"/>
      <c r="DL120" s="1202"/>
      <c r="DN120" s="1197"/>
      <c r="DO120" s="1201" t="s">
        <v>792</v>
      </c>
      <c r="DP120" s="1198"/>
      <c r="DQ120" s="1202"/>
      <c r="DR120" s="1202"/>
      <c r="DS120" s="1202"/>
      <c r="DT120" s="1202"/>
      <c r="DU120" s="1252"/>
      <c r="DV120" s="1202"/>
      <c r="DW120" s="1202"/>
      <c r="DX120" s="1202"/>
      <c r="DY120" s="1202"/>
      <c r="DZ120" s="1202"/>
      <c r="EA120" s="1203"/>
      <c r="EB120" s="1202"/>
      <c r="EC120" s="1202"/>
      <c r="ED120" s="1468"/>
      <c r="EF120" s="1197"/>
      <c r="EG120" s="1201" t="s">
        <v>792</v>
      </c>
      <c r="EH120" s="1198"/>
      <c r="EI120" s="1686">
        <f t="shared" si="211"/>
        <v>0</v>
      </c>
      <c r="EJ120" s="1686">
        <f t="shared" si="211"/>
        <v>0</v>
      </c>
      <c r="EK120" s="1686">
        <f t="shared" si="211"/>
        <v>0</v>
      </c>
      <c r="EL120" s="1686">
        <f t="shared" si="211"/>
        <v>0</v>
      </c>
      <c r="EM120" s="1703">
        <f t="shared" si="211"/>
        <v>0</v>
      </c>
      <c r="EN120" s="1686">
        <f t="shared" si="211"/>
        <v>0</v>
      </c>
      <c r="EO120" s="1686">
        <f t="shared" si="211"/>
        <v>0</v>
      </c>
      <c r="EP120" s="1686">
        <f t="shared" si="211"/>
        <v>0</v>
      </c>
      <c r="EQ120" s="1686">
        <f t="shared" si="211"/>
        <v>0</v>
      </c>
      <c r="ER120" s="1686">
        <f t="shared" si="211"/>
        <v>0</v>
      </c>
      <c r="ES120" s="1688">
        <f t="shared" si="211"/>
        <v>0</v>
      </c>
      <c r="ET120" s="1686">
        <f t="shared" si="211"/>
        <v>0</v>
      </c>
      <c r="EU120" s="1686">
        <f t="shared" si="211"/>
        <v>0</v>
      </c>
      <c r="EW120" s="1197"/>
      <c r="EX120" s="1201" t="s">
        <v>792</v>
      </c>
      <c r="EY120" s="1198"/>
      <c r="EZ120" s="1676">
        <f>DQ120</f>
        <v>0</v>
      </c>
      <c r="FA120" s="1676"/>
      <c r="FB120" s="1676"/>
      <c r="FC120" s="1676"/>
      <c r="FD120" s="1804"/>
      <c r="FE120" s="1676"/>
      <c r="FF120" s="1676"/>
      <c r="FG120" s="1676"/>
      <c r="FH120" s="1676"/>
      <c r="FI120" s="1676"/>
      <c r="FJ120" s="1677"/>
      <c r="FK120" s="1676"/>
      <c r="FL120" s="1676"/>
    </row>
    <row r="121" spans="2:168" ht="15" thickBot="1">
      <c r="B121" s="2189" t="str">
        <f t="shared" si="210"/>
        <v>LR</v>
      </c>
      <c r="C121" s="2188" t="str">
        <f t="shared" si="170"/>
        <v>建築物の環境負荷低減性</v>
      </c>
      <c r="D121" s="2187"/>
      <c r="E121" s="2186"/>
      <c r="G121" s="2186" t="e">
        <f t="shared" si="171"/>
        <v>#REF!</v>
      </c>
      <c r="H121" s="2186" t="e">
        <f t="shared" si="172"/>
        <v>#REF!</v>
      </c>
      <c r="I121" s="2186" t="e">
        <f>G122+G145+G172</f>
        <v>#REF!</v>
      </c>
      <c r="J121" s="2186" t="e">
        <f>H122+H145+H172</f>
        <v>#REF!</v>
      </c>
      <c r="K121" s="2186" t="e">
        <f>IF(#REF!=0,0,1)</f>
        <v>#REF!</v>
      </c>
      <c r="L121" s="2186" t="e">
        <f>IF(#REF!=0,0,1)</f>
        <v>#REF!</v>
      </c>
      <c r="M121" s="2186">
        <f t="shared" si="173"/>
        <v>0</v>
      </c>
      <c r="N121" s="2186">
        <f t="shared" ref="N121:N152" si="212">(CB$7*CB121)+(CC$7*CC121)+(CD$7*CD121)</f>
        <v>0</v>
      </c>
      <c r="P121" s="2185" t="s">
        <v>3181</v>
      </c>
      <c r="Q121" s="2184"/>
      <c r="R121" s="2184"/>
      <c r="S121" s="2184"/>
      <c r="T121" s="2184"/>
      <c r="U121" s="2017"/>
      <c r="V121" s="2183">
        <f t="shared" si="205"/>
        <v>0</v>
      </c>
      <c r="W121" s="2182">
        <f t="shared" si="206"/>
        <v>0</v>
      </c>
      <c r="Y121" s="1">
        <f t="shared" si="192"/>
        <v>0</v>
      </c>
      <c r="Z121" s="1">
        <f t="shared" si="193"/>
        <v>0</v>
      </c>
      <c r="AA121" s="1">
        <f t="shared" si="194"/>
        <v>0</v>
      </c>
      <c r="AB121" s="1">
        <f t="shared" si="195"/>
        <v>0</v>
      </c>
      <c r="AC121" s="1">
        <f t="shared" si="196"/>
        <v>0</v>
      </c>
      <c r="AD121" s="1">
        <f t="shared" si="197"/>
        <v>0</v>
      </c>
      <c r="AE121" s="1">
        <f t="shared" si="198"/>
        <v>0</v>
      </c>
      <c r="AF121" s="1">
        <f t="shared" si="199"/>
        <v>0</v>
      </c>
      <c r="AG121" s="1">
        <f t="shared" si="200"/>
        <v>0</v>
      </c>
      <c r="AH121" s="1">
        <f t="shared" si="201"/>
        <v>0</v>
      </c>
      <c r="AI121" s="1">
        <f t="shared" si="202"/>
        <v>0</v>
      </c>
      <c r="AJ121" s="1">
        <f t="shared" si="203"/>
        <v>0</v>
      </c>
      <c r="AK121" s="1">
        <f t="shared" si="204"/>
        <v>0</v>
      </c>
      <c r="AM121" s="2181"/>
      <c r="AN121" s="2181"/>
      <c r="AO121" s="2181"/>
      <c r="AP121" s="2181"/>
      <c r="AQ121" s="2181"/>
      <c r="AR121" s="2181"/>
      <c r="AS121" s="2181"/>
      <c r="AT121" s="2181"/>
      <c r="AU121" s="2181"/>
      <c r="AV121" s="2181"/>
      <c r="AW121" s="2181"/>
      <c r="AX121" s="2181"/>
      <c r="AY121" s="2181"/>
      <c r="BA121" s="2180"/>
      <c r="BB121" s="2180" t="e">
        <f t="shared" si="174"/>
        <v>#REF!</v>
      </c>
      <c r="BC121" s="2180" t="e">
        <f>BB122+BB145+BB172</f>
        <v>#REF!</v>
      </c>
      <c r="BD121" s="2178" t="e">
        <f>BR121*#REF!</f>
        <v>#REF!</v>
      </c>
      <c r="BE121" s="2178" t="e">
        <f>BS121*#REF!</f>
        <v>#REF!</v>
      </c>
      <c r="BF121" s="2178" t="e">
        <f>BT121*#REF!</f>
        <v>#REF!</v>
      </c>
      <c r="BG121" s="2178" t="e">
        <f>BU121*#REF!</f>
        <v>#REF!</v>
      </c>
      <c r="BH121" s="2179" t="e">
        <f>BV121*#REF!</f>
        <v>#REF!</v>
      </c>
      <c r="BI121" s="2178" t="e">
        <f>BW121*#REF!</f>
        <v>#REF!</v>
      </c>
      <c r="BJ121" s="2178" t="e">
        <f>BX121*#REF!</f>
        <v>#REF!</v>
      </c>
      <c r="BK121" s="2178" t="e">
        <f>BY121*#REF!</f>
        <v>#REF!</v>
      </c>
      <c r="BL121" s="2178" t="e">
        <f>BZ121*#REF!</f>
        <v>#REF!</v>
      </c>
      <c r="BM121" s="2178" t="e">
        <f>CA121*#REF!</f>
        <v>#REF!</v>
      </c>
      <c r="BO121" s="2177" t="str">
        <f t="shared" si="175"/>
        <v>LR</v>
      </c>
      <c r="BP121" s="2177" t="str">
        <f t="shared" si="176"/>
        <v xml:space="preserve"> </v>
      </c>
      <c r="BQ121" s="2176" t="str">
        <f t="shared" si="177"/>
        <v>建築物の環境負荷低減性</v>
      </c>
      <c r="BR121" s="2174">
        <f t="shared" si="178"/>
        <v>0</v>
      </c>
      <c r="BS121" s="2174">
        <f t="shared" si="179"/>
        <v>0</v>
      </c>
      <c r="BT121" s="2174">
        <f t="shared" si="180"/>
        <v>0</v>
      </c>
      <c r="BU121" s="2174">
        <f t="shared" si="181"/>
        <v>0</v>
      </c>
      <c r="BV121" s="2175">
        <f t="shared" si="182"/>
        <v>0</v>
      </c>
      <c r="BW121" s="2174">
        <f t="shared" si="183"/>
        <v>0</v>
      </c>
      <c r="BX121" s="2174">
        <f t="shared" si="184"/>
        <v>0</v>
      </c>
      <c r="BY121" s="2174">
        <f t="shared" si="185"/>
        <v>0</v>
      </c>
      <c r="BZ121" s="2174">
        <f t="shared" si="186"/>
        <v>0</v>
      </c>
      <c r="CA121" s="2174">
        <f t="shared" si="187"/>
        <v>0</v>
      </c>
      <c r="CB121" s="2173">
        <f t="shared" si="188"/>
        <v>0</v>
      </c>
      <c r="CC121" s="2172">
        <f t="shared" si="189"/>
        <v>0</v>
      </c>
      <c r="CD121" s="2172">
        <f t="shared" si="190"/>
        <v>0</v>
      </c>
      <c r="CF121" s="1177" t="s">
        <v>3180</v>
      </c>
      <c r="CG121" s="1177" t="s">
        <v>117</v>
      </c>
      <c r="CH121" s="1178" t="s">
        <v>118</v>
      </c>
      <c r="CI121" s="1182">
        <v>0</v>
      </c>
      <c r="CJ121" s="1182">
        <v>0</v>
      </c>
      <c r="CK121" s="1182">
        <v>0</v>
      </c>
      <c r="CL121" s="1182">
        <v>0</v>
      </c>
      <c r="CM121" s="1183">
        <v>0</v>
      </c>
      <c r="CN121" s="1182">
        <v>0</v>
      </c>
      <c r="CO121" s="1182">
        <v>0</v>
      </c>
      <c r="CP121" s="1182">
        <v>0</v>
      </c>
      <c r="CQ121" s="1182">
        <v>0</v>
      </c>
      <c r="CR121" s="1182">
        <v>0</v>
      </c>
      <c r="CS121" s="1184">
        <v>0</v>
      </c>
      <c r="CT121" s="1185">
        <v>0</v>
      </c>
      <c r="CU121" s="1185">
        <v>0</v>
      </c>
      <c r="CW121" s="1177" t="s">
        <v>3179</v>
      </c>
      <c r="CX121" s="1177" t="s">
        <v>117</v>
      </c>
      <c r="CY121" s="1178" t="s">
        <v>118</v>
      </c>
      <c r="CZ121" s="1182"/>
      <c r="DA121" s="1182"/>
      <c r="DB121" s="1182"/>
      <c r="DC121" s="1182"/>
      <c r="DD121" s="1183"/>
      <c r="DE121" s="1182"/>
      <c r="DF121" s="1182"/>
      <c r="DG121" s="1182"/>
      <c r="DH121" s="1182"/>
      <c r="DI121" s="1182"/>
      <c r="DJ121" s="1184"/>
      <c r="DK121" s="1185"/>
      <c r="DL121" s="1185"/>
      <c r="DN121" s="1177" t="s">
        <v>3180</v>
      </c>
      <c r="DO121" s="1177" t="s">
        <v>117</v>
      </c>
      <c r="DP121" s="1178" t="s">
        <v>118</v>
      </c>
      <c r="DQ121" s="1182"/>
      <c r="DR121" s="1182"/>
      <c r="DS121" s="1182"/>
      <c r="DT121" s="1182"/>
      <c r="DU121" s="1183"/>
      <c r="DV121" s="1182"/>
      <c r="DW121" s="1182"/>
      <c r="DX121" s="1182"/>
      <c r="DY121" s="1182"/>
      <c r="DZ121" s="1182"/>
      <c r="EA121" s="1184"/>
      <c r="EB121" s="1185"/>
      <c r="EC121" s="1185"/>
      <c r="ED121" s="1466"/>
      <c r="EF121" s="1177" t="s">
        <v>3179</v>
      </c>
      <c r="EG121" s="1177" t="s">
        <v>117</v>
      </c>
      <c r="EH121" s="1178" t="s">
        <v>118</v>
      </c>
      <c r="EI121" s="1706">
        <f t="shared" si="211"/>
        <v>0</v>
      </c>
      <c r="EJ121" s="1706">
        <f t="shared" si="211"/>
        <v>0</v>
      </c>
      <c r="EK121" s="1706">
        <f t="shared" si="211"/>
        <v>0</v>
      </c>
      <c r="EL121" s="1706">
        <f t="shared" si="211"/>
        <v>0</v>
      </c>
      <c r="EM121" s="1707">
        <f t="shared" si="211"/>
        <v>0</v>
      </c>
      <c r="EN121" s="1706">
        <f t="shared" si="211"/>
        <v>0</v>
      </c>
      <c r="EO121" s="1706">
        <f t="shared" si="211"/>
        <v>0</v>
      </c>
      <c r="EP121" s="1706">
        <f t="shared" si="211"/>
        <v>0</v>
      </c>
      <c r="EQ121" s="1706">
        <f t="shared" si="211"/>
        <v>0</v>
      </c>
      <c r="ER121" s="1706">
        <f t="shared" si="211"/>
        <v>0</v>
      </c>
      <c r="ES121" s="1708">
        <f t="shared" si="211"/>
        <v>0</v>
      </c>
      <c r="ET121" s="1709">
        <f t="shared" si="211"/>
        <v>0</v>
      </c>
      <c r="EU121" s="1709">
        <f t="shared" si="211"/>
        <v>0</v>
      </c>
      <c r="EW121" s="1177" t="s">
        <v>3179</v>
      </c>
      <c r="EX121" s="1177" t="s">
        <v>117</v>
      </c>
      <c r="EY121" s="1178" t="s">
        <v>118</v>
      </c>
      <c r="EZ121" s="1806">
        <f>DQ121</f>
        <v>0</v>
      </c>
      <c r="FA121" s="1806"/>
      <c r="FB121" s="1806"/>
      <c r="FC121" s="1806"/>
      <c r="FD121" s="1807"/>
      <c r="FE121" s="1806"/>
      <c r="FF121" s="1806"/>
      <c r="FG121" s="1806"/>
      <c r="FH121" s="1806"/>
      <c r="FI121" s="1806"/>
      <c r="FJ121" s="1808"/>
      <c r="FK121" s="1809"/>
      <c r="FL121" s="1809"/>
    </row>
    <row r="122" spans="2:168" ht="14.25" thickBot="1">
      <c r="B122" s="2023" t="str">
        <f t="shared" si="210"/>
        <v>LR1</v>
      </c>
      <c r="C122" s="2079" t="str">
        <f t="shared" si="170"/>
        <v>エネルギー</v>
      </c>
      <c r="D122" s="2090" t="e">
        <f>IF(I$121=0,0,G122/I$121)</f>
        <v>#REF!</v>
      </c>
      <c r="E122" s="2089" t="e">
        <f>IF(J$121=0,0,H122/J$121)</f>
        <v>#REF!</v>
      </c>
      <c r="G122" s="2089" t="e">
        <f t="shared" si="171"/>
        <v>#REF!</v>
      </c>
      <c r="H122" s="2089" t="e">
        <f t="shared" si="172"/>
        <v>#REF!</v>
      </c>
      <c r="I122" s="2089" t="e">
        <f>G123+G124+G129+G138</f>
        <v>#REF!</v>
      </c>
      <c r="J122" s="2089" t="e">
        <f>H123+H124+H129+H138</f>
        <v>#REF!</v>
      </c>
      <c r="K122" s="2089" t="e">
        <f>IF(#REF!=0,0,1)</f>
        <v>#REF!</v>
      </c>
      <c r="L122" s="2089" t="e">
        <f>IF(#REF!=0,0,1)</f>
        <v>#REF!</v>
      </c>
      <c r="M122" s="2089">
        <f t="shared" si="173"/>
        <v>0.4</v>
      </c>
      <c r="N122" s="2089">
        <f t="shared" si="212"/>
        <v>0</v>
      </c>
      <c r="P122" s="2171" t="s">
        <v>3178</v>
      </c>
      <c r="Q122" s="2170" t="s">
        <v>3177</v>
      </c>
      <c r="R122" s="2170"/>
      <c r="S122" s="2170"/>
      <c r="T122" s="2169"/>
      <c r="U122" s="2017"/>
      <c r="V122" s="2085">
        <f t="shared" si="205"/>
        <v>0</v>
      </c>
      <c r="W122" s="2084">
        <f t="shared" si="206"/>
        <v>0</v>
      </c>
      <c r="Y122" s="1">
        <f t="shared" si="192"/>
        <v>1</v>
      </c>
      <c r="Z122" s="1">
        <f t="shared" si="193"/>
        <v>1</v>
      </c>
      <c r="AA122" s="1">
        <f t="shared" si="194"/>
        <v>1</v>
      </c>
      <c r="AB122" s="1">
        <f t="shared" si="195"/>
        <v>1</v>
      </c>
      <c r="AC122" s="1">
        <f t="shared" si="196"/>
        <v>1</v>
      </c>
      <c r="AD122" s="1">
        <f t="shared" si="197"/>
        <v>1</v>
      </c>
      <c r="AE122" s="1">
        <f t="shared" si="198"/>
        <v>1</v>
      </c>
      <c r="AF122" s="1">
        <f t="shared" si="199"/>
        <v>1</v>
      </c>
      <c r="AG122" s="1">
        <f t="shared" si="200"/>
        <v>1</v>
      </c>
      <c r="AH122" s="1">
        <f t="shared" si="201"/>
        <v>1</v>
      </c>
      <c r="AI122" s="1">
        <f t="shared" si="202"/>
        <v>1</v>
      </c>
      <c r="AJ122" s="1">
        <f t="shared" si="203"/>
        <v>1</v>
      </c>
      <c r="AK122" s="1">
        <f t="shared" si="204"/>
        <v>1</v>
      </c>
      <c r="AM122" s="2083" t="str">
        <f t="shared" ref="AM122:AY122" si="213">AM$6</f>
        <v>事務所</v>
      </c>
      <c r="AN122" s="2083" t="str">
        <f t="shared" si="213"/>
        <v>学校</v>
      </c>
      <c r="AO122" s="2083" t="str">
        <f t="shared" si="213"/>
        <v>物販店</v>
      </c>
      <c r="AP122" s="2083" t="str">
        <f t="shared" si="213"/>
        <v>飲食店</v>
      </c>
      <c r="AQ122" s="2083" t="str">
        <f t="shared" si="213"/>
        <v>集会所</v>
      </c>
      <c r="AR122" s="2083" t="str">
        <f t="shared" si="213"/>
        <v>工場</v>
      </c>
      <c r="AS122" s="2083" t="str">
        <f t="shared" si="213"/>
        <v>小中高</v>
      </c>
      <c r="AT122" s="2083" t="str">
        <f t="shared" si="213"/>
        <v>病院</v>
      </c>
      <c r="AU122" s="2083" t="str">
        <f t="shared" si="213"/>
        <v>ホテル</v>
      </c>
      <c r="AV122" s="2083" t="str">
        <f t="shared" si="213"/>
        <v>集合住宅</v>
      </c>
      <c r="AW122" s="2083" t="str">
        <f t="shared" si="213"/>
        <v>病院o</v>
      </c>
      <c r="AX122" s="2083" t="str">
        <f t="shared" si="213"/>
        <v>ホテルo</v>
      </c>
      <c r="AY122" s="2083" t="str">
        <f t="shared" si="213"/>
        <v>集合住宅o</v>
      </c>
      <c r="BA122" s="2082" t="e">
        <f>BB122/$BC$121</f>
        <v>#REF!</v>
      </c>
      <c r="BB122" s="2082" t="e">
        <f t="shared" si="174"/>
        <v>#REF!</v>
      </c>
      <c r="BC122" s="2082" t="e">
        <f>BB123+BB124+BB129+BB138</f>
        <v>#REF!</v>
      </c>
      <c r="BD122" s="2081" t="e">
        <f>BR122*#REF!</f>
        <v>#REF!</v>
      </c>
      <c r="BE122" s="2081" t="e">
        <f>BS122*#REF!</f>
        <v>#REF!</v>
      </c>
      <c r="BF122" s="2081" t="e">
        <f>BT122*#REF!</f>
        <v>#REF!</v>
      </c>
      <c r="BG122" s="2081" t="e">
        <f>BU122*#REF!</f>
        <v>#REF!</v>
      </c>
      <c r="BH122" s="2081" t="e">
        <f>BV122*#REF!</f>
        <v>#REF!</v>
      </c>
      <c r="BI122" s="2081" t="e">
        <f>BW122*#REF!</f>
        <v>#REF!</v>
      </c>
      <c r="BJ122" s="2081" t="e">
        <f>BX122*#REF!</f>
        <v>#REF!</v>
      </c>
      <c r="BK122" s="2081" t="e">
        <f>BY122*#REF!</f>
        <v>#REF!</v>
      </c>
      <c r="BL122" s="2081" t="e">
        <f>BZ122*#REF!</f>
        <v>#REF!</v>
      </c>
      <c r="BM122" s="2081" t="e">
        <f>CA122*#REF!</f>
        <v>#REF!</v>
      </c>
      <c r="BO122" s="2023" t="str">
        <f t="shared" si="175"/>
        <v>LR1</v>
      </c>
      <c r="BP122" s="2023" t="str">
        <f t="shared" si="176"/>
        <v>LR</v>
      </c>
      <c r="BQ122" s="2079" t="str">
        <f t="shared" si="177"/>
        <v>エネルギー</v>
      </c>
      <c r="BR122" s="2078">
        <f t="shared" si="178"/>
        <v>0.4</v>
      </c>
      <c r="BS122" s="2078">
        <f t="shared" si="179"/>
        <v>0.4</v>
      </c>
      <c r="BT122" s="2078">
        <f t="shared" si="180"/>
        <v>0.4</v>
      </c>
      <c r="BU122" s="2078">
        <f t="shared" si="181"/>
        <v>0.4</v>
      </c>
      <c r="BV122" s="2078">
        <f t="shared" si="182"/>
        <v>0.4</v>
      </c>
      <c r="BW122" s="2078">
        <f t="shared" si="183"/>
        <v>0.4</v>
      </c>
      <c r="BX122" s="2078">
        <f t="shared" si="184"/>
        <v>0.4</v>
      </c>
      <c r="BY122" s="2078">
        <f t="shared" si="185"/>
        <v>0.4</v>
      </c>
      <c r="BZ122" s="2078">
        <f t="shared" si="186"/>
        <v>0.4</v>
      </c>
      <c r="CA122" s="2078">
        <f t="shared" si="187"/>
        <v>0.4</v>
      </c>
      <c r="CB122" s="2168">
        <f t="shared" si="188"/>
        <v>0</v>
      </c>
      <c r="CC122" s="2078">
        <f t="shared" si="189"/>
        <v>0</v>
      </c>
      <c r="CD122" s="2078">
        <f t="shared" si="190"/>
        <v>0</v>
      </c>
      <c r="CF122" s="1186" t="s">
        <v>3172</v>
      </c>
      <c r="CG122" s="1191" t="s">
        <v>3176</v>
      </c>
      <c r="CH122" s="1189" t="s">
        <v>3173</v>
      </c>
      <c r="CI122" s="1192">
        <v>0.4</v>
      </c>
      <c r="CJ122" s="1192">
        <v>0.4</v>
      </c>
      <c r="CK122" s="1192">
        <v>0.4</v>
      </c>
      <c r="CL122" s="1192">
        <v>0.4</v>
      </c>
      <c r="CM122" s="1192">
        <v>0.4</v>
      </c>
      <c r="CN122" s="1192">
        <v>0.4</v>
      </c>
      <c r="CO122" s="1192">
        <v>0.4</v>
      </c>
      <c r="CP122" s="1192">
        <v>0.4</v>
      </c>
      <c r="CQ122" s="1192">
        <v>0.4</v>
      </c>
      <c r="CR122" s="1192">
        <v>0.4</v>
      </c>
      <c r="CS122" s="1193"/>
      <c r="CT122" s="1192"/>
      <c r="CU122" s="1192"/>
      <c r="CW122" s="1186" t="s">
        <v>3175</v>
      </c>
      <c r="CX122" s="1191" t="s">
        <v>3170</v>
      </c>
      <c r="CY122" s="1189" t="s">
        <v>3174</v>
      </c>
      <c r="CZ122" s="1192">
        <v>0.4</v>
      </c>
      <c r="DA122" s="1192">
        <v>0.4</v>
      </c>
      <c r="DB122" s="1192">
        <v>0.4</v>
      </c>
      <c r="DC122" s="1192">
        <v>0.4</v>
      </c>
      <c r="DD122" s="1192">
        <v>0.4</v>
      </c>
      <c r="DE122" s="1192">
        <v>0.4</v>
      </c>
      <c r="DF122" s="1192">
        <v>0.4</v>
      </c>
      <c r="DG122" s="1192">
        <v>0.4</v>
      </c>
      <c r="DH122" s="1192">
        <v>0.4</v>
      </c>
      <c r="DI122" s="1192">
        <v>0.4</v>
      </c>
      <c r="DJ122" s="1193"/>
      <c r="DK122" s="1192"/>
      <c r="DL122" s="1192"/>
      <c r="DN122" s="1186" t="s">
        <v>3172</v>
      </c>
      <c r="DO122" s="1191" t="s">
        <v>3170</v>
      </c>
      <c r="DP122" s="1189" t="s">
        <v>3173</v>
      </c>
      <c r="DQ122" s="1192">
        <v>0.4</v>
      </c>
      <c r="DR122" s="1192">
        <v>0.4</v>
      </c>
      <c r="DS122" s="1192">
        <v>0.4</v>
      </c>
      <c r="DT122" s="1192">
        <v>0.4</v>
      </c>
      <c r="DU122" s="1192">
        <v>0.4</v>
      </c>
      <c r="DV122" s="1192">
        <v>0.4</v>
      </c>
      <c r="DW122" s="1192">
        <v>0.4</v>
      </c>
      <c r="DX122" s="1192">
        <v>0.4</v>
      </c>
      <c r="DY122" s="1192">
        <v>0.4</v>
      </c>
      <c r="DZ122" s="1192">
        <v>0.4</v>
      </c>
      <c r="EA122" s="1193"/>
      <c r="EB122" s="1192"/>
      <c r="EC122" s="1192"/>
      <c r="ED122" s="1467"/>
      <c r="EF122" s="1186" t="s">
        <v>3172</v>
      </c>
      <c r="EG122" s="1191" t="s">
        <v>3170</v>
      </c>
      <c r="EH122" s="1189" t="s">
        <v>3169</v>
      </c>
      <c r="EI122" s="1674">
        <v>0.2</v>
      </c>
      <c r="EJ122" s="1674">
        <v>0.2</v>
      </c>
      <c r="EK122" s="1674">
        <v>0.2</v>
      </c>
      <c r="EL122" s="1674">
        <v>0.2</v>
      </c>
      <c r="EM122" s="1674">
        <v>0.2</v>
      </c>
      <c r="EN122" s="1674">
        <v>0.2</v>
      </c>
      <c r="EO122" s="1674">
        <v>0.2</v>
      </c>
      <c r="EP122" s="1674">
        <v>0.2</v>
      </c>
      <c r="EQ122" s="1674">
        <v>0.2</v>
      </c>
      <c r="ER122" s="1674">
        <v>0.2</v>
      </c>
      <c r="ES122" s="1675">
        <f t="shared" ref="ES122:ES153" si="214">EA122</f>
        <v>0</v>
      </c>
      <c r="ET122" s="1674">
        <f t="shared" ref="ET122:ET153" si="215">EB122</f>
        <v>0</v>
      </c>
      <c r="EU122" s="1674">
        <f t="shared" ref="EU122:EU153" si="216">EC122</f>
        <v>0</v>
      </c>
      <c r="EW122" s="1186" t="s">
        <v>3171</v>
      </c>
      <c r="EX122" s="1191" t="s">
        <v>3170</v>
      </c>
      <c r="EY122" s="1189" t="s">
        <v>3169</v>
      </c>
      <c r="EZ122" s="1813">
        <v>0.55000000000000004</v>
      </c>
      <c r="FA122" s="1674"/>
      <c r="FB122" s="1674"/>
      <c r="FC122" s="1674"/>
      <c r="FD122" s="1674"/>
      <c r="FE122" s="1674"/>
      <c r="FF122" s="1674"/>
      <c r="FG122" s="1674"/>
      <c r="FH122" s="1674"/>
      <c r="FI122" s="1674"/>
      <c r="FJ122" s="1675"/>
      <c r="FK122" s="1674"/>
      <c r="FL122" s="1674"/>
    </row>
    <row r="123" spans="2:168" ht="14.25" thickBot="1">
      <c r="B123" s="2023">
        <f t="shared" si="210"/>
        <v>1</v>
      </c>
      <c r="C123" s="2050" t="str">
        <f t="shared" si="170"/>
        <v>建物外皮の熱負荷抑制</v>
      </c>
      <c r="D123" s="2061" t="e">
        <f>IF(I$122=0,0,G123/I$122)</f>
        <v>#REF!</v>
      </c>
      <c r="E123" s="2060" t="e">
        <f>IF(J$122=0,0,H123/J$122)</f>
        <v>#REF!</v>
      </c>
      <c r="G123" s="2060" t="e">
        <f t="shared" si="171"/>
        <v>#REF!</v>
      </c>
      <c r="H123" s="2060" t="e">
        <f t="shared" si="172"/>
        <v>#REF!</v>
      </c>
      <c r="I123" s="2060"/>
      <c r="J123" s="2060"/>
      <c r="K123" s="2060" t="e">
        <f>IF(#REF!=0,0,1)</f>
        <v>#REF!</v>
      </c>
      <c r="L123" s="2060" t="e">
        <f>IF(#REF!=0,0,1)</f>
        <v>#REF!</v>
      </c>
      <c r="M123" s="2060">
        <f t="shared" si="173"/>
        <v>0.2</v>
      </c>
      <c r="N123" s="2060">
        <f t="shared" si="212"/>
        <v>0</v>
      </c>
      <c r="P123" s="2066">
        <v>1</v>
      </c>
      <c r="Q123" s="2045" t="s">
        <v>1822</v>
      </c>
      <c r="R123" s="2045"/>
      <c r="S123" s="2045"/>
      <c r="T123" s="1425"/>
      <c r="U123" s="2017"/>
      <c r="V123" s="2105">
        <f t="shared" si="205"/>
        <v>0</v>
      </c>
      <c r="W123" s="2104">
        <f t="shared" si="206"/>
        <v>0</v>
      </c>
      <c r="Y123" s="1">
        <f t="shared" si="192"/>
        <v>0</v>
      </c>
      <c r="Z123" s="1">
        <f t="shared" si="193"/>
        <v>0</v>
      </c>
      <c r="AA123" s="1">
        <f t="shared" si="194"/>
        <v>0</v>
      </c>
      <c r="AB123" s="1">
        <f t="shared" si="195"/>
        <v>0</v>
      </c>
      <c r="AC123" s="1">
        <f t="shared" si="196"/>
        <v>0</v>
      </c>
      <c r="AD123" s="1">
        <f t="shared" si="197"/>
        <v>0</v>
      </c>
      <c r="AE123" s="1">
        <f t="shared" si="198"/>
        <v>0</v>
      </c>
      <c r="AF123" s="1">
        <f t="shared" si="199"/>
        <v>0</v>
      </c>
      <c r="AG123" s="1">
        <f t="shared" si="200"/>
        <v>0</v>
      </c>
      <c r="AH123" s="1">
        <f t="shared" si="201"/>
        <v>0</v>
      </c>
      <c r="AI123" s="1">
        <f t="shared" si="202"/>
        <v>0</v>
      </c>
      <c r="AJ123" s="1">
        <f t="shared" si="203"/>
        <v>0</v>
      </c>
      <c r="AK123" s="1">
        <f t="shared" si="204"/>
        <v>0</v>
      </c>
      <c r="AM123" s="2103" t="s">
        <v>3168</v>
      </c>
      <c r="AN123" s="2103" t="s">
        <v>3168</v>
      </c>
      <c r="AO123" s="2103" t="s">
        <v>3166</v>
      </c>
      <c r="AP123" s="2103" t="s">
        <v>3163</v>
      </c>
      <c r="AQ123" s="2103" t="s">
        <v>3166</v>
      </c>
      <c r="AR123" s="2103" t="s">
        <v>3167</v>
      </c>
      <c r="AS123" s="2103" t="s">
        <v>3167</v>
      </c>
      <c r="AT123" s="2103" t="s">
        <v>3164</v>
      </c>
      <c r="AU123" s="2103" t="s">
        <v>3166</v>
      </c>
      <c r="AV123" s="2103" t="s">
        <v>3164</v>
      </c>
      <c r="AW123" s="2103" t="s">
        <v>3165</v>
      </c>
      <c r="AX123" s="2103" t="s">
        <v>3164</v>
      </c>
      <c r="AY123" s="2103" t="s">
        <v>3163</v>
      </c>
      <c r="BA123" s="2054" t="e">
        <f>BB123/$BC$122</f>
        <v>#REF!</v>
      </c>
      <c r="BB123" s="2071" t="e">
        <f>D123</f>
        <v>#REF!</v>
      </c>
      <c r="BC123" s="2139"/>
      <c r="BD123" s="2137" t="e">
        <f>BR123*#REF!</f>
        <v>#REF!</v>
      </c>
      <c r="BE123" s="2137" t="e">
        <f>BS123*#REF!</f>
        <v>#REF!</v>
      </c>
      <c r="BF123" s="2137" t="e">
        <f>BT123*#REF!</f>
        <v>#REF!</v>
      </c>
      <c r="BG123" s="2137" t="e">
        <f>BU123*#REF!</f>
        <v>#REF!</v>
      </c>
      <c r="BH123" s="2138" t="e">
        <f>BV123*#REF!</f>
        <v>#REF!</v>
      </c>
      <c r="BI123" s="2137" t="e">
        <f>BW123*#REF!</f>
        <v>#REF!</v>
      </c>
      <c r="BJ123" s="2137" t="e">
        <f>BX123*#REF!</f>
        <v>#REF!</v>
      </c>
      <c r="BK123" s="2137" t="e">
        <f>BY123*#REF!</f>
        <v>#REF!</v>
      </c>
      <c r="BL123" s="2137" t="e">
        <f>BZ123*#REF!</f>
        <v>#REF!</v>
      </c>
      <c r="BM123" s="2137" t="e">
        <f>CA123*#REF!</f>
        <v>#REF!</v>
      </c>
      <c r="BO123" s="2131">
        <f t="shared" si="175"/>
        <v>1</v>
      </c>
      <c r="BP123" s="2114" t="str">
        <f t="shared" si="176"/>
        <v>LR1</v>
      </c>
      <c r="BQ123" s="2050" t="str">
        <f t="shared" si="177"/>
        <v>建物外皮の熱負荷抑制</v>
      </c>
      <c r="BR123" s="2135">
        <f t="shared" si="178"/>
        <v>0.2</v>
      </c>
      <c r="BS123" s="2135">
        <f t="shared" si="179"/>
        <v>0.2</v>
      </c>
      <c r="BT123" s="2135">
        <f t="shared" si="180"/>
        <v>0.2</v>
      </c>
      <c r="BU123" s="2135">
        <f t="shared" si="181"/>
        <v>0.2</v>
      </c>
      <c r="BV123" s="2136">
        <f t="shared" si="182"/>
        <v>0.2</v>
      </c>
      <c r="BW123" s="2135">
        <f t="shared" si="183"/>
        <v>0</v>
      </c>
      <c r="BX123" s="2135">
        <f t="shared" si="184"/>
        <v>0.2</v>
      </c>
      <c r="BY123" s="2135">
        <f t="shared" si="185"/>
        <v>0.2</v>
      </c>
      <c r="BZ123" s="2135">
        <f t="shared" si="186"/>
        <v>0.2</v>
      </c>
      <c r="CA123" s="2135">
        <f t="shared" si="187"/>
        <v>0.2</v>
      </c>
      <c r="CB123" s="2049">
        <f t="shared" si="188"/>
        <v>0</v>
      </c>
      <c r="CC123" s="2048">
        <f t="shared" si="189"/>
        <v>0</v>
      </c>
      <c r="CD123" s="2048">
        <f t="shared" si="190"/>
        <v>0</v>
      </c>
      <c r="CF123" s="1262">
        <v>1</v>
      </c>
      <c r="CG123" s="1201" t="s">
        <v>1474</v>
      </c>
      <c r="CH123" s="1198" t="s">
        <v>1822</v>
      </c>
      <c r="CI123" s="1247">
        <v>0.2</v>
      </c>
      <c r="CJ123" s="1247">
        <v>0.2</v>
      </c>
      <c r="CK123" s="1247">
        <v>0.2</v>
      </c>
      <c r="CL123" s="1247">
        <v>0.2</v>
      </c>
      <c r="CM123" s="1247">
        <v>0.2</v>
      </c>
      <c r="CN123" s="1247"/>
      <c r="CO123" s="1247">
        <v>0.2</v>
      </c>
      <c r="CP123" s="1247">
        <v>0.2</v>
      </c>
      <c r="CQ123" s="1247">
        <v>0.2</v>
      </c>
      <c r="CR123" s="1247">
        <v>0.2</v>
      </c>
      <c r="CS123" s="1203"/>
      <c r="CT123" s="1202"/>
      <c r="CU123" s="1202"/>
      <c r="CW123" s="1262">
        <v>1</v>
      </c>
      <c r="CX123" s="1201" t="s">
        <v>1474</v>
      </c>
      <c r="CY123" s="1198" t="s">
        <v>1822</v>
      </c>
      <c r="CZ123" s="1247">
        <v>0.2</v>
      </c>
      <c r="DA123" s="1247">
        <v>0.2</v>
      </c>
      <c r="DB123" s="1247">
        <v>0.2</v>
      </c>
      <c r="DC123" s="1247">
        <v>0.2</v>
      </c>
      <c r="DD123" s="1247">
        <v>0.2</v>
      </c>
      <c r="DE123" s="1247"/>
      <c r="DF123" s="1247">
        <v>0.2</v>
      </c>
      <c r="DG123" s="1247">
        <v>0.2</v>
      </c>
      <c r="DH123" s="1247">
        <v>0.2</v>
      </c>
      <c r="DI123" s="1247">
        <v>0.2</v>
      </c>
      <c r="DJ123" s="1203"/>
      <c r="DK123" s="1202"/>
      <c r="DL123" s="1202"/>
      <c r="DN123" s="1262">
        <v>1</v>
      </c>
      <c r="DO123" s="1201" t="s">
        <v>1474</v>
      </c>
      <c r="DP123" s="1198" t="s">
        <v>1822</v>
      </c>
      <c r="DQ123" s="1247">
        <v>0.2</v>
      </c>
      <c r="DR123" s="1247">
        <v>0.2</v>
      </c>
      <c r="DS123" s="1247">
        <v>0.2</v>
      </c>
      <c r="DT123" s="1247">
        <v>0.2</v>
      </c>
      <c r="DU123" s="1247">
        <v>0.2</v>
      </c>
      <c r="DV123" s="1247"/>
      <c r="DW123" s="1247">
        <v>0.2</v>
      </c>
      <c r="DX123" s="1247">
        <v>0.2</v>
      </c>
      <c r="DY123" s="1247">
        <v>0.2</v>
      </c>
      <c r="DZ123" s="1247">
        <v>0.2</v>
      </c>
      <c r="EA123" s="1203"/>
      <c r="EB123" s="1202"/>
      <c r="EC123" s="1202"/>
      <c r="ED123" s="1468"/>
      <c r="EF123" s="1262">
        <v>1</v>
      </c>
      <c r="EG123" s="1201" t="s">
        <v>1474</v>
      </c>
      <c r="EH123" s="1198" t="s">
        <v>1822</v>
      </c>
      <c r="EI123" s="1699">
        <f t="shared" ref="EI123:EI144" si="217">DQ123</f>
        <v>0.2</v>
      </c>
      <c r="EJ123" s="1699">
        <f t="shared" ref="EJ123:EJ144" si="218">DR123</f>
        <v>0.2</v>
      </c>
      <c r="EK123" s="1699">
        <f t="shared" ref="EK123:EK144" si="219">DS123</f>
        <v>0.2</v>
      </c>
      <c r="EL123" s="1699">
        <f t="shared" ref="EL123:EL144" si="220">DT123</f>
        <v>0.2</v>
      </c>
      <c r="EM123" s="1699">
        <f t="shared" ref="EM123:EM144" si="221">DU123</f>
        <v>0.2</v>
      </c>
      <c r="EN123" s="1699">
        <f t="shared" ref="EN123:EN144" si="222">DV123</f>
        <v>0</v>
      </c>
      <c r="EO123" s="1699">
        <f t="shared" ref="EO123:EO144" si="223">DW123</f>
        <v>0.2</v>
      </c>
      <c r="EP123" s="1699">
        <f t="shared" ref="EP123:EP144" si="224">DX123</f>
        <v>0.2</v>
      </c>
      <c r="EQ123" s="1699">
        <f t="shared" ref="EQ123:EQ144" si="225">DY123</f>
        <v>0.2</v>
      </c>
      <c r="ER123" s="1699">
        <f t="shared" ref="ER123:ER144" si="226">DZ123</f>
        <v>0.2</v>
      </c>
      <c r="ES123" s="1688">
        <f t="shared" si="214"/>
        <v>0</v>
      </c>
      <c r="ET123" s="1686">
        <f t="shared" si="215"/>
        <v>0</v>
      </c>
      <c r="EU123" s="1686">
        <f t="shared" si="216"/>
        <v>0</v>
      </c>
      <c r="EW123" s="1262">
        <v>1</v>
      </c>
      <c r="EX123" s="1201" t="s">
        <v>1474</v>
      </c>
      <c r="EY123" s="1198" t="s">
        <v>1822</v>
      </c>
      <c r="EZ123" s="1679">
        <f t="shared" ref="EZ123:EZ144" si="227">DQ123</f>
        <v>0.2</v>
      </c>
      <c r="FA123" s="1679"/>
      <c r="FB123" s="1679"/>
      <c r="FC123" s="1679"/>
      <c r="FD123" s="1679"/>
      <c r="FE123" s="1679"/>
      <c r="FF123" s="1679"/>
      <c r="FG123" s="1679"/>
      <c r="FH123" s="1679"/>
      <c r="FI123" s="1679"/>
      <c r="FJ123" s="1677"/>
      <c r="FK123" s="1676"/>
      <c r="FL123" s="1676"/>
    </row>
    <row r="124" spans="2:168" ht="14.25" thickBot="1">
      <c r="B124" s="2023">
        <f t="shared" si="210"/>
        <v>2</v>
      </c>
      <c r="C124" s="2050" t="str">
        <f t="shared" si="170"/>
        <v>自然エネルギー利用</v>
      </c>
      <c r="D124" s="2061" t="e">
        <f>IF(I$122=0,0,G124/I$122)</f>
        <v>#REF!</v>
      </c>
      <c r="E124" s="2060" t="e">
        <f>IF(J$122=0,0,H124/J$122)</f>
        <v>#REF!</v>
      </c>
      <c r="G124" s="2060" t="e">
        <f t="shared" si="171"/>
        <v>#REF!</v>
      </c>
      <c r="H124" s="2060" t="e">
        <f t="shared" si="172"/>
        <v>#REF!</v>
      </c>
      <c r="I124" s="1263" t="e">
        <f>SUM(G125:G126)</f>
        <v>#REF!</v>
      </c>
      <c r="J124" s="1263" t="e">
        <f>SUM(H125:H126)</f>
        <v>#REF!</v>
      </c>
      <c r="K124" s="2060" t="e">
        <f>IF(#REF!=0,0,1)</f>
        <v>#REF!</v>
      </c>
      <c r="L124" s="2060" t="e">
        <f>IF(#REF!=0,0,1)</f>
        <v>#REF!</v>
      </c>
      <c r="M124" s="2060">
        <f t="shared" si="173"/>
        <v>0.1</v>
      </c>
      <c r="N124" s="2060">
        <f t="shared" si="212"/>
        <v>0</v>
      </c>
      <c r="P124" s="2059">
        <v>2</v>
      </c>
      <c r="Q124" s="2058" t="s">
        <v>1052</v>
      </c>
      <c r="R124" s="2058"/>
      <c r="S124" s="2058"/>
      <c r="T124" s="2156"/>
      <c r="U124" s="2017"/>
      <c r="V124" s="2167">
        <f t="shared" si="205"/>
        <v>0</v>
      </c>
      <c r="W124" s="2166">
        <f t="shared" si="206"/>
        <v>0</v>
      </c>
      <c r="Y124" s="1">
        <f t="shared" si="192"/>
        <v>0</v>
      </c>
      <c r="Z124" s="1">
        <f t="shared" si="193"/>
        <v>0</v>
      </c>
      <c r="AA124" s="1">
        <f t="shared" si="194"/>
        <v>0</v>
      </c>
      <c r="AB124" s="1">
        <f t="shared" si="195"/>
        <v>0</v>
      </c>
      <c r="AC124" s="1">
        <f t="shared" si="196"/>
        <v>0</v>
      </c>
      <c r="AD124" s="1">
        <f t="shared" si="197"/>
        <v>0</v>
      </c>
      <c r="AE124" s="1">
        <f t="shared" si="198"/>
        <v>0</v>
      </c>
      <c r="AF124" s="1">
        <f t="shared" si="199"/>
        <v>0</v>
      </c>
      <c r="AG124" s="1">
        <f t="shared" si="200"/>
        <v>0</v>
      </c>
      <c r="AH124" s="1">
        <f t="shared" si="201"/>
        <v>0</v>
      </c>
      <c r="AI124" s="1">
        <f t="shared" si="202"/>
        <v>0</v>
      </c>
      <c r="AJ124" s="1">
        <f t="shared" si="203"/>
        <v>0</v>
      </c>
      <c r="AK124" s="1">
        <f t="shared" si="204"/>
        <v>0</v>
      </c>
      <c r="AM124" s="2108"/>
      <c r="AN124" s="2108"/>
      <c r="AO124" s="2108"/>
      <c r="AP124" s="2108"/>
      <c r="AQ124" s="2108"/>
      <c r="AR124" s="2108"/>
      <c r="AS124" s="2108"/>
      <c r="AT124" s="2108"/>
      <c r="AU124" s="2108"/>
      <c r="AV124" s="2108"/>
      <c r="AW124" s="2108"/>
      <c r="AX124" s="2108"/>
      <c r="AY124" s="2108"/>
      <c r="BA124" s="2054" t="e">
        <f>BB124/$BC$122</f>
        <v>#REF!</v>
      </c>
      <c r="BB124" s="2139" t="e">
        <f>SUMPRODUCT($BD$7:$BM$7,BD124:BM124)</f>
        <v>#REF!</v>
      </c>
      <c r="BC124" s="2139"/>
      <c r="BD124" s="2137" t="e">
        <f>BR124*#REF!</f>
        <v>#REF!</v>
      </c>
      <c r="BE124" s="2137" t="e">
        <f>BS124*#REF!</f>
        <v>#REF!</v>
      </c>
      <c r="BF124" s="2137" t="e">
        <f>BT124*#REF!</f>
        <v>#REF!</v>
      </c>
      <c r="BG124" s="2137" t="e">
        <f>BU124*#REF!</f>
        <v>#REF!</v>
      </c>
      <c r="BH124" s="2138" t="e">
        <f>BV124*#REF!</f>
        <v>#REF!</v>
      </c>
      <c r="BI124" s="2137" t="e">
        <f>BW124*#REF!</f>
        <v>#REF!</v>
      </c>
      <c r="BJ124" s="2137" t="e">
        <f>BX124*#REF!</f>
        <v>#REF!</v>
      </c>
      <c r="BK124" s="2137" t="e">
        <f>BY124*#REF!</f>
        <v>#REF!</v>
      </c>
      <c r="BL124" s="2137" t="e">
        <f>BZ124*#REF!</f>
        <v>#REF!</v>
      </c>
      <c r="BM124" s="2137" t="e">
        <f>CA124*#REF!</f>
        <v>#REF!</v>
      </c>
      <c r="BO124" s="2114">
        <f t="shared" si="175"/>
        <v>2</v>
      </c>
      <c r="BP124" s="2114" t="str">
        <f t="shared" si="176"/>
        <v>LR1</v>
      </c>
      <c r="BQ124" s="2050" t="str">
        <f t="shared" si="177"/>
        <v>自然エネルギー利用</v>
      </c>
      <c r="BR124" s="2135">
        <f t="shared" si="178"/>
        <v>0.1</v>
      </c>
      <c r="BS124" s="2135">
        <f t="shared" si="179"/>
        <v>0.1</v>
      </c>
      <c r="BT124" s="2135">
        <f t="shared" si="180"/>
        <v>0.1</v>
      </c>
      <c r="BU124" s="2135">
        <f t="shared" si="181"/>
        <v>0.1</v>
      </c>
      <c r="BV124" s="2136">
        <f t="shared" si="182"/>
        <v>0.1</v>
      </c>
      <c r="BW124" s="2135">
        <f t="shared" si="183"/>
        <v>0.125</v>
      </c>
      <c r="BX124" s="2135">
        <f t="shared" si="184"/>
        <v>0.1</v>
      </c>
      <c r="BY124" s="2135">
        <f t="shared" si="185"/>
        <v>0.1</v>
      </c>
      <c r="BZ124" s="2135">
        <f t="shared" si="186"/>
        <v>0.1</v>
      </c>
      <c r="CA124" s="2135">
        <f t="shared" si="187"/>
        <v>0.1</v>
      </c>
      <c r="CB124" s="2049">
        <f t="shared" si="188"/>
        <v>0</v>
      </c>
      <c r="CC124" s="2048">
        <f t="shared" si="189"/>
        <v>0</v>
      </c>
      <c r="CD124" s="2048">
        <f t="shared" si="190"/>
        <v>0</v>
      </c>
      <c r="CF124" s="1197">
        <v>2</v>
      </c>
      <c r="CG124" s="1201" t="s">
        <v>1474</v>
      </c>
      <c r="CH124" s="1198" t="s">
        <v>1052</v>
      </c>
      <c r="CI124" s="1247">
        <v>0.1</v>
      </c>
      <c r="CJ124" s="1247">
        <v>0.1</v>
      </c>
      <c r="CK124" s="1247">
        <v>0.1</v>
      </c>
      <c r="CL124" s="1247">
        <v>0.1</v>
      </c>
      <c r="CM124" s="1247">
        <v>0.1</v>
      </c>
      <c r="CN124" s="1348">
        <v>0.125</v>
      </c>
      <c r="CO124" s="1247">
        <v>0.1</v>
      </c>
      <c r="CP124" s="1247">
        <v>0.1</v>
      </c>
      <c r="CQ124" s="1247">
        <v>0.1</v>
      </c>
      <c r="CR124" s="1247">
        <v>0.1</v>
      </c>
      <c r="CS124" s="1203"/>
      <c r="CT124" s="1202"/>
      <c r="CU124" s="1202"/>
      <c r="CW124" s="1197">
        <v>2</v>
      </c>
      <c r="CX124" s="1201" t="s">
        <v>1474</v>
      </c>
      <c r="CY124" s="1198" t="s">
        <v>1052</v>
      </c>
      <c r="CZ124" s="1247">
        <v>0.1</v>
      </c>
      <c r="DA124" s="1247">
        <v>0.1</v>
      </c>
      <c r="DB124" s="1247">
        <v>0.1</v>
      </c>
      <c r="DC124" s="1247">
        <v>0.1</v>
      </c>
      <c r="DD124" s="1247">
        <v>0.1</v>
      </c>
      <c r="DE124" s="1348">
        <v>0.125</v>
      </c>
      <c r="DF124" s="1247">
        <v>0.1</v>
      </c>
      <c r="DG124" s="1247">
        <v>0.1</v>
      </c>
      <c r="DH124" s="1247">
        <v>0.1</v>
      </c>
      <c r="DI124" s="1247">
        <v>0.1</v>
      </c>
      <c r="DJ124" s="1203"/>
      <c r="DK124" s="1202"/>
      <c r="DL124" s="1202"/>
      <c r="DN124" s="1197">
        <v>2</v>
      </c>
      <c r="DO124" s="1201" t="s">
        <v>1474</v>
      </c>
      <c r="DP124" s="1198" t="s">
        <v>1052</v>
      </c>
      <c r="DQ124" s="1247">
        <v>0.1</v>
      </c>
      <c r="DR124" s="1247">
        <v>0.1</v>
      </c>
      <c r="DS124" s="1247">
        <v>0.1</v>
      </c>
      <c r="DT124" s="1247">
        <v>0.1</v>
      </c>
      <c r="DU124" s="1247">
        <v>0.1</v>
      </c>
      <c r="DV124" s="1348">
        <v>0.125</v>
      </c>
      <c r="DW124" s="1247">
        <v>0.1</v>
      </c>
      <c r="DX124" s="1247">
        <v>0.1</v>
      </c>
      <c r="DY124" s="1247">
        <v>0.1</v>
      </c>
      <c r="DZ124" s="1247">
        <v>0.1</v>
      </c>
      <c r="EA124" s="1203"/>
      <c r="EB124" s="1202"/>
      <c r="EC124" s="1202"/>
      <c r="ED124" s="1468"/>
      <c r="EF124" s="1197">
        <v>2</v>
      </c>
      <c r="EG124" s="1201" t="s">
        <v>1474</v>
      </c>
      <c r="EH124" s="1198" t="s">
        <v>1052</v>
      </c>
      <c r="EI124" s="1699">
        <f t="shared" si="217"/>
        <v>0.1</v>
      </c>
      <c r="EJ124" s="1699">
        <f t="shared" si="218"/>
        <v>0.1</v>
      </c>
      <c r="EK124" s="1699">
        <f t="shared" si="219"/>
        <v>0.1</v>
      </c>
      <c r="EL124" s="1699">
        <f t="shared" si="220"/>
        <v>0.1</v>
      </c>
      <c r="EM124" s="1699">
        <f t="shared" si="221"/>
        <v>0.1</v>
      </c>
      <c r="EN124" s="1699">
        <f t="shared" si="222"/>
        <v>0.125</v>
      </c>
      <c r="EO124" s="1699">
        <f t="shared" si="223"/>
        <v>0.1</v>
      </c>
      <c r="EP124" s="1699">
        <f t="shared" si="224"/>
        <v>0.1</v>
      </c>
      <c r="EQ124" s="1699">
        <f t="shared" si="225"/>
        <v>0.1</v>
      </c>
      <c r="ER124" s="1699">
        <f t="shared" si="226"/>
        <v>0.1</v>
      </c>
      <c r="ES124" s="1688">
        <f t="shared" si="214"/>
        <v>0</v>
      </c>
      <c r="ET124" s="1686">
        <f t="shared" si="215"/>
        <v>0</v>
      </c>
      <c r="EU124" s="1686">
        <f t="shared" si="216"/>
        <v>0</v>
      </c>
      <c r="EW124" s="1197">
        <v>2</v>
      </c>
      <c r="EX124" s="1201" t="s">
        <v>1474</v>
      </c>
      <c r="EY124" s="1198" t="s">
        <v>1052</v>
      </c>
      <c r="EZ124" s="1679">
        <f t="shared" si="227"/>
        <v>0.1</v>
      </c>
      <c r="FA124" s="1679"/>
      <c r="FB124" s="1679"/>
      <c r="FC124" s="1679"/>
      <c r="FD124" s="1679"/>
      <c r="FE124" s="1679"/>
      <c r="FF124" s="1679"/>
      <c r="FG124" s="1679"/>
      <c r="FH124" s="1679"/>
      <c r="FI124" s="1679"/>
      <c r="FJ124" s="1677"/>
      <c r="FK124" s="1676"/>
      <c r="FL124" s="1676"/>
    </row>
    <row r="125" spans="2:168" hidden="1">
      <c r="B125" s="2023">
        <f t="shared" si="210"/>
        <v>0</v>
      </c>
      <c r="C125" s="2050">
        <f t="shared" si="170"/>
        <v>0</v>
      </c>
      <c r="D125" s="2022" t="e">
        <f>IF(I$124=0,0,G125/I$124)</f>
        <v>#REF!</v>
      </c>
      <c r="E125" s="2022" t="e">
        <f>IF(J$124=0,0,H125/J$124)</f>
        <v>#REF!</v>
      </c>
      <c r="G125" s="2060" t="e">
        <f t="shared" si="171"/>
        <v>#REF!</v>
      </c>
      <c r="H125" s="2060" t="e">
        <f t="shared" si="172"/>
        <v>#REF!</v>
      </c>
      <c r="I125" s="2060"/>
      <c r="J125" s="2060"/>
      <c r="K125" s="2021" t="e">
        <f>IF(#REF!=0,0,1)</f>
        <v>#REF!</v>
      </c>
      <c r="L125" s="2021" t="e">
        <f>IF(#REF!=0,0,1)</f>
        <v>#REF!</v>
      </c>
      <c r="M125" s="2021">
        <f t="shared" si="173"/>
        <v>0</v>
      </c>
      <c r="N125" s="2021">
        <f t="shared" si="212"/>
        <v>0</v>
      </c>
      <c r="P125" s="2047"/>
      <c r="Q125" s="2069"/>
      <c r="R125" s="2058"/>
      <c r="S125" s="2058"/>
      <c r="T125" s="2156"/>
      <c r="U125" s="2017"/>
      <c r="V125" s="2025">
        <f t="shared" si="205"/>
        <v>0</v>
      </c>
      <c r="W125" s="2024">
        <f t="shared" si="206"/>
        <v>0</v>
      </c>
      <c r="Y125" s="1">
        <f t="shared" si="192"/>
        <v>0</v>
      </c>
      <c r="Z125" s="1">
        <f t="shared" si="193"/>
        <v>0</v>
      </c>
      <c r="AA125" s="1">
        <f t="shared" si="194"/>
        <v>0</v>
      </c>
      <c r="AB125" s="1">
        <f t="shared" si="195"/>
        <v>0</v>
      </c>
      <c r="AC125" s="1">
        <f t="shared" si="196"/>
        <v>0</v>
      </c>
      <c r="AD125" s="1">
        <f t="shared" si="197"/>
        <v>0</v>
      </c>
      <c r="AE125" s="1">
        <f t="shared" si="198"/>
        <v>0</v>
      </c>
      <c r="AF125" s="1">
        <f t="shared" si="199"/>
        <v>0</v>
      </c>
      <c r="AG125" s="1">
        <f t="shared" si="200"/>
        <v>0</v>
      </c>
      <c r="AH125" s="1">
        <f t="shared" si="201"/>
        <v>0</v>
      </c>
      <c r="AI125" s="1">
        <f t="shared" si="202"/>
        <v>0</v>
      </c>
      <c r="AJ125" s="1">
        <f t="shared" si="203"/>
        <v>0</v>
      </c>
      <c r="AK125" s="1">
        <f t="shared" si="204"/>
        <v>0</v>
      </c>
      <c r="AM125" s="2149"/>
      <c r="AN125" s="2149"/>
      <c r="AO125" s="2149"/>
      <c r="AP125" s="2149"/>
      <c r="AQ125" s="2149"/>
      <c r="AR125" s="2149"/>
      <c r="AS125" s="2149"/>
      <c r="AT125" s="2149"/>
      <c r="AU125" s="2149"/>
      <c r="AV125" s="2149"/>
      <c r="AW125" s="2149"/>
      <c r="AX125" s="2149"/>
      <c r="AY125" s="2149"/>
      <c r="BA125" s="2014"/>
      <c r="BB125" s="2014" t="e">
        <f>SUMPRODUCT($BD$7:$BM$7,BD125:BM125)</f>
        <v>#REF!</v>
      </c>
      <c r="BC125" s="2014"/>
      <c r="BD125" s="2013" t="e">
        <f>BR125*#REF!</f>
        <v>#REF!</v>
      </c>
      <c r="BE125" s="2013" t="e">
        <f>BS125*#REF!</f>
        <v>#REF!</v>
      </c>
      <c r="BF125" s="2013" t="e">
        <f>BT125*#REF!</f>
        <v>#REF!</v>
      </c>
      <c r="BG125" s="2013" t="e">
        <f>BU125*#REF!</f>
        <v>#REF!</v>
      </c>
      <c r="BH125" s="2094" t="e">
        <f>BV125*#REF!</f>
        <v>#REF!</v>
      </c>
      <c r="BI125" s="2013" t="e">
        <f>BW125*#REF!</f>
        <v>#REF!</v>
      </c>
      <c r="BJ125" s="2013" t="e">
        <f>BX125*#REF!</f>
        <v>#REF!</v>
      </c>
      <c r="BK125" s="2013" t="e">
        <f>BY125*#REF!</f>
        <v>#REF!</v>
      </c>
      <c r="BL125" s="2013" t="e">
        <f>BZ125*#REF!</f>
        <v>#REF!</v>
      </c>
      <c r="BM125" s="2013" t="e">
        <f>CA125*#REF!</f>
        <v>#REF!</v>
      </c>
      <c r="BO125" s="2114">
        <f t="shared" si="175"/>
        <v>0</v>
      </c>
      <c r="BP125" s="2114" t="str">
        <f t="shared" si="176"/>
        <v>LR</v>
      </c>
      <c r="BQ125" s="2050">
        <f t="shared" si="177"/>
        <v>0</v>
      </c>
      <c r="BR125" s="2010">
        <f t="shared" si="178"/>
        <v>0</v>
      </c>
      <c r="BS125" s="2010">
        <f t="shared" si="179"/>
        <v>0</v>
      </c>
      <c r="BT125" s="2010">
        <f t="shared" si="180"/>
        <v>0</v>
      </c>
      <c r="BU125" s="2010">
        <f t="shared" si="181"/>
        <v>0</v>
      </c>
      <c r="BV125" s="2093">
        <f t="shared" si="182"/>
        <v>0</v>
      </c>
      <c r="BW125" s="2010">
        <f t="shared" si="183"/>
        <v>0</v>
      </c>
      <c r="BX125" s="2010">
        <f t="shared" si="184"/>
        <v>0</v>
      </c>
      <c r="BY125" s="2010">
        <f t="shared" si="185"/>
        <v>0</v>
      </c>
      <c r="BZ125" s="2010">
        <f t="shared" si="186"/>
        <v>0</v>
      </c>
      <c r="CA125" s="2010">
        <f t="shared" si="187"/>
        <v>0</v>
      </c>
      <c r="CB125" s="2049">
        <f t="shared" si="188"/>
        <v>0</v>
      </c>
      <c r="CC125" s="2048">
        <f t="shared" si="189"/>
        <v>0</v>
      </c>
      <c r="CD125" s="2048">
        <f t="shared" si="190"/>
        <v>0</v>
      </c>
      <c r="CF125" s="1197"/>
      <c r="CG125" s="1201" t="s">
        <v>119</v>
      </c>
      <c r="CH125" s="1198" t="s">
        <v>1053</v>
      </c>
      <c r="CI125" s="1247"/>
      <c r="CJ125" s="1247"/>
      <c r="CK125" s="1247"/>
      <c r="CL125" s="1247"/>
      <c r="CM125" s="1247"/>
      <c r="CN125" s="1247"/>
      <c r="CO125" s="1247"/>
      <c r="CP125" s="1247"/>
      <c r="CQ125" s="1247"/>
      <c r="CR125" s="1247"/>
      <c r="CS125" s="1203"/>
      <c r="CT125" s="1202"/>
      <c r="CU125" s="1202"/>
      <c r="CW125" s="1197"/>
      <c r="CX125" s="1201" t="s">
        <v>119</v>
      </c>
      <c r="CY125" s="1198" t="s">
        <v>854</v>
      </c>
      <c r="CZ125" s="1247"/>
      <c r="DA125" s="1247"/>
      <c r="DB125" s="1247"/>
      <c r="DC125" s="1247"/>
      <c r="DD125" s="1247"/>
      <c r="DE125" s="1247"/>
      <c r="DF125" s="1247"/>
      <c r="DG125" s="1247"/>
      <c r="DH125" s="1247"/>
      <c r="DI125" s="1247"/>
      <c r="DJ125" s="1203"/>
      <c r="DK125" s="1202"/>
      <c r="DL125" s="1202"/>
      <c r="DN125" s="1197"/>
      <c r="DO125" s="1201" t="s">
        <v>119</v>
      </c>
      <c r="DP125" s="1198"/>
      <c r="DQ125" s="1247"/>
      <c r="DR125" s="1247"/>
      <c r="DS125" s="1247"/>
      <c r="DT125" s="1247"/>
      <c r="DU125" s="1247"/>
      <c r="DV125" s="1247"/>
      <c r="DW125" s="1247"/>
      <c r="DX125" s="1247"/>
      <c r="DY125" s="1247"/>
      <c r="DZ125" s="1247"/>
      <c r="EA125" s="1203"/>
      <c r="EB125" s="1202"/>
      <c r="EC125" s="1202"/>
      <c r="ED125" s="1468"/>
      <c r="EF125" s="1197"/>
      <c r="EG125" s="1201" t="s">
        <v>119</v>
      </c>
      <c r="EH125" s="1198"/>
      <c r="EI125" s="1699">
        <f t="shared" si="217"/>
        <v>0</v>
      </c>
      <c r="EJ125" s="1699">
        <f t="shared" si="218"/>
        <v>0</v>
      </c>
      <c r="EK125" s="1699">
        <f t="shared" si="219"/>
        <v>0</v>
      </c>
      <c r="EL125" s="1699">
        <f t="shared" si="220"/>
        <v>0</v>
      </c>
      <c r="EM125" s="1699">
        <f t="shared" si="221"/>
        <v>0</v>
      </c>
      <c r="EN125" s="1699">
        <f t="shared" si="222"/>
        <v>0</v>
      </c>
      <c r="EO125" s="1699">
        <f t="shared" si="223"/>
        <v>0</v>
      </c>
      <c r="EP125" s="1699">
        <f t="shared" si="224"/>
        <v>0</v>
      </c>
      <c r="EQ125" s="1699">
        <f t="shared" si="225"/>
        <v>0</v>
      </c>
      <c r="ER125" s="1699">
        <f t="shared" si="226"/>
        <v>0</v>
      </c>
      <c r="ES125" s="1688">
        <f t="shared" si="214"/>
        <v>0</v>
      </c>
      <c r="ET125" s="1686">
        <f t="shared" si="215"/>
        <v>0</v>
      </c>
      <c r="EU125" s="1686">
        <f t="shared" si="216"/>
        <v>0</v>
      </c>
      <c r="EW125" s="1197"/>
      <c r="EX125" s="1201" t="s">
        <v>119</v>
      </c>
      <c r="EY125" s="1198"/>
      <c r="EZ125" s="1679">
        <f t="shared" si="227"/>
        <v>0</v>
      </c>
      <c r="FA125" s="1679"/>
      <c r="FB125" s="1679"/>
      <c r="FC125" s="1679"/>
      <c r="FD125" s="1679"/>
      <c r="FE125" s="1679"/>
      <c r="FF125" s="1679"/>
      <c r="FG125" s="1679"/>
      <c r="FH125" s="1679"/>
      <c r="FI125" s="1679"/>
      <c r="FJ125" s="1677"/>
      <c r="FK125" s="1676"/>
      <c r="FL125" s="1676"/>
    </row>
    <row r="126" spans="2:168" ht="14.25" hidden="1" thickBot="1">
      <c r="B126" s="2023">
        <f t="shared" si="210"/>
        <v>0</v>
      </c>
      <c r="C126" s="2050">
        <f t="shared" si="170"/>
        <v>0</v>
      </c>
      <c r="D126" s="2022" t="e">
        <f>IF(I$124=0,0,G126/I$124)</f>
        <v>#REF!</v>
      </c>
      <c r="E126" s="2022" t="e">
        <f>IF(J$124=0,0,H126/J$124)</f>
        <v>#REF!</v>
      </c>
      <c r="G126" s="2060" t="e">
        <f t="shared" si="171"/>
        <v>#REF!</v>
      </c>
      <c r="H126" s="2060" t="e">
        <f t="shared" si="172"/>
        <v>#REF!</v>
      </c>
      <c r="I126" s="1263" t="e">
        <f>SUM(G127:G128)</f>
        <v>#REF!</v>
      </c>
      <c r="J126" s="1263" t="e">
        <f>SUM(H127:H128)</f>
        <v>#REF!</v>
      </c>
      <c r="K126" s="2021" t="e">
        <f>IF(#REF!=0,0,1)</f>
        <v>#REF!</v>
      </c>
      <c r="L126" s="2021" t="e">
        <f>IF(#REF!=0,0,1)</f>
        <v>#REF!</v>
      </c>
      <c r="M126" s="2021">
        <f t="shared" si="173"/>
        <v>0</v>
      </c>
      <c r="N126" s="2021">
        <f t="shared" si="212"/>
        <v>0</v>
      </c>
      <c r="P126" s="2047"/>
      <c r="Q126" s="2069"/>
      <c r="R126" s="2034"/>
      <c r="S126" s="2058"/>
      <c r="T126" s="2156"/>
      <c r="U126" s="2017"/>
      <c r="V126" s="2110">
        <f t="shared" si="205"/>
        <v>0</v>
      </c>
      <c r="W126" s="2109">
        <f t="shared" si="206"/>
        <v>0</v>
      </c>
      <c r="Y126" s="1">
        <f t="shared" si="192"/>
        <v>0</v>
      </c>
      <c r="Z126" s="1">
        <f t="shared" si="193"/>
        <v>0</v>
      </c>
      <c r="AA126" s="1">
        <f t="shared" si="194"/>
        <v>0</v>
      </c>
      <c r="AB126" s="1">
        <f t="shared" si="195"/>
        <v>0</v>
      </c>
      <c r="AC126" s="1">
        <f t="shared" si="196"/>
        <v>0</v>
      </c>
      <c r="AD126" s="1">
        <f t="shared" si="197"/>
        <v>0</v>
      </c>
      <c r="AE126" s="1">
        <f t="shared" si="198"/>
        <v>0</v>
      </c>
      <c r="AF126" s="1">
        <f t="shared" si="199"/>
        <v>0</v>
      </c>
      <c r="AG126" s="1">
        <f t="shared" si="200"/>
        <v>0</v>
      </c>
      <c r="AH126" s="1">
        <f t="shared" si="201"/>
        <v>0</v>
      </c>
      <c r="AI126" s="1">
        <f t="shared" si="202"/>
        <v>0</v>
      </c>
      <c r="AJ126" s="1">
        <f t="shared" si="203"/>
        <v>0</v>
      </c>
      <c r="AK126" s="1">
        <f t="shared" si="204"/>
        <v>0</v>
      </c>
      <c r="AM126" s="2165"/>
      <c r="AN126" s="2165"/>
      <c r="AO126" s="2165"/>
      <c r="AP126" s="2165"/>
      <c r="AQ126" s="2165"/>
      <c r="AR126" s="2165"/>
      <c r="AS126" s="2165"/>
      <c r="AT126" s="2165"/>
      <c r="AU126" s="2165"/>
      <c r="AV126" s="2165"/>
      <c r="AW126" s="2165"/>
      <c r="AX126" s="2165"/>
      <c r="AY126" s="2165"/>
      <c r="BA126" s="2014"/>
      <c r="BB126" s="2014" t="e">
        <f>SUMPRODUCT($BD$7:$BM$7,BD126:BM126)</f>
        <v>#REF!</v>
      </c>
      <c r="BC126" s="2014"/>
      <c r="BD126" s="2013" t="e">
        <f>BR126*#REF!</f>
        <v>#REF!</v>
      </c>
      <c r="BE126" s="2013" t="e">
        <f>BS126*#REF!</f>
        <v>#REF!</v>
      </c>
      <c r="BF126" s="2013" t="e">
        <f>BT126*#REF!</f>
        <v>#REF!</v>
      </c>
      <c r="BG126" s="2013" t="e">
        <f>BU126*#REF!</f>
        <v>#REF!</v>
      </c>
      <c r="BH126" s="2094" t="e">
        <f>BV126*#REF!</f>
        <v>#REF!</v>
      </c>
      <c r="BI126" s="2013" t="e">
        <f>BW126*#REF!</f>
        <v>#REF!</v>
      </c>
      <c r="BJ126" s="2013" t="e">
        <f>BX126*#REF!</f>
        <v>#REF!</v>
      </c>
      <c r="BK126" s="2013" t="e">
        <f>BY126*#REF!</f>
        <v>#REF!</v>
      </c>
      <c r="BL126" s="2013" t="e">
        <f>BZ126*#REF!</f>
        <v>#REF!</v>
      </c>
      <c r="BM126" s="2013" t="e">
        <f>CA126*#REF!</f>
        <v>#REF!</v>
      </c>
      <c r="BO126" s="2114">
        <f t="shared" si="175"/>
        <v>0</v>
      </c>
      <c r="BP126" s="2114" t="str">
        <f t="shared" si="176"/>
        <v>LR</v>
      </c>
      <c r="BQ126" s="2050">
        <f t="shared" si="177"/>
        <v>0</v>
      </c>
      <c r="BR126" s="2010">
        <f t="shared" si="178"/>
        <v>0</v>
      </c>
      <c r="BS126" s="2010">
        <f t="shared" si="179"/>
        <v>0</v>
      </c>
      <c r="BT126" s="2010">
        <f t="shared" si="180"/>
        <v>0</v>
      </c>
      <c r="BU126" s="2010">
        <f t="shared" si="181"/>
        <v>0</v>
      </c>
      <c r="BV126" s="2093">
        <f t="shared" si="182"/>
        <v>0</v>
      </c>
      <c r="BW126" s="2010">
        <f t="shared" si="183"/>
        <v>0</v>
      </c>
      <c r="BX126" s="2010">
        <f t="shared" si="184"/>
        <v>0</v>
      </c>
      <c r="BY126" s="2010">
        <f t="shared" si="185"/>
        <v>0</v>
      </c>
      <c r="BZ126" s="2010">
        <f t="shared" si="186"/>
        <v>0</v>
      </c>
      <c r="CA126" s="2010">
        <f t="shared" si="187"/>
        <v>0</v>
      </c>
      <c r="CB126" s="2049">
        <f t="shared" si="188"/>
        <v>0</v>
      </c>
      <c r="CC126" s="2048">
        <f t="shared" si="189"/>
        <v>0</v>
      </c>
      <c r="CD126" s="2048">
        <f t="shared" si="190"/>
        <v>0</v>
      </c>
      <c r="CF126" s="1197"/>
      <c r="CG126" s="1201" t="s">
        <v>119</v>
      </c>
      <c r="CH126" s="1198" t="s">
        <v>1054</v>
      </c>
      <c r="CI126" s="1247"/>
      <c r="CJ126" s="1247"/>
      <c r="CK126" s="1247"/>
      <c r="CL126" s="1247"/>
      <c r="CM126" s="1247"/>
      <c r="CN126" s="1247"/>
      <c r="CO126" s="1247"/>
      <c r="CP126" s="1247"/>
      <c r="CQ126" s="1247"/>
      <c r="CR126" s="1247"/>
      <c r="CS126" s="1203"/>
      <c r="CT126" s="1202"/>
      <c r="CU126" s="1202"/>
      <c r="CW126" s="1197"/>
      <c r="CX126" s="1201" t="s">
        <v>119</v>
      </c>
      <c r="CY126" s="1198" t="s">
        <v>853</v>
      </c>
      <c r="CZ126" s="1247">
        <v>1</v>
      </c>
      <c r="DA126" s="1247">
        <v>1</v>
      </c>
      <c r="DB126" s="1247">
        <v>1</v>
      </c>
      <c r="DC126" s="1247">
        <v>1</v>
      </c>
      <c r="DD126" s="1247">
        <v>1</v>
      </c>
      <c r="DE126" s="1247">
        <v>1</v>
      </c>
      <c r="DF126" s="1247">
        <v>1</v>
      </c>
      <c r="DG126" s="1247">
        <v>1</v>
      </c>
      <c r="DH126" s="1247">
        <v>1</v>
      </c>
      <c r="DI126" s="1247">
        <v>1</v>
      </c>
      <c r="DJ126" s="1203"/>
      <c r="DK126" s="1202"/>
      <c r="DL126" s="1202"/>
      <c r="DN126" s="1197"/>
      <c r="DO126" s="1201" t="s">
        <v>119</v>
      </c>
      <c r="DP126" s="1198"/>
      <c r="DQ126" s="1247"/>
      <c r="DR126" s="1247"/>
      <c r="DS126" s="1247"/>
      <c r="DT126" s="1247"/>
      <c r="DU126" s="1247"/>
      <c r="DV126" s="1247"/>
      <c r="DW126" s="1247"/>
      <c r="DX126" s="1247"/>
      <c r="DY126" s="1247"/>
      <c r="DZ126" s="1247"/>
      <c r="EA126" s="1203"/>
      <c r="EB126" s="1202"/>
      <c r="EC126" s="1202"/>
      <c r="ED126" s="1468"/>
      <c r="EF126" s="1197"/>
      <c r="EG126" s="1201" t="s">
        <v>119</v>
      </c>
      <c r="EH126" s="1198"/>
      <c r="EI126" s="1699">
        <f t="shared" si="217"/>
        <v>0</v>
      </c>
      <c r="EJ126" s="1699">
        <f t="shared" si="218"/>
        <v>0</v>
      </c>
      <c r="EK126" s="1699">
        <f t="shared" si="219"/>
        <v>0</v>
      </c>
      <c r="EL126" s="1699">
        <f t="shared" si="220"/>
        <v>0</v>
      </c>
      <c r="EM126" s="1699">
        <f t="shared" si="221"/>
        <v>0</v>
      </c>
      <c r="EN126" s="1699">
        <f t="shared" si="222"/>
        <v>0</v>
      </c>
      <c r="EO126" s="1699">
        <f t="shared" si="223"/>
        <v>0</v>
      </c>
      <c r="EP126" s="1699">
        <f t="shared" si="224"/>
        <v>0</v>
      </c>
      <c r="EQ126" s="1699">
        <f t="shared" si="225"/>
        <v>0</v>
      </c>
      <c r="ER126" s="1699">
        <f t="shared" si="226"/>
        <v>0</v>
      </c>
      <c r="ES126" s="1688">
        <f t="shared" si="214"/>
        <v>0</v>
      </c>
      <c r="ET126" s="1686">
        <f t="shared" si="215"/>
        <v>0</v>
      </c>
      <c r="EU126" s="1686">
        <f t="shared" si="216"/>
        <v>0</v>
      </c>
      <c r="EW126" s="1197"/>
      <c r="EX126" s="1201" t="s">
        <v>119</v>
      </c>
      <c r="EY126" s="1198"/>
      <c r="EZ126" s="1679">
        <f t="shared" si="227"/>
        <v>0</v>
      </c>
      <c r="FA126" s="1679"/>
      <c r="FB126" s="1679"/>
      <c r="FC126" s="1679"/>
      <c r="FD126" s="1679"/>
      <c r="FE126" s="1679"/>
      <c r="FF126" s="1679"/>
      <c r="FG126" s="1679"/>
      <c r="FH126" s="1679"/>
      <c r="FI126" s="1679"/>
      <c r="FJ126" s="1677"/>
      <c r="FK126" s="1676"/>
      <c r="FL126" s="1676"/>
    </row>
    <row r="127" spans="2:168" hidden="1">
      <c r="B127" s="2023" t="str">
        <f t="shared" si="210"/>
        <v>2.1</v>
      </c>
      <c r="C127" s="829">
        <f t="shared" si="170"/>
        <v>0</v>
      </c>
      <c r="D127" s="2022" t="e">
        <f>IF(I$126=0,0,G127/I$126)</f>
        <v>#REF!</v>
      </c>
      <c r="E127" s="2022" t="e">
        <f>IF(J$126=0,0,H127/J$126)</f>
        <v>#REF!</v>
      </c>
      <c r="G127" s="2021" t="e">
        <f t="shared" si="171"/>
        <v>#REF!</v>
      </c>
      <c r="H127" s="2021" t="e">
        <f t="shared" si="172"/>
        <v>#REF!</v>
      </c>
      <c r="I127" s="2021"/>
      <c r="J127" s="2021"/>
      <c r="K127" s="2021" t="e">
        <f>IF(#REF!=0,0,1)</f>
        <v>#REF!</v>
      </c>
      <c r="L127" s="2021" t="e">
        <f>IF(#REF!=0,0,1)</f>
        <v>#REF!</v>
      </c>
      <c r="M127" s="2021">
        <f t="shared" si="173"/>
        <v>0</v>
      </c>
      <c r="N127" s="2021">
        <f t="shared" si="212"/>
        <v>0</v>
      </c>
      <c r="P127" s="2047"/>
      <c r="Q127" s="2160"/>
      <c r="R127" s="2034"/>
      <c r="S127" s="2058"/>
      <c r="T127" s="2156"/>
      <c r="U127" s="2017"/>
      <c r="V127" s="2164">
        <f t="shared" si="205"/>
        <v>0</v>
      </c>
      <c r="W127" s="2163">
        <f t="shared" si="206"/>
        <v>0</v>
      </c>
      <c r="Y127" s="1">
        <f t="shared" si="192"/>
        <v>0</v>
      </c>
      <c r="Z127" s="1">
        <f t="shared" si="193"/>
        <v>0</v>
      </c>
      <c r="AA127" s="1">
        <f t="shared" si="194"/>
        <v>0</v>
      </c>
      <c r="AB127" s="1">
        <f t="shared" si="195"/>
        <v>0</v>
      </c>
      <c r="AC127" s="1">
        <f t="shared" si="196"/>
        <v>0</v>
      </c>
      <c r="AD127" s="1">
        <f t="shared" si="197"/>
        <v>0</v>
      </c>
      <c r="AE127" s="1">
        <f t="shared" si="198"/>
        <v>0</v>
      </c>
      <c r="AF127" s="1">
        <f t="shared" si="199"/>
        <v>0</v>
      </c>
      <c r="AG127" s="1">
        <f t="shared" si="200"/>
        <v>0</v>
      </c>
      <c r="AH127" s="1">
        <f t="shared" si="201"/>
        <v>0</v>
      </c>
      <c r="AI127" s="1">
        <f t="shared" si="202"/>
        <v>0</v>
      </c>
      <c r="AJ127" s="1">
        <f t="shared" si="203"/>
        <v>0</v>
      </c>
      <c r="AK127" s="1">
        <f t="shared" si="204"/>
        <v>0</v>
      </c>
      <c r="AM127" s="2162"/>
      <c r="AN127" s="2162"/>
      <c r="AO127" s="2162"/>
      <c r="AP127" s="2162"/>
      <c r="AQ127" s="2162"/>
      <c r="AR127" s="2162"/>
      <c r="AS127" s="2162"/>
      <c r="AT127" s="2162"/>
      <c r="AU127" s="2162"/>
      <c r="AV127" s="2162"/>
      <c r="AW127" s="2162"/>
      <c r="AX127" s="2162"/>
      <c r="AY127" s="2162"/>
      <c r="BA127" s="2014"/>
      <c r="BB127" s="2014" t="e">
        <f>SUMPRODUCT($BD$7:$BM$7,BD127:BM127)</f>
        <v>#REF!</v>
      </c>
      <c r="BC127" s="2014"/>
      <c r="BD127" s="2013" t="e">
        <f>BR127*#REF!</f>
        <v>#REF!</v>
      </c>
      <c r="BE127" s="2013" t="e">
        <f>BS127*#REF!</f>
        <v>#REF!</v>
      </c>
      <c r="BF127" s="2013" t="e">
        <f>BT127*#REF!</f>
        <v>#REF!</v>
      </c>
      <c r="BG127" s="2013" t="e">
        <f>BU127*#REF!</f>
        <v>#REF!</v>
      </c>
      <c r="BH127" s="2094" t="e">
        <f>BV127*#REF!</f>
        <v>#REF!</v>
      </c>
      <c r="BI127" s="2013" t="e">
        <f>BW127*#REF!</f>
        <v>#REF!</v>
      </c>
      <c r="BJ127" s="2013" t="e">
        <f>BX127*#REF!</f>
        <v>#REF!</v>
      </c>
      <c r="BK127" s="2013" t="e">
        <f>BY127*#REF!</f>
        <v>#REF!</v>
      </c>
      <c r="BL127" s="2013" t="e">
        <f>BZ127*#REF!</f>
        <v>#REF!</v>
      </c>
      <c r="BM127" s="2013" t="e">
        <f>CA127*#REF!</f>
        <v>#REF!</v>
      </c>
      <c r="BO127" s="2040" t="str">
        <f t="shared" si="175"/>
        <v>2.1</v>
      </c>
      <c r="BP127" s="2040" t="str">
        <f t="shared" si="176"/>
        <v>LR1 2</v>
      </c>
      <c r="BQ127" s="829">
        <f t="shared" si="177"/>
        <v>0</v>
      </c>
      <c r="BR127" s="2010">
        <f t="shared" si="178"/>
        <v>0</v>
      </c>
      <c r="BS127" s="2010">
        <f t="shared" si="179"/>
        <v>0</v>
      </c>
      <c r="BT127" s="2010">
        <f t="shared" si="180"/>
        <v>0</v>
      </c>
      <c r="BU127" s="2010">
        <f t="shared" si="181"/>
        <v>0</v>
      </c>
      <c r="BV127" s="2093">
        <f t="shared" si="182"/>
        <v>0</v>
      </c>
      <c r="BW127" s="2010">
        <f t="shared" si="183"/>
        <v>0</v>
      </c>
      <c r="BX127" s="2010">
        <f t="shared" si="184"/>
        <v>0</v>
      </c>
      <c r="BY127" s="2010">
        <f t="shared" si="185"/>
        <v>0</v>
      </c>
      <c r="BZ127" s="2010">
        <f t="shared" si="186"/>
        <v>0</v>
      </c>
      <c r="CA127" s="2010">
        <f t="shared" si="187"/>
        <v>0</v>
      </c>
      <c r="CB127" s="2009">
        <f t="shared" si="188"/>
        <v>0</v>
      </c>
      <c r="CC127" s="2008">
        <f t="shared" si="189"/>
        <v>0</v>
      </c>
      <c r="CD127" s="2008">
        <f t="shared" si="190"/>
        <v>0</v>
      </c>
      <c r="CF127" s="1207" t="s">
        <v>3162</v>
      </c>
      <c r="CG127" s="1211" t="s">
        <v>120</v>
      </c>
      <c r="CH127" s="1208" t="s">
        <v>1055</v>
      </c>
      <c r="CI127" s="1213"/>
      <c r="CJ127" s="1213"/>
      <c r="CK127" s="1213"/>
      <c r="CL127" s="1213"/>
      <c r="CM127" s="1213"/>
      <c r="CN127" s="1213"/>
      <c r="CO127" s="1213"/>
      <c r="CP127" s="1213"/>
      <c r="CQ127" s="1213"/>
      <c r="CR127" s="1213"/>
      <c r="CS127" s="1258"/>
      <c r="CT127" s="1257"/>
      <c r="CU127" s="1257"/>
      <c r="CW127" s="1207" t="s">
        <v>3162</v>
      </c>
      <c r="CX127" s="1211" t="s">
        <v>120</v>
      </c>
      <c r="CY127" s="1208" t="s">
        <v>1055</v>
      </c>
      <c r="CZ127" s="1213"/>
      <c r="DA127" s="1213"/>
      <c r="DB127" s="1213"/>
      <c r="DC127" s="1213"/>
      <c r="DD127" s="1213"/>
      <c r="DE127" s="1213"/>
      <c r="DF127" s="1213"/>
      <c r="DG127" s="1213"/>
      <c r="DH127" s="1213"/>
      <c r="DI127" s="1213"/>
      <c r="DJ127" s="1258"/>
      <c r="DK127" s="1257"/>
      <c r="DL127" s="1257"/>
      <c r="DN127" s="1207" t="s">
        <v>3162</v>
      </c>
      <c r="DO127" s="1211" t="s">
        <v>120</v>
      </c>
      <c r="DP127" s="1208"/>
      <c r="DQ127" s="1213"/>
      <c r="DR127" s="1213"/>
      <c r="DS127" s="1213"/>
      <c r="DT127" s="1213"/>
      <c r="DU127" s="1213"/>
      <c r="DV127" s="1213"/>
      <c r="DW127" s="1213"/>
      <c r="DX127" s="1213"/>
      <c r="DY127" s="1213"/>
      <c r="DZ127" s="1213"/>
      <c r="EA127" s="1258"/>
      <c r="EB127" s="1257"/>
      <c r="EC127" s="1257"/>
      <c r="ED127" s="1472"/>
      <c r="EF127" s="1207" t="s">
        <v>3162</v>
      </c>
      <c r="EG127" s="1211" t="s">
        <v>120</v>
      </c>
      <c r="EH127" s="1208"/>
      <c r="EI127" s="1689">
        <f t="shared" si="217"/>
        <v>0</v>
      </c>
      <c r="EJ127" s="1689">
        <f t="shared" si="218"/>
        <v>0</v>
      </c>
      <c r="EK127" s="1689">
        <f t="shared" si="219"/>
        <v>0</v>
      </c>
      <c r="EL127" s="1689">
        <f t="shared" si="220"/>
        <v>0</v>
      </c>
      <c r="EM127" s="1689">
        <f t="shared" si="221"/>
        <v>0</v>
      </c>
      <c r="EN127" s="1689">
        <f t="shared" si="222"/>
        <v>0</v>
      </c>
      <c r="EO127" s="1689">
        <f t="shared" si="223"/>
        <v>0</v>
      </c>
      <c r="EP127" s="1689">
        <f t="shared" si="224"/>
        <v>0</v>
      </c>
      <c r="EQ127" s="1689">
        <f t="shared" si="225"/>
        <v>0</v>
      </c>
      <c r="ER127" s="1689">
        <f t="shared" si="226"/>
        <v>0</v>
      </c>
      <c r="ES127" s="1705">
        <f t="shared" si="214"/>
        <v>0</v>
      </c>
      <c r="ET127" s="1704">
        <f t="shared" si="215"/>
        <v>0</v>
      </c>
      <c r="EU127" s="1704">
        <f t="shared" si="216"/>
        <v>0</v>
      </c>
      <c r="EW127" s="1207" t="s">
        <v>3161</v>
      </c>
      <c r="EX127" s="1211" t="s">
        <v>120</v>
      </c>
      <c r="EY127" s="1208"/>
      <c r="EZ127" s="1678">
        <f t="shared" si="227"/>
        <v>0</v>
      </c>
      <c r="FA127" s="1678"/>
      <c r="FB127" s="1678"/>
      <c r="FC127" s="1678"/>
      <c r="FD127" s="1678"/>
      <c r="FE127" s="1678"/>
      <c r="FF127" s="1678"/>
      <c r="FG127" s="1678"/>
      <c r="FH127" s="1678"/>
      <c r="FI127" s="1678"/>
      <c r="FJ127" s="1805"/>
      <c r="FK127" s="1681"/>
      <c r="FL127" s="1681"/>
    </row>
    <row r="128" spans="2:168" ht="14.25" hidden="1" thickBot="1">
      <c r="B128" s="2023" t="str">
        <f t="shared" si="210"/>
        <v>2.2</v>
      </c>
      <c r="C128" s="829">
        <f t="shared" si="170"/>
        <v>0</v>
      </c>
      <c r="D128" s="2022" t="e">
        <f>IF(I$126=0,0,G128/I$126)</f>
        <v>#REF!</v>
      </c>
      <c r="E128" s="2022" t="e">
        <f>IF(J$126=0,0,H128/J$126)</f>
        <v>#REF!</v>
      </c>
      <c r="G128" s="2021" t="e">
        <f t="shared" si="171"/>
        <v>#REF!</v>
      </c>
      <c r="H128" s="2021" t="e">
        <f t="shared" si="172"/>
        <v>#REF!</v>
      </c>
      <c r="I128" s="2021"/>
      <c r="J128" s="2021"/>
      <c r="K128" s="2021" t="e">
        <f>IF(#REF!=0,0,1)</f>
        <v>#REF!</v>
      </c>
      <c r="L128" s="2021" t="e">
        <f>IF(#REF!=0,0,1)</f>
        <v>#REF!</v>
      </c>
      <c r="M128" s="2021">
        <f t="shared" si="173"/>
        <v>0</v>
      </c>
      <c r="N128" s="2021">
        <f t="shared" si="212"/>
        <v>0</v>
      </c>
      <c r="P128" s="2161"/>
      <c r="Q128" s="2160"/>
      <c r="R128" s="2034"/>
      <c r="S128" s="2058"/>
      <c r="T128" s="2156"/>
      <c r="U128" s="2017"/>
      <c r="V128" s="2159">
        <f t="shared" si="205"/>
        <v>0</v>
      </c>
      <c r="W128" s="2158">
        <f t="shared" si="206"/>
        <v>0</v>
      </c>
      <c r="Y128" s="1">
        <f t="shared" si="192"/>
        <v>0</v>
      </c>
      <c r="Z128" s="1">
        <f t="shared" si="193"/>
        <v>0</v>
      </c>
      <c r="AA128" s="1">
        <f t="shared" si="194"/>
        <v>0</v>
      </c>
      <c r="AB128" s="1">
        <f t="shared" si="195"/>
        <v>0</v>
      </c>
      <c r="AC128" s="1">
        <f t="shared" si="196"/>
        <v>0</v>
      </c>
      <c r="AD128" s="1">
        <f t="shared" si="197"/>
        <v>0</v>
      </c>
      <c r="AE128" s="1">
        <f t="shared" si="198"/>
        <v>0</v>
      </c>
      <c r="AF128" s="1">
        <f t="shared" si="199"/>
        <v>0</v>
      </c>
      <c r="AG128" s="1">
        <f t="shared" si="200"/>
        <v>0</v>
      </c>
      <c r="AH128" s="1">
        <f t="shared" si="201"/>
        <v>0</v>
      </c>
      <c r="AI128" s="1">
        <f t="shared" si="202"/>
        <v>0</v>
      </c>
      <c r="AJ128" s="1">
        <f t="shared" si="203"/>
        <v>0</v>
      </c>
      <c r="AK128" s="1">
        <f t="shared" si="204"/>
        <v>0</v>
      </c>
      <c r="AM128" s="2157"/>
      <c r="AN128" s="2157"/>
      <c r="AO128" s="2157"/>
      <c r="AP128" s="2157"/>
      <c r="AQ128" s="2157"/>
      <c r="AR128" s="2157"/>
      <c r="AS128" s="2157"/>
      <c r="AT128" s="2157"/>
      <c r="AU128" s="2157"/>
      <c r="AV128" s="2157"/>
      <c r="AW128" s="2157"/>
      <c r="AX128" s="2157"/>
      <c r="AY128" s="2157"/>
      <c r="BA128" s="2014"/>
      <c r="BB128" s="2014" t="e">
        <f>SUMPRODUCT($BD$7:$BM$7,BD128:BM128)</f>
        <v>#REF!</v>
      </c>
      <c r="BC128" s="2014"/>
      <c r="BD128" s="2013" t="e">
        <f>BR128*#REF!</f>
        <v>#REF!</v>
      </c>
      <c r="BE128" s="2013" t="e">
        <f>BS128*#REF!</f>
        <v>#REF!</v>
      </c>
      <c r="BF128" s="2013" t="e">
        <f>BT128*#REF!</f>
        <v>#REF!</v>
      </c>
      <c r="BG128" s="2013" t="e">
        <f>BU128*#REF!</f>
        <v>#REF!</v>
      </c>
      <c r="BH128" s="2094" t="e">
        <f>BV128*#REF!</f>
        <v>#REF!</v>
      </c>
      <c r="BI128" s="2013" t="e">
        <f>BW128*#REF!</f>
        <v>#REF!</v>
      </c>
      <c r="BJ128" s="2013" t="e">
        <f>BX128*#REF!</f>
        <v>#REF!</v>
      </c>
      <c r="BK128" s="2013" t="e">
        <f>BY128*#REF!</f>
        <v>#REF!</v>
      </c>
      <c r="BL128" s="2013" t="e">
        <f>BZ128*#REF!</f>
        <v>#REF!</v>
      </c>
      <c r="BM128" s="2013" t="e">
        <f>CA128*#REF!</f>
        <v>#REF!</v>
      </c>
      <c r="BO128" s="2040" t="str">
        <f t="shared" si="175"/>
        <v>2.2</v>
      </c>
      <c r="BP128" s="2040" t="str">
        <f t="shared" si="176"/>
        <v>LR1 2</v>
      </c>
      <c r="BQ128" s="829">
        <f t="shared" si="177"/>
        <v>0</v>
      </c>
      <c r="BR128" s="2010">
        <f t="shared" si="178"/>
        <v>0</v>
      </c>
      <c r="BS128" s="2010">
        <f t="shared" si="179"/>
        <v>0</v>
      </c>
      <c r="BT128" s="2010">
        <f t="shared" si="180"/>
        <v>0</v>
      </c>
      <c r="BU128" s="2010">
        <f t="shared" si="181"/>
        <v>0</v>
      </c>
      <c r="BV128" s="2093">
        <f t="shared" si="182"/>
        <v>0</v>
      </c>
      <c r="BW128" s="2010">
        <f t="shared" si="183"/>
        <v>0</v>
      </c>
      <c r="BX128" s="2010">
        <f t="shared" si="184"/>
        <v>0</v>
      </c>
      <c r="BY128" s="2010">
        <f t="shared" si="185"/>
        <v>0</v>
      </c>
      <c r="BZ128" s="2010">
        <f t="shared" si="186"/>
        <v>0</v>
      </c>
      <c r="CA128" s="2010">
        <f t="shared" si="187"/>
        <v>0</v>
      </c>
      <c r="CB128" s="2009">
        <f t="shared" si="188"/>
        <v>0</v>
      </c>
      <c r="CC128" s="2008">
        <f t="shared" si="189"/>
        <v>0</v>
      </c>
      <c r="CD128" s="2008">
        <f t="shared" si="190"/>
        <v>0</v>
      </c>
      <c r="CF128" s="1207" t="s">
        <v>1178</v>
      </c>
      <c r="CG128" s="1211" t="s">
        <v>120</v>
      </c>
      <c r="CH128" s="1208" t="s">
        <v>1056</v>
      </c>
      <c r="CI128" s="1213"/>
      <c r="CJ128" s="1213"/>
      <c r="CK128" s="1213"/>
      <c r="CL128" s="1213"/>
      <c r="CM128" s="1213"/>
      <c r="CN128" s="1213"/>
      <c r="CO128" s="1213"/>
      <c r="CP128" s="1213"/>
      <c r="CQ128" s="1213"/>
      <c r="CR128" s="1213"/>
      <c r="CS128" s="1258"/>
      <c r="CT128" s="1257"/>
      <c r="CU128" s="1257"/>
      <c r="CW128" s="1207" t="s">
        <v>1178</v>
      </c>
      <c r="CX128" s="1211" t="s">
        <v>120</v>
      </c>
      <c r="CY128" s="1208" t="s">
        <v>1056</v>
      </c>
      <c r="CZ128" s="1213"/>
      <c r="DA128" s="1213"/>
      <c r="DB128" s="1213"/>
      <c r="DC128" s="1213"/>
      <c r="DD128" s="1213"/>
      <c r="DE128" s="1213"/>
      <c r="DF128" s="1213"/>
      <c r="DG128" s="1213"/>
      <c r="DH128" s="1213"/>
      <c r="DI128" s="1213"/>
      <c r="DJ128" s="1258"/>
      <c r="DK128" s="1257"/>
      <c r="DL128" s="1257"/>
      <c r="DN128" s="1207" t="s">
        <v>1178</v>
      </c>
      <c r="DO128" s="1211" t="s">
        <v>120</v>
      </c>
      <c r="DP128" s="1208"/>
      <c r="DQ128" s="1213"/>
      <c r="DR128" s="1213"/>
      <c r="DS128" s="1213"/>
      <c r="DT128" s="1213"/>
      <c r="DU128" s="1213"/>
      <c r="DV128" s="1213"/>
      <c r="DW128" s="1213"/>
      <c r="DX128" s="1213"/>
      <c r="DY128" s="1213"/>
      <c r="DZ128" s="1213"/>
      <c r="EA128" s="1258"/>
      <c r="EB128" s="1257"/>
      <c r="EC128" s="1257"/>
      <c r="ED128" s="1472"/>
      <c r="EF128" s="1207" t="s">
        <v>3160</v>
      </c>
      <c r="EG128" s="1211" t="s">
        <v>120</v>
      </c>
      <c r="EH128" s="1208"/>
      <c r="EI128" s="1689">
        <f t="shared" si="217"/>
        <v>0</v>
      </c>
      <c r="EJ128" s="1689">
        <f t="shared" si="218"/>
        <v>0</v>
      </c>
      <c r="EK128" s="1689">
        <f t="shared" si="219"/>
        <v>0</v>
      </c>
      <c r="EL128" s="1689">
        <f t="shared" si="220"/>
        <v>0</v>
      </c>
      <c r="EM128" s="1689">
        <f t="shared" si="221"/>
        <v>0</v>
      </c>
      <c r="EN128" s="1689">
        <f t="shared" si="222"/>
        <v>0</v>
      </c>
      <c r="EO128" s="1689">
        <f t="shared" si="223"/>
        <v>0</v>
      </c>
      <c r="EP128" s="1689">
        <f t="shared" si="224"/>
        <v>0</v>
      </c>
      <c r="EQ128" s="1689">
        <f t="shared" si="225"/>
        <v>0</v>
      </c>
      <c r="ER128" s="1689">
        <f t="shared" si="226"/>
        <v>0</v>
      </c>
      <c r="ES128" s="1705">
        <f t="shared" si="214"/>
        <v>0</v>
      </c>
      <c r="ET128" s="1704">
        <f t="shared" si="215"/>
        <v>0</v>
      </c>
      <c r="EU128" s="1704">
        <f t="shared" si="216"/>
        <v>0</v>
      </c>
      <c r="EW128" s="1207" t="s">
        <v>3159</v>
      </c>
      <c r="EX128" s="1211" t="s">
        <v>120</v>
      </c>
      <c r="EY128" s="1208"/>
      <c r="EZ128" s="1678">
        <f t="shared" si="227"/>
        <v>0</v>
      </c>
      <c r="FA128" s="1678"/>
      <c r="FB128" s="1678"/>
      <c r="FC128" s="1678"/>
      <c r="FD128" s="1678"/>
      <c r="FE128" s="1678"/>
      <c r="FF128" s="1678"/>
      <c r="FG128" s="1678"/>
      <c r="FH128" s="1678"/>
      <c r="FI128" s="1678"/>
      <c r="FJ128" s="1805"/>
      <c r="FK128" s="1681"/>
      <c r="FL128" s="1681"/>
    </row>
    <row r="129" spans="2:168" ht="14.25" thickBot="1">
      <c r="B129" s="2023">
        <f t="shared" si="210"/>
        <v>3</v>
      </c>
      <c r="C129" s="2050" t="str">
        <f t="shared" si="170"/>
        <v>設備システムの高効率化</v>
      </c>
      <c r="D129" s="2061" t="e">
        <f>IF(I$122=0,0,G129/I$122)</f>
        <v>#REF!</v>
      </c>
      <c r="E129" s="2060" t="e">
        <f>IF(J$122=0,0,H129/J$122)</f>
        <v>#REF!</v>
      </c>
      <c r="G129" s="2060" t="e">
        <f t="shared" si="171"/>
        <v>#REF!</v>
      </c>
      <c r="H129" s="2060" t="e">
        <f t="shared" si="172"/>
        <v>#REF!</v>
      </c>
      <c r="I129" s="1263" t="e">
        <f>SUM(G130:G131)</f>
        <v>#REF!</v>
      </c>
      <c r="J129" s="1263" t="e">
        <f>SUM(H130:H131)</f>
        <v>#REF!</v>
      </c>
      <c r="K129" s="2060" t="e">
        <f>IF(#REF!=0,0,1)</f>
        <v>#REF!</v>
      </c>
      <c r="L129" s="2060" t="e">
        <f>IF(#REF!=0,0,1)</f>
        <v>#REF!</v>
      </c>
      <c r="M129" s="2060">
        <f t="shared" si="173"/>
        <v>0.5</v>
      </c>
      <c r="N129" s="2060">
        <f t="shared" si="212"/>
        <v>0</v>
      </c>
      <c r="P129" s="2059">
        <v>3</v>
      </c>
      <c r="Q129" s="2058" t="s">
        <v>1057</v>
      </c>
      <c r="R129" s="2058"/>
      <c r="S129" s="2058"/>
      <c r="T129" s="2156"/>
      <c r="U129" s="2017"/>
      <c r="V129" s="2105">
        <f t="shared" si="205"/>
        <v>0</v>
      </c>
      <c r="W129" s="2104">
        <f t="shared" si="206"/>
        <v>0</v>
      </c>
      <c r="Y129" s="1">
        <f t="shared" si="192"/>
        <v>0</v>
      </c>
      <c r="Z129" s="1">
        <f t="shared" si="193"/>
        <v>0</v>
      </c>
      <c r="AA129" s="1">
        <f t="shared" si="194"/>
        <v>0</v>
      </c>
      <c r="AB129" s="1">
        <f t="shared" si="195"/>
        <v>0</v>
      </c>
      <c r="AC129" s="1">
        <f t="shared" si="196"/>
        <v>0</v>
      </c>
      <c r="AD129" s="1">
        <f t="shared" si="197"/>
        <v>0</v>
      </c>
      <c r="AE129" s="1">
        <f t="shared" si="198"/>
        <v>0</v>
      </c>
      <c r="AF129" s="1">
        <f t="shared" si="199"/>
        <v>0</v>
      </c>
      <c r="AG129" s="1">
        <f t="shared" si="200"/>
        <v>0</v>
      </c>
      <c r="AH129" s="1">
        <f t="shared" si="201"/>
        <v>0</v>
      </c>
      <c r="AI129" s="1">
        <f t="shared" si="202"/>
        <v>0</v>
      </c>
      <c r="AJ129" s="1">
        <f t="shared" si="203"/>
        <v>0</v>
      </c>
      <c r="AK129" s="1">
        <f t="shared" si="204"/>
        <v>0</v>
      </c>
      <c r="AM129" s="2103" t="s">
        <v>3157</v>
      </c>
      <c r="AN129" s="2103" t="s">
        <v>177</v>
      </c>
      <c r="AO129" s="2103" t="s">
        <v>3158</v>
      </c>
      <c r="AP129" s="2103" t="s">
        <v>3158</v>
      </c>
      <c r="AQ129" s="2103" t="s">
        <v>177</v>
      </c>
      <c r="AR129" s="2103" t="s">
        <v>3158</v>
      </c>
      <c r="AS129" s="2103" t="s">
        <v>3158</v>
      </c>
      <c r="AT129" s="2103" t="s">
        <v>177</v>
      </c>
      <c r="AU129" s="2103" t="s">
        <v>177</v>
      </c>
      <c r="AV129" s="2103" t="s">
        <v>177</v>
      </c>
      <c r="AW129" s="2103" t="s">
        <v>3137</v>
      </c>
      <c r="AX129" s="2103" t="s">
        <v>177</v>
      </c>
      <c r="AY129" s="2103" t="s">
        <v>3157</v>
      </c>
      <c r="BA129" s="2054" t="e">
        <f>BB129/$BC$122</f>
        <v>#REF!</v>
      </c>
      <c r="BB129" s="2071" t="e">
        <f>D129</f>
        <v>#REF!</v>
      </c>
      <c r="BC129" s="2139"/>
      <c r="BD129" s="2137" t="e">
        <f>BR129*#REF!</f>
        <v>#REF!</v>
      </c>
      <c r="BE129" s="2137" t="e">
        <f>BS129*#REF!</f>
        <v>#REF!</v>
      </c>
      <c r="BF129" s="2137" t="e">
        <f>BT129*#REF!</f>
        <v>#REF!</v>
      </c>
      <c r="BG129" s="2137" t="e">
        <f>BU129*#REF!</f>
        <v>#REF!</v>
      </c>
      <c r="BH129" s="2138" t="e">
        <f>BV129*#REF!</f>
        <v>#REF!</v>
      </c>
      <c r="BI129" s="2137" t="e">
        <f>BW129*#REF!</f>
        <v>#REF!</v>
      </c>
      <c r="BJ129" s="2137" t="e">
        <f>BX129*#REF!</f>
        <v>#REF!</v>
      </c>
      <c r="BK129" s="2137" t="e">
        <f>BY129*#REF!</f>
        <v>#REF!</v>
      </c>
      <c r="BL129" s="2137" t="e">
        <f>BZ129*#REF!</f>
        <v>#REF!</v>
      </c>
      <c r="BM129" s="2137" t="e">
        <f>CA129*#REF!</f>
        <v>#REF!</v>
      </c>
      <c r="BO129" s="2114">
        <f t="shared" si="175"/>
        <v>3</v>
      </c>
      <c r="BP129" s="2114" t="str">
        <f t="shared" si="176"/>
        <v>LR1</v>
      </c>
      <c r="BQ129" s="2050" t="str">
        <f t="shared" si="177"/>
        <v>設備システムの高効率化</v>
      </c>
      <c r="BR129" s="2135">
        <f t="shared" si="178"/>
        <v>0.5</v>
      </c>
      <c r="BS129" s="2135">
        <f t="shared" si="179"/>
        <v>0.5</v>
      </c>
      <c r="BT129" s="2135">
        <f t="shared" si="180"/>
        <v>0.5</v>
      </c>
      <c r="BU129" s="2135">
        <f t="shared" si="181"/>
        <v>0.5</v>
      </c>
      <c r="BV129" s="2136">
        <f t="shared" si="182"/>
        <v>0.5</v>
      </c>
      <c r="BW129" s="2135">
        <f t="shared" si="183"/>
        <v>0.625</v>
      </c>
      <c r="BX129" s="2135">
        <f t="shared" si="184"/>
        <v>0.5</v>
      </c>
      <c r="BY129" s="2135">
        <f t="shared" si="185"/>
        <v>0.5</v>
      </c>
      <c r="BZ129" s="2135">
        <f t="shared" si="186"/>
        <v>0.5</v>
      </c>
      <c r="CA129" s="2135">
        <f t="shared" si="187"/>
        <v>0.5</v>
      </c>
      <c r="CB129" s="2049">
        <f t="shared" si="188"/>
        <v>0</v>
      </c>
      <c r="CC129" s="2048">
        <f t="shared" si="189"/>
        <v>0</v>
      </c>
      <c r="CD129" s="2048">
        <f t="shared" si="190"/>
        <v>0</v>
      </c>
      <c r="CF129" s="1197">
        <v>3</v>
      </c>
      <c r="CG129" s="1201" t="s">
        <v>1474</v>
      </c>
      <c r="CH129" s="1198" t="s">
        <v>1057</v>
      </c>
      <c r="CI129" s="1247">
        <v>0.5</v>
      </c>
      <c r="CJ129" s="1247">
        <v>0.5</v>
      </c>
      <c r="CK129" s="1247">
        <v>0.5</v>
      </c>
      <c r="CL129" s="1247">
        <v>0.5</v>
      </c>
      <c r="CM129" s="1247">
        <v>0.5</v>
      </c>
      <c r="CN129" s="1348">
        <v>0.625</v>
      </c>
      <c r="CO129" s="1247">
        <v>0.5</v>
      </c>
      <c r="CP129" s="1247">
        <v>0.5</v>
      </c>
      <c r="CQ129" s="1247">
        <v>0.5</v>
      </c>
      <c r="CR129" s="1247">
        <v>0.5</v>
      </c>
      <c r="CS129" s="1203"/>
      <c r="CT129" s="1202"/>
      <c r="CU129" s="1202"/>
      <c r="CW129" s="1197">
        <v>3</v>
      </c>
      <c r="CX129" s="1201" t="s">
        <v>1474</v>
      </c>
      <c r="CY129" s="1198" t="s">
        <v>1057</v>
      </c>
      <c r="CZ129" s="1247">
        <v>0.5</v>
      </c>
      <c r="DA129" s="1247">
        <v>0.5</v>
      </c>
      <c r="DB129" s="1247">
        <v>0.5</v>
      </c>
      <c r="DC129" s="1247">
        <v>0.5</v>
      </c>
      <c r="DD129" s="1247">
        <v>0.5</v>
      </c>
      <c r="DE129" s="1348">
        <v>0.625</v>
      </c>
      <c r="DF129" s="1247">
        <v>0.5</v>
      </c>
      <c r="DG129" s="1247">
        <v>0.5</v>
      </c>
      <c r="DH129" s="1247">
        <v>0.5</v>
      </c>
      <c r="DI129" s="1247">
        <v>0.5</v>
      </c>
      <c r="DJ129" s="1203"/>
      <c r="DK129" s="1202"/>
      <c r="DL129" s="1202"/>
      <c r="DN129" s="1197">
        <v>3</v>
      </c>
      <c r="DO129" s="1201" t="s">
        <v>1474</v>
      </c>
      <c r="DP129" s="1198" t="s">
        <v>1057</v>
      </c>
      <c r="DQ129" s="1247">
        <v>0.5</v>
      </c>
      <c r="DR129" s="1247">
        <v>0.5</v>
      </c>
      <c r="DS129" s="1247">
        <v>0.5</v>
      </c>
      <c r="DT129" s="1247">
        <v>0.5</v>
      </c>
      <c r="DU129" s="1247">
        <v>0.5</v>
      </c>
      <c r="DV129" s="1348">
        <v>0.625</v>
      </c>
      <c r="DW129" s="1247">
        <v>0.5</v>
      </c>
      <c r="DX129" s="1247">
        <v>0.5</v>
      </c>
      <c r="DY129" s="1247">
        <v>0.5</v>
      </c>
      <c r="DZ129" s="1247">
        <v>0.5</v>
      </c>
      <c r="EA129" s="1203"/>
      <c r="EB129" s="1202"/>
      <c r="EC129" s="1202"/>
      <c r="ED129" s="1468"/>
      <c r="EF129" s="1197">
        <v>3</v>
      </c>
      <c r="EG129" s="1201" t="s">
        <v>1474</v>
      </c>
      <c r="EH129" s="1198" t="s">
        <v>1057</v>
      </c>
      <c r="EI129" s="1699">
        <f t="shared" si="217"/>
        <v>0.5</v>
      </c>
      <c r="EJ129" s="1699">
        <f t="shared" si="218"/>
        <v>0.5</v>
      </c>
      <c r="EK129" s="1699">
        <f t="shared" si="219"/>
        <v>0.5</v>
      </c>
      <c r="EL129" s="1699">
        <f t="shared" si="220"/>
        <v>0.5</v>
      </c>
      <c r="EM129" s="1699">
        <f t="shared" si="221"/>
        <v>0.5</v>
      </c>
      <c r="EN129" s="1699">
        <f t="shared" si="222"/>
        <v>0.625</v>
      </c>
      <c r="EO129" s="1699">
        <f t="shared" si="223"/>
        <v>0.5</v>
      </c>
      <c r="EP129" s="1699">
        <f t="shared" si="224"/>
        <v>0.5</v>
      </c>
      <c r="EQ129" s="1699">
        <f t="shared" si="225"/>
        <v>0.5</v>
      </c>
      <c r="ER129" s="1699">
        <f t="shared" si="226"/>
        <v>0.5</v>
      </c>
      <c r="ES129" s="1688">
        <f t="shared" si="214"/>
        <v>0</v>
      </c>
      <c r="ET129" s="1686">
        <f t="shared" si="215"/>
        <v>0</v>
      </c>
      <c r="EU129" s="1686">
        <f t="shared" si="216"/>
        <v>0</v>
      </c>
      <c r="EW129" s="1197">
        <v>3</v>
      </c>
      <c r="EX129" s="1201" t="s">
        <v>1474</v>
      </c>
      <c r="EY129" s="1198" t="s">
        <v>1057</v>
      </c>
      <c r="EZ129" s="1679">
        <f t="shared" si="227"/>
        <v>0.5</v>
      </c>
      <c r="FA129" s="1679"/>
      <c r="FB129" s="1679"/>
      <c r="FC129" s="1679"/>
      <c r="FD129" s="1679"/>
      <c r="FE129" s="1679"/>
      <c r="FF129" s="1679"/>
      <c r="FG129" s="1679"/>
      <c r="FH129" s="1679"/>
      <c r="FI129" s="1679"/>
      <c r="FJ129" s="1677"/>
      <c r="FK129" s="1676"/>
      <c r="FL129" s="1676"/>
    </row>
    <row r="130" spans="2:168" ht="14.25" hidden="1" thickBot="1">
      <c r="B130" s="2023" t="str">
        <f t="shared" si="210"/>
        <v>3a.3b</v>
      </c>
      <c r="C130" s="2050" t="str">
        <f t="shared" si="170"/>
        <v>非住宅部分</v>
      </c>
      <c r="D130" s="2061" t="e">
        <f>IF(I$129=0,0,G130/I$129)</f>
        <v>#REF!</v>
      </c>
      <c r="E130" s="2060" t="e">
        <f>IF(J$129=0,0,H130/J$129)</f>
        <v>#REF!</v>
      </c>
      <c r="G130" s="2060" t="e">
        <f t="shared" si="171"/>
        <v>#REF!</v>
      </c>
      <c r="H130" s="2060" t="e">
        <f t="shared" si="172"/>
        <v>#REF!</v>
      </c>
      <c r="I130" s="2060"/>
      <c r="J130" s="2060"/>
      <c r="K130" s="2060" t="e">
        <f>IF(#REF!=0,0,1)</f>
        <v>#REF!</v>
      </c>
      <c r="L130" s="2060" t="e">
        <f>IF(#REF!=0,0,1)</f>
        <v>#REF!</v>
      </c>
      <c r="M130" s="2060">
        <f t="shared" si="173"/>
        <v>1</v>
      </c>
      <c r="N130" s="2060">
        <f t="shared" si="212"/>
        <v>0</v>
      </c>
      <c r="P130" s="2153"/>
      <c r="Q130" s="2152"/>
      <c r="R130" s="2145" t="s">
        <v>2492</v>
      </c>
      <c r="S130" s="1402"/>
      <c r="T130" s="2144"/>
      <c r="U130" s="2017"/>
      <c r="V130" s="2155">
        <f t="shared" si="205"/>
        <v>0</v>
      </c>
      <c r="W130" s="2154">
        <f t="shared" si="206"/>
        <v>0</v>
      </c>
      <c r="Y130" s="1">
        <f t="shared" si="192"/>
        <v>0</v>
      </c>
      <c r="Z130" s="1">
        <f t="shared" si="193"/>
        <v>0</v>
      </c>
      <c r="AA130" s="1">
        <f t="shared" si="194"/>
        <v>0</v>
      </c>
      <c r="AB130" s="1">
        <f t="shared" si="195"/>
        <v>0</v>
      </c>
      <c r="AC130" s="1">
        <f t="shared" si="196"/>
        <v>0</v>
      </c>
      <c r="AD130" s="1">
        <f t="shared" si="197"/>
        <v>0</v>
      </c>
      <c r="AE130" s="1">
        <f t="shared" si="198"/>
        <v>0</v>
      </c>
      <c r="AF130" s="1">
        <f t="shared" si="199"/>
        <v>0</v>
      </c>
      <c r="AG130" s="1">
        <f t="shared" si="200"/>
        <v>0</v>
      </c>
      <c r="AH130" s="1">
        <f t="shared" si="201"/>
        <v>0</v>
      </c>
      <c r="AI130" s="1">
        <f t="shared" si="202"/>
        <v>0</v>
      </c>
      <c r="AJ130" s="1">
        <f t="shared" si="203"/>
        <v>0</v>
      </c>
      <c r="AK130" s="1">
        <f t="shared" si="204"/>
        <v>0</v>
      </c>
      <c r="AM130" s="2140" t="s">
        <v>177</v>
      </c>
      <c r="AN130" s="2140" t="s">
        <v>177</v>
      </c>
      <c r="AO130" s="2140" t="s">
        <v>177</v>
      </c>
      <c r="AP130" s="2140" t="s">
        <v>177</v>
      </c>
      <c r="AQ130" s="2140" t="s">
        <v>177</v>
      </c>
      <c r="AR130" s="2140" t="s">
        <v>177</v>
      </c>
      <c r="AS130" s="2140" t="s">
        <v>177</v>
      </c>
      <c r="AT130" s="2140" t="s">
        <v>177</v>
      </c>
      <c r="AU130" s="2140" t="s">
        <v>177</v>
      </c>
      <c r="AV130" s="2140" t="s">
        <v>177</v>
      </c>
      <c r="AW130" s="2140" t="s">
        <v>177</v>
      </c>
      <c r="AX130" s="2140" t="s">
        <v>177</v>
      </c>
      <c r="AY130" s="2140" t="s">
        <v>177</v>
      </c>
      <c r="BA130" s="2014"/>
      <c r="BB130" s="2014" t="e">
        <f t="shared" ref="BB130:BB172" si="228">SUMPRODUCT($BD$7:$BM$7,BD130:BM130)</f>
        <v>#REF!</v>
      </c>
      <c r="BC130" s="2014"/>
      <c r="BD130" s="2013" t="e">
        <f>BR130*#REF!</f>
        <v>#REF!</v>
      </c>
      <c r="BE130" s="2013" t="e">
        <f>BS130*#REF!</f>
        <v>#REF!</v>
      </c>
      <c r="BF130" s="2013" t="e">
        <f>BT130*#REF!</f>
        <v>#REF!</v>
      </c>
      <c r="BG130" s="2013" t="e">
        <f>BU130*#REF!</f>
        <v>#REF!</v>
      </c>
      <c r="BH130" s="2094" t="e">
        <f>BV130*#REF!</f>
        <v>#REF!</v>
      </c>
      <c r="BI130" s="2013" t="e">
        <f>BW130*#REF!</f>
        <v>#REF!</v>
      </c>
      <c r="BJ130" s="2013" t="e">
        <f>BX130*#REF!</f>
        <v>#REF!</v>
      </c>
      <c r="BK130" s="2013" t="e">
        <f>BY130*#REF!</f>
        <v>#REF!</v>
      </c>
      <c r="BL130" s="2013" t="e">
        <f>BZ130*#REF!</f>
        <v>#REF!</v>
      </c>
      <c r="BM130" s="2013" t="e">
        <f>CA130*#REF!</f>
        <v>#REF!</v>
      </c>
      <c r="BO130" s="2114" t="str">
        <f t="shared" si="175"/>
        <v>3a.3b</v>
      </c>
      <c r="BP130" s="2114" t="str">
        <f t="shared" si="176"/>
        <v>LR1 3</v>
      </c>
      <c r="BQ130" s="2050" t="str">
        <f t="shared" si="177"/>
        <v>非住宅部分</v>
      </c>
      <c r="BR130" s="2010">
        <f t="shared" si="178"/>
        <v>1</v>
      </c>
      <c r="BS130" s="2010">
        <f t="shared" si="179"/>
        <v>1</v>
      </c>
      <c r="BT130" s="2010">
        <f t="shared" si="180"/>
        <v>1</v>
      </c>
      <c r="BU130" s="2010">
        <f t="shared" si="181"/>
        <v>1</v>
      </c>
      <c r="BV130" s="2093">
        <f t="shared" si="182"/>
        <v>1</v>
      </c>
      <c r="BW130" s="2010">
        <f t="shared" si="183"/>
        <v>1</v>
      </c>
      <c r="BX130" s="2010">
        <f t="shared" si="184"/>
        <v>1</v>
      </c>
      <c r="BY130" s="2010">
        <f t="shared" si="185"/>
        <v>1</v>
      </c>
      <c r="BZ130" s="2010">
        <f t="shared" si="186"/>
        <v>1</v>
      </c>
      <c r="CA130" s="2010">
        <f t="shared" si="187"/>
        <v>0</v>
      </c>
      <c r="CB130" s="2049">
        <f t="shared" si="188"/>
        <v>0</v>
      </c>
      <c r="CC130" s="2048">
        <f t="shared" si="189"/>
        <v>0</v>
      </c>
      <c r="CD130" s="2048">
        <f t="shared" si="190"/>
        <v>0</v>
      </c>
      <c r="CF130" s="1197" t="s">
        <v>1179</v>
      </c>
      <c r="CG130" s="1201" t="s">
        <v>1180</v>
      </c>
      <c r="CH130" s="1198" t="s">
        <v>121</v>
      </c>
      <c r="CI130" s="1299"/>
      <c r="CJ130" s="1299"/>
      <c r="CK130" s="1299"/>
      <c r="CL130" s="1299"/>
      <c r="CM130" s="1299"/>
      <c r="CN130" s="1299"/>
      <c r="CO130" s="1300"/>
      <c r="CP130" s="1299"/>
      <c r="CQ130" s="1299"/>
      <c r="CR130" s="1300"/>
      <c r="CS130" s="1203"/>
      <c r="CT130" s="1202"/>
      <c r="CU130" s="1202"/>
      <c r="CW130" s="1197" t="s">
        <v>1179</v>
      </c>
      <c r="CX130" s="1201" t="s">
        <v>1180</v>
      </c>
      <c r="CY130" s="1198" t="s">
        <v>3156</v>
      </c>
      <c r="CZ130" s="1300">
        <v>1</v>
      </c>
      <c r="DA130" s="1300">
        <v>1</v>
      </c>
      <c r="DB130" s="1300">
        <v>1</v>
      </c>
      <c r="DC130" s="1300">
        <v>1</v>
      </c>
      <c r="DD130" s="1300">
        <v>1</v>
      </c>
      <c r="DE130" s="1300">
        <v>1</v>
      </c>
      <c r="DF130" s="1300">
        <v>1</v>
      </c>
      <c r="DG130" s="1300">
        <v>1</v>
      </c>
      <c r="DH130" s="1300">
        <v>1</v>
      </c>
      <c r="DI130" s="1300"/>
      <c r="DJ130" s="1203"/>
      <c r="DK130" s="1202"/>
      <c r="DL130" s="1202"/>
      <c r="DN130" s="1197" t="s">
        <v>2504</v>
      </c>
      <c r="DO130" s="1201" t="s">
        <v>1180</v>
      </c>
      <c r="DP130" s="1198" t="s">
        <v>3156</v>
      </c>
      <c r="DQ130" s="1300">
        <v>1</v>
      </c>
      <c r="DR130" s="1300">
        <v>1</v>
      </c>
      <c r="DS130" s="1300">
        <v>1</v>
      </c>
      <c r="DT130" s="1300">
        <v>1</v>
      </c>
      <c r="DU130" s="1300">
        <v>1</v>
      </c>
      <c r="DV130" s="1300">
        <v>1</v>
      </c>
      <c r="DW130" s="1300">
        <v>1</v>
      </c>
      <c r="DX130" s="1300">
        <v>1</v>
      </c>
      <c r="DY130" s="1300">
        <v>1</v>
      </c>
      <c r="DZ130" s="1300"/>
      <c r="EA130" s="1203"/>
      <c r="EB130" s="1202"/>
      <c r="EC130" s="1202"/>
      <c r="ED130" s="1468"/>
      <c r="EF130" s="1197" t="s">
        <v>2504</v>
      </c>
      <c r="EG130" s="1201" t="s">
        <v>1180</v>
      </c>
      <c r="EH130" s="1198" t="s">
        <v>3156</v>
      </c>
      <c r="EI130" s="1700">
        <f t="shared" si="217"/>
        <v>1</v>
      </c>
      <c r="EJ130" s="1700">
        <f t="shared" si="218"/>
        <v>1</v>
      </c>
      <c r="EK130" s="1700">
        <f t="shared" si="219"/>
        <v>1</v>
      </c>
      <c r="EL130" s="1700">
        <f t="shared" si="220"/>
        <v>1</v>
      </c>
      <c r="EM130" s="1700">
        <f t="shared" si="221"/>
        <v>1</v>
      </c>
      <c r="EN130" s="1700">
        <f t="shared" si="222"/>
        <v>1</v>
      </c>
      <c r="EO130" s="1700">
        <f t="shared" si="223"/>
        <v>1</v>
      </c>
      <c r="EP130" s="1700">
        <f t="shared" si="224"/>
        <v>1</v>
      </c>
      <c r="EQ130" s="1700">
        <f t="shared" si="225"/>
        <v>1</v>
      </c>
      <c r="ER130" s="1700">
        <f t="shared" si="226"/>
        <v>0</v>
      </c>
      <c r="ES130" s="1688">
        <f t="shared" si="214"/>
        <v>0</v>
      </c>
      <c r="ET130" s="1686">
        <f t="shared" si="215"/>
        <v>0</v>
      </c>
      <c r="EU130" s="1686">
        <f t="shared" si="216"/>
        <v>0</v>
      </c>
      <c r="EW130" s="1197" t="s">
        <v>2504</v>
      </c>
      <c r="EX130" s="1201" t="s">
        <v>1180</v>
      </c>
      <c r="EY130" s="1198" t="s">
        <v>3156</v>
      </c>
      <c r="EZ130" s="1680">
        <f t="shared" si="227"/>
        <v>1</v>
      </c>
      <c r="FA130" s="1680"/>
      <c r="FB130" s="1680"/>
      <c r="FC130" s="1680"/>
      <c r="FD130" s="1680"/>
      <c r="FE130" s="1680"/>
      <c r="FF130" s="1680"/>
      <c r="FG130" s="1680"/>
      <c r="FH130" s="1680"/>
      <c r="FI130" s="1680"/>
      <c r="FJ130" s="1677"/>
      <c r="FK130" s="1676"/>
      <c r="FL130" s="1676"/>
    </row>
    <row r="131" spans="2:168" ht="14.25" hidden="1" thickBot="1">
      <c r="B131" s="2023" t="str">
        <f t="shared" si="210"/>
        <v>3b.c</v>
      </c>
      <c r="C131" s="2050" t="str">
        <f t="shared" si="170"/>
        <v>集合住宅の評価</v>
      </c>
      <c r="D131" s="2061" t="e">
        <f>IF(I$129=0,0,G131/I$129)</f>
        <v>#REF!</v>
      </c>
      <c r="E131" s="2060" t="e">
        <f>IF(J$129=0,0,H131/J$129)</f>
        <v>#REF!</v>
      </c>
      <c r="G131" s="2060" t="e">
        <f t="shared" si="171"/>
        <v>#REF!</v>
      </c>
      <c r="H131" s="2060" t="e">
        <f t="shared" si="172"/>
        <v>#REF!</v>
      </c>
      <c r="I131" s="2060" t="e">
        <f>G132+G133+G134+G135+G136</f>
        <v>#REF!</v>
      </c>
      <c r="J131" s="2060" t="e">
        <f>H132+H133+H134+H135+H136</f>
        <v>#REF!</v>
      </c>
      <c r="K131" s="2060" t="e">
        <f>IF(#REF!=0,0,1)</f>
        <v>#REF!</v>
      </c>
      <c r="L131" s="2060" t="e">
        <f>IF(#REF!=0,0,1)</f>
        <v>#REF!</v>
      </c>
      <c r="M131" s="2060">
        <f t="shared" si="173"/>
        <v>0</v>
      </c>
      <c r="N131" s="2060">
        <f t="shared" si="212"/>
        <v>0</v>
      </c>
      <c r="P131" s="2153"/>
      <c r="Q131" s="2152"/>
      <c r="R131" s="2145" t="s">
        <v>2493</v>
      </c>
      <c r="S131" s="1402"/>
      <c r="T131" s="2144"/>
      <c r="U131" s="2017"/>
      <c r="V131" s="2151">
        <f t="shared" si="205"/>
        <v>0</v>
      </c>
      <c r="W131" s="2150">
        <f t="shared" si="206"/>
        <v>0</v>
      </c>
      <c r="Y131" s="1">
        <f t="shared" si="192"/>
        <v>0</v>
      </c>
      <c r="Z131" s="1">
        <f t="shared" si="193"/>
        <v>0</v>
      </c>
      <c r="AA131" s="1">
        <f t="shared" si="194"/>
        <v>0</v>
      </c>
      <c r="AB131" s="1">
        <f t="shared" si="195"/>
        <v>0</v>
      </c>
      <c r="AC131" s="1">
        <f t="shared" si="196"/>
        <v>0</v>
      </c>
      <c r="AD131" s="1">
        <f t="shared" si="197"/>
        <v>0</v>
      </c>
      <c r="AE131" s="1">
        <f t="shared" si="198"/>
        <v>0</v>
      </c>
      <c r="AF131" s="1">
        <f t="shared" si="199"/>
        <v>0</v>
      </c>
      <c r="AG131" s="1">
        <f t="shared" si="200"/>
        <v>0</v>
      </c>
      <c r="AH131" s="1">
        <f t="shared" si="201"/>
        <v>0</v>
      </c>
      <c r="AI131" s="1">
        <f t="shared" si="202"/>
        <v>0</v>
      </c>
      <c r="AJ131" s="1">
        <f t="shared" si="203"/>
        <v>0</v>
      </c>
      <c r="AK131" s="1">
        <f t="shared" si="204"/>
        <v>0</v>
      </c>
      <c r="AM131" s="2103" t="s">
        <v>177</v>
      </c>
      <c r="AN131" s="2103" t="s">
        <v>177</v>
      </c>
      <c r="AO131" s="2103" t="s">
        <v>177</v>
      </c>
      <c r="AP131" s="2103" t="s">
        <v>177</v>
      </c>
      <c r="AQ131" s="2103" t="s">
        <v>177</v>
      </c>
      <c r="AR131" s="2103" t="s">
        <v>177</v>
      </c>
      <c r="AS131" s="2103" t="s">
        <v>177</v>
      </c>
      <c r="AT131" s="2103" t="s">
        <v>177</v>
      </c>
      <c r="AU131" s="2103" t="s">
        <v>177</v>
      </c>
      <c r="AV131" s="2103" t="s">
        <v>177</v>
      </c>
      <c r="AW131" s="2103" t="s">
        <v>177</v>
      </c>
      <c r="AX131" s="2103" t="s">
        <v>177</v>
      </c>
      <c r="AY131" s="2103" t="s">
        <v>177</v>
      </c>
      <c r="BA131" s="2014"/>
      <c r="BB131" s="2014" t="e">
        <f t="shared" si="228"/>
        <v>#REF!</v>
      </c>
      <c r="BC131" s="2014"/>
      <c r="BD131" s="2013" t="e">
        <f>BR131*#REF!</f>
        <v>#REF!</v>
      </c>
      <c r="BE131" s="2013" t="e">
        <f>BS131*#REF!</f>
        <v>#REF!</v>
      </c>
      <c r="BF131" s="2013" t="e">
        <f>BT131*#REF!</f>
        <v>#REF!</v>
      </c>
      <c r="BG131" s="2013" t="e">
        <f>BU131*#REF!</f>
        <v>#REF!</v>
      </c>
      <c r="BH131" s="2094" t="e">
        <f>BV131*#REF!</f>
        <v>#REF!</v>
      </c>
      <c r="BI131" s="2013" t="e">
        <f>BW131*#REF!</f>
        <v>#REF!</v>
      </c>
      <c r="BJ131" s="2013" t="e">
        <f>BX131*#REF!</f>
        <v>#REF!</v>
      </c>
      <c r="BK131" s="2013" t="e">
        <f>BY131*#REF!</f>
        <v>#REF!</v>
      </c>
      <c r="BL131" s="2013" t="e">
        <f>BZ131*#REF!</f>
        <v>#REF!</v>
      </c>
      <c r="BM131" s="2013" t="e">
        <f>CA131*#REF!</f>
        <v>#REF!</v>
      </c>
      <c r="BO131" s="2114" t="str">
        <f t="shared" si="175"/>
        <v>3b.c</v>
      </c>
      <c r="BP131" s="2114" t="str">
        <f t="shared" si="176"/>
        <v>LR1 3</v>
      </c>
      <c r="BQ131" s="2050" t="str">
        <f t="shared" si="177"/>
        <v>集合住宅の評価</v>
      </c>
      <c r="BR131" s="2010">
        <f t="shared" si="178"/>
        <v>0</v>
      </c>
      <c r="BS131" s="2010">
        <f t="shared" si="179"/>
        <v>0</v>
      </c>
      <c r="BT131" s="2010">
        <f t="shared" si="180"/>
        <v>0</v>
      </c>
      <c r="BU131" s="2010">
        <f t="shared" si="181"/>
        <v>0</v>
      </c>
      <c r="BV131" s="2093">
        <f t="shared" si="182"/>
        <v>0</v>
      </c>
      <c r="BW131" s="2010">
        <f t="shared" si="183"/>
        <v>0</v>
      </c>
      <c r="BX131" s="2010">
        <f t="shared" si="184"/>
        <v>0</v>
      </c>
      <c r="BY131" s="2010">
        <f t="shared" si="185"/>
        <v>0</v>
      </c>
      <c r="BZ131" s="2010">
        <f t="shared" si="186"/>
        <v>0</v>
      </c>
      <c r="CA131" s="2010">
        <f t="shared" si="187"/>
        <v>1</v>
      </c>
      <c r="CB131" s="2049">
        <f t="shared" si="188"/>
        <v>0</v>
      </c>
      <c r="CC131" s="2048">
        <f t="shared" si="189"/>
        <v>0</v>
      </c>
      <c r="CD131" s="2048">
        <f t="shared" si="190"/>
        <v>0</v>
      </c>
      <c r="CF131" s="1197" t="s">
        <v>1607</v>
      </c>
      <c r="CG131" s="1201" t="s">
        <v>1180</v>
      </c>
      <c r="CH131" s="1198" t="s">
        <v>122</v>
      </c>
      <c r="CI131" s="1301"/>
      <c r="CJ131" s="1301"/>
      <c r="CK131" s="1301"/>
      <c r="CL131" s="1301"/>
      <c r="CM131" s="1301"/>
      <c r="CN131" s="1301"/>
      <c r="CO131" s="1300"/>
      <c r="CP131" s="1301"/>
      <c r="CQ131" s="1301"/>
      <c r="CR131" s="1300"/>
      <c r="CS131" s="1203"/>
      <c r="CT131" s="1202"/>
      <c r="CU131" s="1202"/>
      <c r="CW131" s="1197" t="s">
        <v>1607</v>
      </c>
      <c r="CX131" s="1201" t="s">
        <v>1180</v>
      </c>
      <c r="CY131" s="1198" t="s">
        <v>1320</v>
      </c>
      <c r="CZ131" s="1301"/>
      <c r="DA131" s="1301"/>
      <c r="DB131" s="1301"/>
      <c r="DC131" s="1301"/>
      <c r="DD131" s="1301"/>
      <c r="DE131" s="1301"/>
      <c r="DF131" s="1300"/>
      <c r="DG131" s="1301"/>
      <c r="DH131" s="1301"/>
      <c r="DI131" s="1300">
        <v>1</v>
      </c>
      <c r="DJ131" s="1203"/>
      <c r="DK131" s="1202"/>
      <c r="DL131" s="1202"/>
      <c r="DN131" s="1197" t="s">
        <v>2505</v>
      </c>
      <c r="DO131" s="1201" t="s">
        <v>1180</v>
      </c>
      <c r="DP131" s="1198" t="s">
        <v>1320</v>
      </c>
      <c r="DQ131" s="1301"/>
      <c r="DR131" s="1301"/>
      <c r="DS131" s="1301"/>
      <c r="DT131" s="1301"/>
      <c r="DU131" s="1301"/>
      <c r="DV131" s="1301"/>
      <c r="DW131" s="1300"/>
      <c r="DX131" s="1301"/>
      <c r="DY131" s="1301"/>
      <c r="DZ131" s="1300">
        <v>1</v>
      </c>
      <c r="EA131" s="1203"/>
      <c r="EB131" s="1202"/>
      <c r="EC131" s="1202"/>
      <c r="ED131" s="1468"/>
      <c r="EF131" s="1197" t="s">
        <v>2505</v>
      </c>
      <c r="EG131" s="1201" t="s">
        <v>1180</v>
      </c>
      <c r="EH131" s="1198" t="s">
        <v>1320</v>
      </c>
      <c r="EI131" s="1699">
        <f t="shared" si="217"/>
        <v>0</v>
      </c>
      <c r="EJ131" s="1699">
        <f t="shared" si="218"/>
        <v>0</v>
      </c>
      <c r="EK131" s="1699">
        <f t="shared" si="219"/>
        <v>0</v>
      </c>
      <c r="EL131" s="1699">
        <f t="shared" si="220"/>
        <v>0</v>
      </c>
      <c r="EM131" s="1699">
        <f t="shared" si="221"/>
        <v>0</v>
      </c>
      <c r="EN131" s="1699">
        <f t="shared" si="222"/>
        <v>0</v>
      </c>
      <c r="EO131" s="1700">
        <f t="shared" si="223"/>
        <v>0</v>
      </c>
      <c r="EP131" s="1699">
        <f t="shared" si="224"/>
        <v>0</v>
      </c>
      <c r="EQ131" s="1699">
        <f t="shared" si="225"/>
        <v>0</v>
      </c>
      <c r="ER131" s="1700">
        <f t="shared" si="226"/>
        <v>1</v>
      </c>
      <c r="ES131" s="1688">
        <f t="shared" si="214"/>
        <v>0</v>
      </c>
      <c r="ET131" s="1686">
        <f t="shared" si="215"/>
        <v>0</v>
      </c>
      <c r="EU131" s="1686">
        <f t="shared" si="216"/>
        <v>0</v>
      </c>
      <c r="EW131" s="1197" t="s">
        <v>2505</v>
      </c>
      <c r="EX131" s="1201" t="s">
        <v>1180</v>
      </c>
      <c r="EY131" s="1198" t="s">
        <v>1320</v>
      </c>
      <c r="EZ131" s="1679">
        <f t="shared" si="227"/>
        <v>0</v>
      </c>
      <c r="FA131" s="1679"/>
      <c r="FB131" s="1679"/>
      <c r="FC131" s="1679"/>
      <c r="FD131" s="1679"/>
      <c r="FE131" s="1679"/>
      <c r="FF131" s="1680"/>
      <c r="FG131" s="1679"/>
      <c r="FH131" s="1679"/>
      <c r="FI131" s="1680"/>
      <c r="FJ131" s="1677"/>
      <c r="FK131" s="1676"/>
      <c r="FL131" s="1676"/>
    </row>
    <row r="132" spans="2:168" ht="14.25" hidden="1" thickBot="1">
      <c r="B132" s="2023">
        <f t="shared" si="210"/>
        <v>3.1</v>
      </c>
      <c r="C132" s="829" t="str">
        <f t="shared" si="170"/>
        <v>空調設備</v>
      </c>
      <c r="D132" s="2022" t="e">
        <f t="shared" ref="D132:E136" si="229">IF(I$131=0,0,G132/I$131)</f>
        <v>#REF!</v>
      </c>
      <c r="E132" s="2021" t="e">
        <f t="shared" si="229"/>
        <v>#REF!</v>
      </c>
      <c r="G132" s="2021" t="e">
        <f t="shared" si="171"/>
        <v>#REF!</v>
      </c>
      <c r="H132" s="2021" t="e">
        <f t="shared" si="172"/>
        <v>#REF!</v>
      </c>
      <c r="I132" s="2021"/>
      <c r="J132" s="2021"/>
      <c r="K132" s="2021" t="e">
        <f>IF(#REF!=0,0,1)</f>
        <v>#REF!</v>
      </c>
      <c r="L132" s="2021" t="e">
        <f>IF(#REF!=0,0,1)</f>
        <v>#REF!</v>
      </c>
      <c r="M132" s="2021">
        <f t="shared" si="173"/>
        <v>0</v>
      </c>
      <c r="N132" s="2021">
        <f t="shared" si="212"/>
        <v>0</v>
      </c>
      <c r="P132" s="2148"/>
      <c r="Q132" s="2146">
        <v>3.1</v>
      </c>
      <c r="R132" s="2145" t="s">
        <v>1058</v>
      </c>
      <c r="S132" s="1402"/>
      <c r="T132" s="2144"/>
      <c r="U132" s="2017"/>
      <c r="V132" s="2025">
        <f t="shared" si="205"/>
        <v>0</v>
      </c>
      <c r="W132" s="2024">
        <f t="shared" si="206"/>
        <v>0</v>
      </c>
      <c r="Y132" s="1">
        <f t="shared" si="192"/>
        <v>0</v>
      </c>
      <c r="Z132" s="1">
        <f t="shared" si="193"/>
        <v>0</v>
      </c>
      <c r="AA132" s="1">
        <f t="shared" si="194"/>
        <v>0</v>
      </c>
      <c r="AB132" s="1">
        <f t="shared" si="195"/>
        <v>0</v>
      </c>
      <c r="AC132" s="1">
        <f t="shared" si="196"/>
        <v>0</v>
      </c>
      <c r="AD132" s="1">
        <f t="shared" si="197"/>
        <v>0</v>
      </c>
      <c r="AE132" s="1">
        <f t="shared" si="198"/>
        <v>0</v>
      </c>
      <c r="AF132" s="1">
        <f t="shared" si="199"/>
        <v>0</v>
      </c>
      <c r="AG132" s="1">
        <f t="shared" si="200"/>
        <v>0</v>
      </c>
      <c r="AH132" s="1">
        <f t="shared" si="201"/>
        <v>0</v>
      </c>
      <c r="AI132" s="1">
        <f t="shared" si="202"/>
        <v>0</v>
      </c>
      <c r="AJ132" s="1">
        <f t="shared" si="203"/>
        <v>0</v>
      </c>
      <c r="AK132" s="1">
        <f t="shared" si="204"/>
        <v>0</v>
      </c>
      <c r="AM132" s="2149"/>
      <c r="AN132" s="2149"/>
      <c r="AO132" s="2149"/>
      <c r="AP132" s="2149"/>
      <c r="AQ132" s="2149"/>
      <c r="AR132" s="2149"/>
      <c r="AS132" s="2149"/>
      <c r="AT132" s="2149"/>
      <c r="AU132" s="2149"/>
      <c r="AV132" s="2149"/>
      <c r="AW132" s="2149"/>
      <c r="AX132" s="2149"/>
      <c r="AY132" s="2149"/>
      <c r="BA132" s="2014"/>
      <c r="BB132" s="2014" t="e">
        <f t="shared" si="228"/>
        <v>#REF!</v>
      </c>
      <c r="BC132" s="2014"/>
      <c r="BD132" s="2013" t="e">
        <f>BR132*#REF!</f>
        <v>#REF!</v>
      </c>
      <c r="BE132" s="2013" t="e">
        <f>BS132*#REF!</f>
        <v>#REF!</v>
      </c>
      <c r="BF132" s="2013" t="e">
        <f>BT132*#REF!</f>
        <v>#REF!</v>
      </c>
      <c r="BG132" s="2013" t="e">
        <f>BU132*#REF!</f>
        <v>#REF!</v>
      </c>
      <c r="BH132" s="2094" t="e">
        <f>BV132*#REF!</f>
        <v>#REF!</v>
      </c>
      <c r="BI132" s="2013" t="e">
        <f>BW132*#REF!</f>
        <v>#REF!</v>
      </c>
      <c r="BJ132" s="2013" t="e">
        <f>BX132*#REF!</f>
        <v>#REF!</v>
      </c>
      <c r="BK132" s="2013" t="e">
        <f>BY132*#REF!</f>
        <v>#REF!</v>
      </c>
      <c r="BL132" s="2013" t="e">
        <f>BZ132*#REF!</f>
        <v>#REF!</v>
      </c>
      <c r="BM132" s="2013" t="e">
        <f>CA132*#REF!</f>
        <v>#REF!</v>
      </c>
      <c r="BO132" s="2040">
        <f t="shared" si="175"/>
        <v>3.1</v>
      </c>
      <c r="BP132" s="2040" t="str">
        <f t="shared" si="176"/>
        <v>LR1 3b</v>
      </c>
      <c r="BQ132" s="829" t="str">
        <f t="shared" si="177"/>
        <v>空調設備</v>
      </c>
      <c r="BR132" s="2010">
        <f t="shared" si="178"/>
        <v>0</v>
      </c>
      <c r="BS132" s="2010">
        <f t="shared" si="179"/>
        <v>0</v>
      </c>
      <c r="BT132" s="2010">
        <f t="shared" si="180"/>
        <v>0</v>
      </c>
      <c r="BU132" s="2010">
        <f t="shared" si="181"/>
        <v>0</v>
      </c>
      <c r="BV132" s="2093">
        <f t="shared" si="182"/>
        <v>0</v>
      </c>
      <c r="BW132" s="2010">
        <f t="shared" si="183"/>
        <v>0</v>
      </c>
      <c r="BX132" s="2010">
        <f t="shared" si="184"/>
        <v>0</v>
      </c>
      <c r="BY132" s="2010">
        <f t="shared" si="185"/>
        <v>0</v>
      </c>
      <c r="BZ132" s="2010">
        <f t="shared" si="186"/>
        <v>0</v>
      </c>
      <c r="CA132" s="2010">
        <f t="shared" si="187"/>
        <v>0</v>
      </c>
      <c r="CB132" s="2039">
        <f t="shared" si="188"/>
        <v>0</v>
      </c>
      <c r="CC132" s="2010">
        <f t="shared" si="189"/>
        <v>0</v>
      </c>
      <c r="CD132" s="2010">
        <f t="shared" si="190"/>
        <v>0</v>
      </c>
      <c r="CF132" s="1207">
        <v>3.1</v>
      </c>
      <c r="CG132" s="1211" t="s">
        <v>1181</v>
      </c>
      <c r="CH132" s="1208" t="s">
        <v>1058</v>
      </c>
      <c r="CI132" s="1213"/>
      <c r="CJ132" s="1213"/>
      <c r="CK132" s="1213"/>
      <c r="CL132" s="1213"/>
      <c r="CM132" s="1220"/>
      <c r="CN132" s="1213"/>
      <c r="CO132" s="1349">
        <v>0.65</v>
      </c>
      <c r="CP132" s="1213"/>
      <c r="CQ132" s="1213"/>
      <c r="CR132" s="1213"/>
      <c r="CS132" s="1214"/>
      <c r="CT132" s="1213"/>
      <c r="CU132" s="1213"/>
      <c r="CW132" s="1207">
        <v>3.1</v>
      </c>
      <c r="CX132" s="1211" t="s">
        <v>1181</v>
      </c>
      <c r="CY132" s="1208" t="s">
        <v>1058</v>
      </c>
      <c r="CZ132" s="1213"/>
      <c r="DA132" s="1213"/>
      <c r="DB132" s="1213"/>
      <c r="DC132" s="1213"/>
      <c r="DD132" s="1220"/>
      <c r="DE132" s="1213"/>
      <c r="DF132" s="1349">
        <v>0.65</v>
      </c>
      <c r="DG132" s="1213"/>
      <c r="DH132" s="1213"/>
      <c r="DI132" s="1213"/>
      <c r="DJ132" s="1214"/>
      <c r="DK132" s="1213"/>
      <c r="DL132" s="1213"/>
      <c r="DN132" s="1207">
        <v>3.1</v>
      </c>
      <c r="DO132" s="1211" t="s">
        <v>1181</v>
      </c>
      <c r="DP132" s="1208" t="s">
        <v>1058</v>
      </c>
      <c r="DQ132" s="1213"/>
      <c r="DR132" s="1213"/>
      <c r="DS132" s="1213"/>
      <c r="DT132" s="1213"/>
      <c r="DU132" s="1220"/>
      <c r="DV132" s="1213"/>
      <c r="DW132" s="1213"/>
      <c r="DX132" s="1213"/>
      <c r="DY132" s="1213"/>
      <c r="DZ132" s="1213"/>
      <c r="EA132" s="1214"/>
      <c r="EB132" s="1213"/>
      <c r="EC132" s="1213"/>
      <c r="ED132" s="1469"/>
      <c r="EE132">
        <f>ROWS($EE$5:EE131)</f>
        <v>127</v>
      </c>
      <c r="EF132" s="1207">
        <v>3.1</v>
      </c>
      <c r="EG132" s="1211" t="s">
        <v>1181</v>
      </c>
      <c r="EH132" s="1208"/>
      <c r="EI132" s="1689">
        <f t="shared" si="217"/>
        <v>0</v>
      </c>
      <c r="EJ132" s="1689">
        <f t="shared" si="218"/>
        <v>0</v>
      </c>
      <c r="EK132" s="1689">
        <f t="shared" si="219"/>
        <v>0</v>
      </c>
      <c r="EL132" s="1689">
        <f t="shared" si="220"/>
        <v>0</v>
      </c>
      <c r="EM132" s="1701">
        <f t="shared" si="221"/>
        <v>0</v>
      </c>
      <c r="EN132" s="1689">
        <f t="shared" si="222"/>
        <v>0</v>
      </c>
      <c r="EO132" s="1689">
        <f t="shared" si="223"/>
        <v>0</v>
      </c>
      <c r="EP132" s="1689">
        <f t="shared" si="224"/>
        <v>0</v>
      </c>
      <c r="EQ132" s="1689">
        <f t="shared" si="225"/>
        <v>0</v>
      </c>
      <c r="ER132" s="1689">
        <f t="shared" si="226"/>
        <v>0</v>
      </c>
      <c r="ES132" s="1691">
        <f t="shared" si="214"/>
        <v>0</v>
      </c>
      <c r="ET132" s="1689">
        <f t="shared" si="215"/>
        <v>0</v>
      </c>
      <c r="EU132" s="1689">
        <f t="shared" si="216"/>
        <v>0</v>
      </c>
      <c r="EW132" s="1207">
        <v>3.1</v>
      </c>
      <c r="EX132" s="1211" t="s">
        <v>1181</v>
      </c>
      <c r="EY132" s="1208"/>
      <c r="EZ132" s="1678">
        <f t="shared" si="227"/>
        <v>0</v>
      </c>
      <c r="FA132" s="1678"/>
      <c r="FB132" s="1678"/>
      <c r="FC132" s="1678"/>
      <c r="FD132" s="1738"/>
      <c r="FE132" s="1678"/>
      <c r="FF132" s="1678"/>
      <c r="FG132" s="1678"/>
      <c r="FH132" s="1678"/>
      <c r="FI132" s="1678"/>
      <c r="FJ132" s="1795"/>
      <c r="FK132" s="1678"/>
      <c r="FL132" s="1678"/>
    </row>
    <row r="133" spans="2:168" ht="14.25" hidden="1" thickBot="1">
      <c r="B133" s="2023">
        <f t="shared" si="210"/>
        <v>3.2</v>
      </c>
      <c r="C133" s="829" t="str">
        <f t="shared" si="170"/>
        <v>換気設備</v>
      </c>
      <c r="D133" s="2022" t="e">
        <f t="shared" si="229"/>
        <v>#REF!</v>
      </c>
      <c r="E133" s="2021" t="e">
        <f t="shared" si="229"/>
        <v>#REF!</v>
      </c>
      <c r="G133" s="2021" t="e">
        <f t="shared" si="171"/>
        <v>#REF!</v>
      </c>
      <c r="H133" s="2021" t="e">
        <f t="shared" si="172"/>
        <v>#REF!</v>
      </c>
      <c r="I133" s="2021"/>
      <c r="J133" s="2021"/>
      <c r="K133" s="2021" t="e">
        <f>IF(#REF!=0,0,1)</f>
        <v>#REF!</v>
      </c>
      <c r="L133" s="2021" t="e">
        <f>IF(#REF!=0,0,1)</f>
        <v>#REF!</v>
      </c>
      <c r="M133" s="2021">
        <f t="shared" si="173"/>
        <v>0</v>
      </c>
      <c r="N133" s="2021">
        <f t="shared" si="212"/>
        <v>0</v>
      </c>
      <c r="P133" s="2148"/>
      <c r="Q133" s="2146">
        <v>3.2</v>
      </c>
      <c r="R133" s="2145" t="s">
        <v>1059</v>
      </c>
      <c r="S133" s="1402"/>
      <c r="T133" s="2144"/>
      <c r="U133" s="2017"/>
      <c r="V133" s="2038">
        <f t="shared" si="205"/>
        <v>0</v>
      </c>
      <c r="W133" s="2037">
        <f t="shared" si="206"/>
        <v>0</v>
      </c>
      <c r="Y133" s="1">
        <f t="shared" si="192"/>
        <v>0</v>
      </c>
      <c r="Z133" s="1">
        <f t="shared" si="193"/>
        <v>0</v>
      </c>
      <c r="AA133" s="1">
        <f t="shared" si="194"/>
        <v>0</v>
      </c>
      <c r="AB133" s="1">
        <f t="shared" si="195"/>
        <v>0</v>
      </c>
      <c r="AC133" s="1">
        <f t="shared" si="196"/>
        <v>0</v>
      </c>
      <c r="AD133" s="1">
        <f t="shared" si="197"/>
        <v>0</v>
      </c>
      <c r="AE133" s="1">
        <f t="shared" si="198"/>
        <v>0</v>
      </c>
      <c r="AF133" s="1">
        <f t="shared" si="199"/>
        <v>0</v>
      </c>
      <c r="AG133" s="1">
        <f t="shared" si="200"/>
        <v>0</v>
      </c>
      <c r="AH133" s="1">
        <f t="shared" si="201"/>
        <v>0</v>
      </c>
      <c r="AI133" s="1">
        <f t="shared" si="202"/>
        <v>0</v>
      </c>
      <c r="AJ133" s="1">
        <f t="shared" si="203"/>
        <v>0</v>
      </c>
      <c r="AK133" s="1">
        <f t="shared" si="204"/>
        <v>0</v>
      </c>
      <c r="AM133" s="2063"/>
      <c r="AN133" s="2063"/>
      <c r="AO133" s="2063"/>
      <c r="AP133" s="2063"/>
      <c r="AQ133" s="2063"/>
      <c r="AR133" s="2063"/>
      <c r="AS133" s="2063"/>
      <c r="AT133" s="2063"/>
      <c r="AU133" s="2063"/>
      <c r="AV133" s="2063"/>
      <c r="AW133" s="2063"/>
      <c r="AX133" s="2063"/>
      <c r="AY133" s="2063"/>
      <c r="BA133" s="2014"/>
      <c r="BB133" s="2014" t="e">
        <f t="shared" si="228"/>
        <v>#REF!</v>
      </c>
      <c r="BC133" s="2014"/>
      <c r="BD133" s="2013" t="e">
        <f>BR133*#REF!</f>
        <v>#REF!</v>
      </c>
      <c r="BE133" s="2013" t="e">
        <f>BS133*#REF!</f>
        <v>#REF!</v>
      </c>
      <c r="BF133" s="2013" t="e">
        <f>BT133*#REF!</f>
        <v>#REF!</v>
      </c>
      <c r="BG133" s="2013" t="e">
        <f>BU133*#REF!</f>
        <v>#REF!</v>
      </c>
      <c r="BH133" s="2094" t="e">
        <f>BV133*#REF!</f>
        <v>#REF!</v>
      </c>
      <c r="BI133" s="2013" t="e">
        <f>BW133*#REF!</f>
        <v>#REF!</v>
      </c>
      <c r="BJ133" s="2013" t="e">
        <f>BX133*#REF!</f>
        <v>#REF!</v>
      </c>
      <c r="BK133" s="2013" t="e">
        <f>BY133*#REF!</f>
        <v>#REF!</v>
      </c>
      <c r="BL133" s="2013" t="e">
        <f>BZ133*#REF!</f>
        <v>#REF!</v>
      </c>
      <c r="BM133" s="2013" t="e">
        <f>CA133*#REF!</f>
        <v>#REF!</v>
      </c>
      <c r="BO133" s="2040">
        <f t="shared" si="175"/>
        <v>3.2</v>
      </c>
      <c r="BP133" s="2040" t="str">
        <f t="shared" si="176"/>
        <v>LR1 3b</v>
      </c>
      <c r="BQ133" s="829" t="str">
        <f t="shared" si="177"/>
        <v>換気設備</v>
      </c>
      <c r="BR133" s="2010">
        <f t="shared" si="178"/>
        <v>0</v>
      </c>
      <c r="BS133" s="2010">
        <f t="shared" si="179"/>
        <v>0</v>
      </c>
      <c r="BT133" s="2010">
        <f t="shared" si="180"/>
        <v>0</v>
      </c>
      <c r="BU133" s="2010">
        <f t="shared" si="181"/>
        <v>0</v>
      </c>
      <c r="BV133" s="2093">
        <f t="shared" si="182"/>
        <v>0</v>
      </c>
      <c r="BW133" s="2010">
        <f t="shared" si="183"/>
        <v>0</v>
      </c>
      <c r="BX133" s="2010">
        <f t="shared" si="184"/>
        <v>0</v>
      </c>
      <c r="BY133" s="2010">
        <f t="shared" si="185"/>
        <v>0</v>
      </c>
      <c r="BZ133" s="2010">
        <f t="shared" si="186"/>
        <v>0</v>
      </c>
      <c r="CA133" s="2010">
        <f t="shared" si="187"/>
        <v>0</v>
      </c>
      <c r="CB133" s="2039">
        <f t="shared" si="188"/>
        <v>0</v>
      </c>
      <c r="CC133" s="2010">
        <f t="shared" si="189"/>
        <v>0</v>
      </c>
      <c r="CD133" s="2010">
        <f t="shared" si="190"/>
        <v>0</v>
      </c>
      <c r="CF133" s="1207">
        <v>3.2</v>
      </c>
      <c r="CG133" s="1211" t="s">
        <v>1181</v>
      </c>
      <c r="CH133" s="1208" t="s">
        <v>1059</v>
      </c>
      <c r="CI133" s="1213"/>
      <c r="CJ133" s="1213"/>
      <c r="CK133" s="1213"/>
      <c r="CL133" s="1213"/>
      <c r="CM133" s="1220"/>
      <c r="CN133" s="1213"/>
      <c r="CO133" s="1349">
        <v>0.1</v>
      </c>
      <c r="CP133" s="1213"/>
      <c r="CQ133" s="1213"/>
      <c r="CR133" s="1213"/>
      <c r="CS133" s="1214"/>
      <c r="CT133" s="1213"/>
      <c r="CU133" s="1213"/>
      <c r="CW133" s="1207">
        <v>3.2</v>
      </c>
      <c r="CX133" s="1211" t="s">
        <v>1181</v>
      </c>
      <c r="CY133" s="1208" t="s">
        <v>1059</v>
      </c>
      <c r="CZ133" s="1213"/>
      <c r="DA133" s="1213"/>
      <c r="DB133" s="1213"/>
      <c r="DC133" s="1213"/>
      <c r="DD133" s="1220"/>
      <c r="DE133" s="1213"/>
      <c r="DF133" s="1349">
        <v>0.1</v>
      </c>
      <c r="DG133" s="1213"/>
      <c r="DH133" s="1213"/>
      <c r="DI133" s="1213"/>
      <c r="DJ133" s="1214"/>
      <c r="DK133" s="1213"/>
      <c r="DL133" s="1213"/>
      <c r="DN133" s="1207">
        <v>3.2</v>
      </c>
      <c r="DO133" s="1211" t="s">
        <v>1181</v>
      </c>
      <c r="DP133" s="1208" t="s">
        <v>1059</v>
      </c>
      <c r="DQ133" s="1213"/>
      <c r="DR133" s="1213"/>
      <c r="DS133" s="1213"/>
      <c r="DT133" s="1213"/>
      <c r="DU133" s="1220"/>
      <c r="DV133" s="1213"/>
      <c r="DW133" s="1213"/>
      <c r="DX133" s="1213"/>
      <c r="DY133" s="1213"/>
      <c r="DZ133" s="1213"/>
      <c r="EA133" s="1214"/>
      <c r="EB133" s="1213"/>
      <c r="EC133" s="1213"/>
      <c r="ED133" s="1469"/>
      <c r="EE133">
        <f>ROWS($EE$5:EE132)</f>
        <v>128</v>
      </c>
      <c r="EF133" s="1207">
        <v>3.2</v>
      </c>
      <c r="EG133" s="1211" t="s">
        <v>1181</v>
      </c>
      <c r="EH133" s="1208"/>
      <c r="EI133" s="1689">
        <f t="shared" si="217"/>
        <v>0</v>
      </c>
      <c r="EJ133" s="1689">
        <f t="shared" si="218"/>
        <v>0</v>
      </c>
      <c r="EK133" s="1689">
        <f t="shared" si="219"/>
        <v>0</v>
      </c>
      <c r="EL133" s="1689">
        <f t="shared" si="220"/>
        <v>0</v>
      </c>
      <c r="EM133" s="1701">
        <f t="shared" si="221"/>
        <v>0</v>
      </c>
      <c r="EN133" s="1689">
        <f t="shared" si="222"/>
        <v>0</v>
      </c>
      <c r="EO133" s="1689">
        <f t="shared" si="223"/>
        <v>0</v>
      </c>
      <c r="EP133" s="1689">
        <f t="shared" si="224"/>
        <v>0</v>
      </c>
      <c r="EQ133" s="1689">
        <f t="shared" si="225"/>
        <v>0</v>
      </c>
      <c r="ER133" s="1689">
        <f t="shared" si="226"/>
        <v>0</v>
      </c>
      <c r="ES133" s="1691">
        <f t="shared" si="214"/>
        <v>0</v>
      </c>
      <c r="ET133" s="1689">
        <f t="shared" si="215"/>
        <v>0</v>
      </c>
      <c r="EU133" s="1689">
        <f t="shared" si="216"/>
        <v>0</v>
      </c>
      <c r="EW133" s="1207">
        <v>3.2</v>
      </c>
      <c r="EX133" s="1211" t="s">
        <v>1181</v>
      </c>
      <c r="EY133" s="1208"/>
      <c r="EZ133" s="1678">
        <f t="shared" si="227"/>
        <v>0</v>
      </c>
      <c r="FA133" s="1678"/>
      <c r="FB133" s="1678"/>
      <c r="FC133" s="1678"/>
      <c r="FD133" s="1738"/>
      <c r="FE133" s="1678"/>
      <c r="FF133" s="1678"/>
      <c r="FG133" s="1678"/>
      <c r="FH133" s="1678"/>
      <c r="FI133" s="1678"/>
      <c r="FJ133" s="1795"/>
      <c r="FK133" s="1678"/>
      <c r="FL133" s="1678"/>
    </row>
    <row r="134" spans="2:168" ht="14.25" hidden="1" thickBot="1">
      <c r="B134" s="2023">
        <f t="shared" si="210"/>
        <v>3.3</v>
      </c>
      <c r="C134" s="829" t="str">
        <f t="shared" si="170"/>
        <v>照明設備</v>
      </c>
      <c r="D134" s="2022" t="e">
        <f t="shared" si="229"/>
        <v>#REF!</v>
      </c>
      <c r="E134" s="2021" t="e">
        <f t="shared" si="229"/>
        <v>#REF!</v>
      </c>
      <c r="G134" s="2021" t="e">
        <f t="shared" si="171"/>
        <v>#REF!</v>
      </c>
      <c r="H134" s="2021" t="e">
        <f t="shared" si="172"/>
        <v>#REF!</v>
      </c>
      <c r="I134" s="2021"/>
      <c r="J134" s="2021"/>
      <c r="K134" s="2021" t="e">
        <f>IF(#REF!=0,0,1)</f>
        <v>#REF!</v>
      </c>
      <c r="L134" s="2021" t="e">
        <f>IF(#REF!=0,0,1)</f>
        <v>#REF!</v>
      </c>
      <c r="M134" s="2021">
        <f t="shared" si="173"/>
        <v>0</v>
      </c>
      <c r="N134" s="2021">
        <f t="shared" si="212"/>
        <v>0</v>
      </c>
      <c r="P134" s="2148"/>
      <c r="Q134" s="2146">
        <v>3.3</v>
      </c>
      <c r="R134" s="2145" t="s">
        <v>1060</v>
      </c>
      <c r="S134" s="1402"/>
      <c r="T134" s="2144"/>
      <c r="U134" s="2017"/>
      <c r="V134" s="2038">
        <f t="shared" si="205"/>
        <v>0</v>
      </c>
      <c r="W134" s="2037">
        <f t="shared" si="206"/>
        <v>0</v>
      </c>
      <c r="Y134" s="1">
        <f t="shared" si="192"/>
        <v>0</v>
      </c>
      <c r="Z134" s="1">
        <f t="shared" si="193"/>
        <v>0</v>
      </c>
      <c r="AA134" s="1">
        <f t="shared" si="194"/>
        <v>0</v>
      </c>
      <c r="AB134" s="1">
        <f t="shared" si="195"/>
        <v>0</v>
      </c>
      <c r="AC134" s="1">
        <f t="shared" si="196"/>
        <v>0</v>
      </c>
      <c r="AD134" s="1">
        <f t="shared" si="197"/>
        <v>0</v>
      </c>
      <c r="AE134" s="1">
        <f t="shared" si="198"/>
        <v>0</v>
      </c>
      <c r="AF134" s="1">
        <f t="shared" si="199"/>
        <v>0</v>
      </c>
      <c r="AG134" s="1">
        <f t="shared" si="200"/>
        <v>0</v>
      </c>
      <c r="AH134" s="1">
        <f t="shared" si="201"/>
        <v>0</v>
      </c>
      <c r="AI134" s="1">
        <f t="shared" si="202"/>
        <v>0</v>
      </c>
      <c r="AJ134" s="1">
        <f t="shared" si="203"/>
        <v>0</v>
      </c>
      <c r="AK134" s="1">
        <f t="shared" si="204"/>
        <v>0</v>
      </c>
      <c r="AM134" s="2063"/>
      <c r="AN134" s="2063"/>
      <c r="AO134" s="2063"/>
      <c r="AP134" s="2063"/>
      <c r="AQ134" s="2063"/>
      <c r="AR134" s="2063"/>
      <c r="AS134" s="2063"/>
      <c r="AT134" s="2063"/>
      <c r="AU134" s="2063"/>
      <c r="AV134" s="2063"/>
      <c r="AW134" s="2063"/>
      <c r="AX134" s="2063"/>
      <c r="AY134" s="2063"/>
      <c r="BA134" s="2014"/>
      <c r="BB134" s="2014" t="e">
        <f t="shared" si="228"/>
        <v>#REF!</v>
      </c>
      <c r="BC134" s="2014"/>
      <c r="BD134" s="2013" t="e">
        <f>BR134*#REF!</f>
        <v>#REF!</v>
      </c>
      <c r="BE134" s="2013" t="e">
        <f>BS134*#REF!</f>
        <v>#REF!</v>
      </c>
      <c r="BF134" s="2013" t="e">
        <f>BT134*#REF!</f>
        <v>#REF!</v>
      </c>
      <c r="BG134" s="2013" t="e">
        <f>BU134*#REF!</f>
        <v>#REF!</v>
      </c>
      <c r="BH134" s="2094" t="e">
        <f>BV134*#REF!</f>
        <v>#REF!</v>
      </c>
      <c r="BI134" s="2013" t="e">
        <f>BW134*#REF!</f>
        <v>#REF!</v>
      </c>
      <c r="BJ134" s="2013" t="e">
        <f>BX134*#REF!</f>
        <v>#REF!</v>
      </c>
      <c r="BK134" s="2013" t="e">
        <f>BY134*#REF!</f>
        <v>#REF!</v>
      </c>
      <c r="BL134" s="2013" t="e">
        <f>BZ134*#REF!</f>
        <v>#REF!</v>
      </c>
      <c r="BM134" s="2013" t="e">
        <f>CA134*#REF!</f>
        <v>#REF!</v>
      </c>
      <c r="BO134" s="2040">
        <f t="shared" si="175"/>
        <v>3.3</v>
      </c>
      <c r="BP134" s="2040" t="str">
        <f t="shared" si="176"/>
        <v>LR1 3b</v>
      </c>
      <c r="BQ134" s="829" t="str">
        <f t="shared" si="177"/>
        <v>照明設備</v>
      </c>
      <c r="BR134" s="2010">
        <f t="shared" si="178"/>
        <v>0</v>
      </c>
      <c r="BS134" s="2010">
        <f t="shared" si="179"/>
        <v>0</v>
      </c>
      <c r="BT134" s="2010">
        <f t="shared" si="180"/>
        <v>0</v>
      </c>
      <c r="BU134" s="2010">
        <f t="shared" si="181"/>
        <v>0</v>
      </c>
      <c r="BV134" s="2093">
        <f t="shared" si="182"/>
        <v>0</v>
      </c>
      <c r="BW134" s="2010">
        <f t="shared" si="183"/>
        <v>0</v>
      </c>
      <c r="BX134" s="2010">
        <f t="shared" si="184"/>
        <v>0</v>
      </c>
      <c r="BY134" s="2010">
        <f t="shared" si="185"/>
        <v>0</v>
      </c>
      <c r="BZ134" s="2010">
        <f t="shared" si="186"/>
        <v>0</v>
      </c>
      <c r="CA134" s="2010">
        <f t="shared" si="187"/>
        <v>0</v>
      </c>
      <c r="CB134" s="2039">
        <f t="shared" si="188"/>
        <v>0</v>
      </c>
      <c r="CC134" s="2010">
        <f t="shared" si="189"/>
        <v>0</v>
      </c>
      <c r="CD134" s="2010">
        <f t="shared" si="190"/>
        <v>0</v>
      </c>
      <c r="CF134" s="1207">
        <v>3.3</v>
      </c>
      <c r="CG134" s="1211" t="s">
        <v>1181</v>
      </c>
      <c r="CH134" s="1208" t="s">
        <v>1060</v>
      </c>
      <c r="CI134" s="1213"/>
      <c r="CJ134" s="1213"/>
      <c r="CK134" s="1213"/>
      <c r="CL134" s="1213"/>
      <c r="CM134" s="1220"/>
      <c r="CN134" s="1213"/>
      <c r="CO134" s="1349">
        <v>0.2</v>
      </c>
      <c r="CP134" s="1213"/>
      <c r="CQ134" s="1213"/>
      <c r="CR134" s="1213"/>
      <c r="CS134" s="1214"/>
      <c r="CT134" s="1213"/>
      <c r="CU134" s="1213"/>
      <c r="CW134" s="1207">
        <v>3.3</v>
      </c>
      <c r="CX134" s="1211" t="s">
        <v>1181</v>
      </c>
      <c r="CY134" s="1208" t="s">
        <v>1060</v>
      </c>
      <c r="CZ134" s="1213"/>
      <c r="DA134" s="1213"/>
      <c r="DB134" s="1213"/>
      <c r="DC134" s="1213"/>
      <c r="DD134" s="1220"/>
      <c r="DE134" s="1213"/>
      <c r="DF134" s="1349">
        <v>0.2</v>
      </c>
      <c r="DG134" s="1213"/>
      <c r="DH134" s="1213"/>
      <c r="DI134" s="1213"/>
      <c r="DJ134" s="1214"/>
      <c r="DK134" s="1213"/>
      <c r="DL134" s="1213"/>
      <c r="DN134" s="1207">
        <v>3.3</v>
      </c>
      <c r="DO134" s="1211" t="s">
        <v>1181</v>
      </c>
      <c r="DP134" s="1208" t="s">
        <v>1060</v>
      </c>
      <c r="DQ134" s="1213"/>
      <c r="DR134" s="1213"/>
      <c r="DS134" s="1213"/>
      <c r="DT134" s="1213"/>
      <c r="DU134" s="1220"/>
      <c r="DV134" s="1213"/>
      <c r="DW134" s="1213"/>
      <c r="DX134" s="1213"/>
      <c r="DY134" s="1213"/>
      <c r="DZ134" s="1213"/>
      <c r="EA134" s="1214"/>
      <c r="EB134" s="1213"/>
      <c r="EC134" s="1213"/>
      <c r="ED134" s="1469"/>
      <c r="EE134">
        <f>ROWS($EE$5:EE133)</f>
        <v>129</v>
      </c>
      <c r="EF134" s="1207">
        <v>3.3</v>
      </c>
      <c r="EG134" s="1211" t="s">
        <v>1181</v>
      </c>
      <c r="EH134" s="1208"/>
      <c r="EI134" s="1689">
        <f t="shared" si="217"/>
        <v>0</v>
      </c>
      <c r="EJ134" s="1689">
        <f t="shared" si="218"/>
        <v>0</v>
      </c>
      <c r="EK134" s="1689">
        <f t="shared" si="219"/>
        <v>0</v>
      </c>
      <c r="EL134" s="1689">
        <f t="shared" si="220"/>
        <v>0</v>
      </c>
      <c r="EM134" s="1701">
        <f t="shared" si="221"/>
        <v>0</v>
      </c>
      <c r="EN134" s="1689">
        <f t="shared" si="222"/>
        <v>0</v>
      </c>
      <c r="EO134" s="1689">
        <f t="shared" si="223"/>
        <v>0</v>
      </c>
      <c r="EP134" s="1689">
        <f t="shared" si="224"/>
        <v>0</v>
      </c>
      <c r="EQ134" s="1689">
        <f t="shared" si="225"/>
        <v>0</v>
      </c>
      <c r="ER134" s="1689">
        <f t="shared" si="226"/>
        <v>0</v>
      </c>
      <c r="ES134" s="1691">
        <f t="shared" si="214"/>
        <v>0</v>
      </c>
      <c r="ET134" s="1689">
        <f t="shared" si="215"/>
        <v>0</v>
      </c>
      <c r="EU134" s="1689">
        <f t="shared" si="216"/>
        <v>0</v>
      </c>
      <c r="EW134" s="1207">
        <v>3.3</v>
      </c>
      <c r="EX134" s="1211" t="s">
        <v>1181</v>
      </c>
      <c r="EY134" s="1208"/>
      <c r="EZ134" s="1678">
        <f t="shared" si="227"/>
        <v>0</v>
      </c>
      <c r="FA134" s="1678"/>
      <c r="FB134" s="1678"/>
      <c r="FC134" s="1678"/>
      <c r="FD134" s="1738"/>
      <c r="FE134" s="1678"/>
      <c r="FF134" s="1678"/>
      <c r="FG134" s="1678"/>
      <c r="FH134" s="1678"/>
      <c r="FI134" s="1678"/>
      <c r="FJ134" s="1795"/>
      <c r="FK134" s="1678"/>
      <c r="FL134" s="1678"/>
    </row>
    <row r="135" spans="2:168" ht="14.25" hidden="1" thickBot="1">
      <c r="B135" s="2023">
        <f t="shared" si="210"/>
        <v>3.4</v>
      </c>
      <c r="C135" s="829" t="str">
        <f t="shared" si="170"/>
        <v>給湯設備</v>
      </c>
      <c r="D135" s="2022" t="e">
        <f t="shared" si="229"/>
        <v>#REF!</v>
      </c>
      <c r="E135" s="2021" t="e">
        <f t="shared" si="229"/>
        <v>#REF!</v>
      </c>
      <c r="G135" s="2021" t="e">
        <f t="shared" si="171"/>
        <v>#REF!</v>
      </c>
      <c r="H135" s="2021" t="e">
        <f t="shared" si="172"/>
        <v>#REF!</v>
      </c>
      <c r="I135" s="2021"/>
      <c r="J135" s="2021"/>
      <c r="K135" s="2021" t="e">
        <f>IF(#REF!=0,0,1)</f>
        <v>#REF!</v>
      </c>
      <c r="L135" s="2021" t="e">
        <f>IF(#REF!=0,0,1)</f>
        <v>#REF!</v>
      </c>
      <c r="M135" s="2021">
        <f t="shared" si="173"/>
        <v>0</v>
      </c>
      <c r="N135" s="2021">
        <f t="shared" si="212"/>
        <v>0</v>
      </c>
      <c r="P135" s="2148"/>
      <c r="Q135" s="2146">
        <v>3.4</v>
      </c>
      <c r="R135" s="2145" t="s">
        <v>1061</v>
      </c>
      <c r="S135" s="1402"/>
      <c r="T135" s="2144"/>
      <c r="U135" s="2017"/>
      <c r="V135" s="2038">
        <f t="shared" si="205"/>
        <v>0</v>
      </c>
      <c r="W135" s="2037">
        <f t="shared" si="206"/>
        <v>0</v>
      </c>
      <c r="Y135" s="1">
        <f t="shared" si="192"/>
        <v>0</v>
      </c>
      <c r="Z135" s="1">
        <f t="shared" si="193"/>
        <v>0</v>
      </c>
      <c r="AA135" s="1">
        <f t="shared" si="194"/>
        <v>0</v>
      </c>
      <c r="AB135" s="1">
        <f t="shared" si="195"/>
        <v>0</v>
      </c>
      <c r="AC135" s="1">
        <f t="shared" si="196"/>
        <v>0</v>
      </c>
      <c r="AD135" s="1">
        <f t="shared" si="197"/>
        <v>0</v>
      </c>
      <c r="AE135" s="1">
        <f t="shared" si="198"/>
        <v>0</v>
      </c>
      <c r="AF135" s="1">
        <f t="shared" si="199"/>
        <v>0</v>
      </c>
      <c r="AG135" s="1">
        <f t="shared" si="200"/>
        <v>0</v>
      </c>
      <c r="AH135" s="1">
        <f t="shared" si="201"/>
        <v>0</v>
      </c>
      <c r="AI135" s="1">
        <f t="shared" si="202"/>
        <v>0</v>
      </c>
      <c r="AJ135" s="1">
        <f t="shared" si="203"/>
        <v>0</v>
      </c>
      <c r="AK135" s="1">
        <f t="shared" si="204"/>
        <v>0</v>
      </c>
      <c r="AM135" s="2063"/>
      <c r="AN135" s="2063"/>
      <c r="AO135" s="2063"/>
      <c r="AP135" s="2063"/>
      <c r="AQ135" s="2063"/>
      <c r="AR135" s="2063"/>
      <c r="AS135" s="2063"/>
      <c r="AT135" s="2063"/>
      <c r="AU135" s="2063"/>
      <c r="AV135" s="2063"/>
      <c r="AW135" s="2063"/>
      <c r="AX135" s="2063"/>
      <c r="AY135" s="2063"/>
      <c r="BA135" s="2014"/>
      <c r="BB135" s="2014" t="e">
        <f t="shared" si="228"/>
        <v>#REF!</v>
      </c>
      <c r="BC135" s="2014"/>
      <c r="BD135" s="2013" t="e">
        <f>BR135*#REF!</f>
        <v>#REF!</v>
      </c>
      <c r="BE135" s="2013" t="e">
        <f>BS135*#REF!</f>
        <v>#REF!</v>
      </c>
      <c r="BF135" s="2013" t="e">
        <f>BT135*#REF!</f>
        <v>#REF!</v>
      </c>
      <c r="BG135" s="2013" t="e">
        <f>BU135*#REF!</f>
        <v>#REF!</v>
      </c>
      <c r="BH135" s="2094" t="e">
        <f>BV135*#REF!</f>
        <v>#REF!</v>
      </c>
      <c r="BI135" s="2013" t="e">
        <f>BW135*#REF!</f>
        <v>#REF!</v>
      </c>
      <c r="BJ135" s="2013" t="e">
        <f>BX135*#REF!</f>
        <v>#REF!</v>
      </c>
      <c r="BK135" s="2013" t="e">
        <f>BY135*#REF!</f>
        <v>#REF!</v>
      </c>
      <c r="BL135" s="2013" t="e">
        <f>BZ135*#REF!</f>
        <v>#REF!</v>
      </c>
      <c r="BM135" s="2013" t="e">
        <f>CA135*#REF!</f>
        <v>#REF!</v>
      </c>
      <c r="BO135" s="2128">
        <f t="shared" si="175"/>
        <v>3.4</v>
      </c>
      <c r="BP135" s="2040" t="str">
        <f t="shared" si="176"/>
        <v>LR1 3b</v>
      </c>
      <c r="BQ135" s="829" t="str">
        <f t="shared" si="177"/>
        <v>給湯設備</v>
      </c>
      <c r="BR135" s="2010">
        <f t="shared" si="178"/>
        <v>0</v>
      </c>
      <c r="BS135" s="2010">
        <f t="shared" si="179"/>
        <v>0</v>
      </c>
      <c r="BT135" s="2010">
        <f t="shared" si="180"/>
        <v>0</v>
      </c>
      <c r="BU135" s="2010">
        <f t="shared" si="181"/>
        <v>0</v>
      </c>
      <c r="BV135" s="2093">
        <f t="shared" si="182"/>
        <v>0</v>
      </c>
      <c r="BW135" s="2010">
        <f t="shared" si="183"/>
        <v>0</v>
      </c>
      <c r="BX135" s="2010">
        <f t="shared" si="184"/>
        <v>0</v>
      </c>
      <c r="BY135" s="2010">
        <f t="shared" si="185"/>
        <v>0</v>
      </c>
      <c r="BZ135" s="2010">
        <f t="shared" si="186"/>
        <v>0</v>
      </c>
      <c r="CA135" s="2010">
        <f t="shared" si="187"/>
        <v>0</v>
      </c>
      <c r="CB135" s="2039">
        <f t="shared" si="188"/>
        <v>0</v>
      </c>
      <c r="CC135" s="2010">
        <f t="shared" si="189"/>
        <v>0</v>
      </c>
      <c r="CD135" s="2010">
        <f t="shared" si="190"/>
        <v>0</v>
      </c>
      <c r="CF135" s="1264">
        <v>3.4</v>
      </c>
      <c r="CG135" s="1211" t="s">
        <v>1181</v>
      </c>
      <c r="CH135" s="1208" t="s">
        <v>1061</v>
      </c>
      <c r="CI135" s="1213"/>
      <c r="CJ135" s="1213"/>
      <c r="CK135" s="1213"/>
      <c r="CL135" s="1213"/>
      <c r="CM135" s="1220"/>
      <c r="CN135" s="1213"/>
      <c r="CO135" s="1349">
        <v>0.05</v>
      </c>
      <c r="CP135" s="1213"/>
      <c r="CQ135" s="1213"/>
      <c r="CR135" s="1213"/>
      <c r="CS135" s="1214"/>
      <c r="CT135" s="1213"/>
      <c r="CU135" s="1213"/>
      <c r="CW135" s="1264">
        <v>3.4</v>
      </c>
      <c r="CX135" s="1211" t="s">
        <v>1181</v>
      </c>
      <c r="CY135" s="1208" t="s">
        <v>1061</v>
      </c>
      <c r="CZ135" s="1213"/>
      <c r="DA135" s="1213"/>
      <c r="DB135" s="1213"/>
      <c r="DC135" s="1213"/>
      <c r="DD135" s="1220"/>
      <c r="DE135" s="1213"/>
      <c r="DF135" s="1349">
        <v>0.05</v>
      </c>
      <c r="DG135" s="1213"/>
      <c r="DH135" s="1213"/>
      <c r="DI135" s="1213"/>
      <c r="DJ135" s="1214"/>
      <c r="DK135" s="1213"/>
      <c r="DL135" s="1213"/>
      <c r="DN135" s="1264">
        <v>3.4</v>
      </c>
      <c r="DO135" s="1211" t="s">
        <v>3155</v>
      </c>
      <c r="DP135" s="1208" t="s">
        <v>1061</v>
      </c>
      <c r="DQ135" s="1213"/>
      <c r="DR135" s="1213"/>
      <c r="DS135" s="1213"/>
      <c r="DT135" s="1213"/>
      <c r="DU135" s="1220"/>
      <c r="DV135" s="1213"/>
      <c r="DW135" s="1213"/>
      <c r="DX135" s="1213"/>
      <c r="DY135" s="1213"/>
      <c r="DZ135" s="1213"/>
      <c r="EA135" s="1214"/>
      <c r="EB135" s="1213"/>
      <c r="EC135" s="1213"/>
      <c r="ED135" s="1469"/>
      <c r="EE135">
        <f>ROWS($EE$5:EE134)</f>
        <v>130</v>
      </c>
      <c r="EF135" s="1264">
        <v>3.4</v>
      </c>
      <c r="EG135" s="1211" t="s">
        <v>3155</v>
      </c>
      <c r="EH135" s="1208"/>
      <c r="EI135" s="1689">
        <f t="shared" si="217"/>
        <v>0</v>
      </c>
      <c r="EJ135" s="1689">
        <f t="shared" si="218"/>
        <v>0</v>
      </c>
      <c r="EK135" s="1689">
        <f t="shared" si="219"/>
        <v>0</v>
      </c>
      <c r="EL135" s="1689">
        <f t="shared" si="220"/>
        <v>0</v>
      </c>
      <c r="EM135" s="1701">
        <f t="shared" si="221"/>
        <v>0</v>
      </c>
      <c r="EN135" s="1689">
        <f t="shared" si="222"/>
        <v>0</v>
      </c>
      <c r="EO135" s="1689">
        <f t="shared" si="223"/>
        <v>0</v>
      </c>
      <c r="EP135" s="1689">
        <f t="shared" si="224"/>
        <v>0</v>
      </c>
      <c r="EQ135" s="1689">
        <f t="shared" si="225"/>
        <v>0</v>
      </c>
      <c r="ER135" s="1689">
        <f t="shared" si="226"/>
        <v>0</v>
      </c>
      <c r="ES135" s="1691">
        <f t="shared" si="214"/>
        <v>0</v>
      </c>
      <c r="ET135" s="1689">
        <f t="shared" si="215"/>
        <v>0</v>
      </c>
      <c r="EU135" s="1689">
        <f t="shared" si="216"/>
        <v>0</v>
      </c>
      <c r="EW135" s="1264">
        <v>3.4</v>
      </c>
      <c r="EX135" s="1211" t="s">
        <v>1181</v>
      </c>
      <c r="EY135" s="1208"/>
      <c r="EZ135" s="1678">
        <f t="shared" si="227"/>
        <v>0</v>
      </c>
      <c r="FA135" s="1678"/>
      <c r="FB135" s="1678"/>
      <c r="FC135" s="1678"/>
      <c r="FD135" s="1738"/>
      <c r="FE135" s="1678"/>
      <c r="FF135" s="1678"/>
      <c r="FG135" s="1678"/>
      <c r="FH135" s="1678"/>
      <c r="FI135" s="1678"/>
      <c r="FJ135" s="1795"/>
      <c r="FK135" s="1678"/>
      <c r="FL135" s="1678"/>
    </row>
    <row r="136" spans="2:168" ht="14.25" hidden="1" thickBot="1">
      <c r="B136" s="2023">
        <f t="shared" si="210"/>
        <v>3.5</v>
      </c>
      <c r="C136" s="829" t="str">
        <f t="shared" si="170"/>
        <v>昇降機設備</v>
      </c>
      <c r="D136" s="2022" t="e">
        <f t="shared" si="229"/>
        <v>#REF!</v>
      </c>
      <c r="E136" s="2021" t="e">
        <f t="shared" si="229"/>
        <v>#REF!</v>
      </c>
      <c r="G136" s="2021" t="e">
        <f t="shared" si="171"/>
        <v>#REF!</v>
      </c>
      <c r="H136" s="2021" t="e">
        <f t="shared" si="172"/>
        <v>#REF!</v>
      </c>
      <c r="I136" s="2021"/>
      <c r="J136" s="2021"/>
      <c r="K136" s="2021" t="e">
        <f>IF(#REF!=0,0,1)</f>
        <v>#REF!</v>
      </c>
      <c r="L136" s="2021" t="e">
        <f>IF(#REF!=0,0,1)</f>
        <v>#REF!</v>
      </c>
      <c r="M136" s="2021">
        <f t="shared" si="173"/>
        <v>0</v>
      </c>
      <c r="N136" s="2021">
        <f t="shared" si="212"/>
        <v>0</v>
      </c>
      <c r="P136" s="2148"/>
      <c r="Q136" s="2146">
        <v>3.5</v>
      </c>
      <c r="R136" s="2145" t="s">
        <v>1062</v>
      </c>
      <c r="S136" s="1402"/>
      <c r="T136" s="2144"/>
      <c r="U136" s="2017"/>
      <c r="V136" s="2038">
        <f t="shared" si="205"/>
        <v>0</v>
      </c>
      <c r="W136" s="2037">
        <f t="shared" si="206"/>
        <v>0</v>
      </c>
      <c r="Y136" s="1">
        <f t="shared" si="192"/>
        <v>0</v>
      </c>
      <c r="Z136" s="1">
        <f t="shared" si="193"/>
        <v>0</v>
      </c>
      <c r="AA136" s="1">
        <f t="shared" si="194"/>
        <v>0</v>
      </c>
      <c r="AB136" s="1">
        <f t="shared" si="195"/>
        <v>0</v>
      </c>
      <c r="AC136" s="1">
        <f t="shared" si="196"/>
        <v>0</v>
      </c>
      <c r="AD136" s="1">
        <f t="shared" si="197"/>
        <v>0</v>
      </c>
      <c r="AE136" s="1">
        <f t="shared" si="198"/>
        <v>0</v>
      </c>
      <c r="AF136" s="1">
        <f t="shared" si="199"/>
        <v>0</v>
      </c>
      <c r="AG136" s="1">
        <f t="shared" si="200"/>
        <v>0</v>
      </c>
      <c r="AH136" s="1">
        <f t="shared" si="201"/>
        <v>0</v>
      </c>
      <c r="AI136" s="1">
        <f t="shared" si="202"/>
        <v>0</v>
      </c>
      <c r="AJ136" s="1">
        <f t="shared" si="203"/>
        <v>0</v>
      </c>
      <c r="AK136" s="1">
        <f t="shared" si="204"/>
        <v>0</v>
      </c>
      <c r="AM136" s="2063"/>
      <c r="AN136" s="2063"/>
      <c r="AO136" s="2063"/>
      <c r="AP136" s="2063"/>
      <c r="AQ136" s="2063"/>
      <c r="AR136" s="2063"/>
      <c r="AS136" s="2063"/>
      <c r="AT136" s="2063"/>
      <c r="AU136" s="2063"/>
      <c r="AV136" s="2063"/>
      <c r="AW136" s="2063"/>
      <c r="AX136" s="2063"/>
      <c r="AY136" s="2063"/>
      <c r="BA136" s="2014"/>
      <c r="BB136" s="2014" t="e">
        <f t="shared" si="228"/>
        <v>#REF!</v>
      </c>
      <c r="BC136" s="2014"/>
      <c r="BD136" s="2013" t="e">
        <f>BR136*#REF!</f>
        <v>#REF!</v>
      </c>
      <c r="BE136" s="2013" t="e">
        <f>BS136*#REF!</f>
        <v>#REF!</v>
      </c>
      <c r="BF136" s="2013" t="e">
        <f>BT136*#REF!</f>
        <v>#REF!</v>
      </c>
      <c r="BG136" s="2013" t="e">
        <f>BU136*#REF!</f>
        <v>#REF!</v>
      </c>
      <c r="BH136" s="2094" t="e">
        <f>BV136*#REF!</f>
        <v>#REF!</v>
      </c>
      <c r="BI136" s="2013" t="e">
        <f>BW136*#REF!</f>
        <v>#REF!</v>
      </c>
      <c r="BJ136" s="2013" t="e">
        <f>BX136*#REF!</f>
        <v>#REF!</v>
      </c>
      <c r="BK136" s="2013" t="e">
        <f>BY136*#REF!</f>
        <v>#REF!</v>
      </c>
      <c r="BL136" s="2013" t="e">
        <f>BZ136*#REF!</f>
        <v>#REF!</v>
      </c>
      <c r="BM136" s="2013" t="e">
        <f>CA136*#REF!</f>
        <v>#REF!</v>
      </c>
      <c r="BO136" s="2128">
        <f t="shared" si="175"/>
        <v>3.5</v>
      </c>
      <c r="BP136" s="2040" t="str">
        <f t="shared" si="176"/>
        <v>LR1 3b</v>
      </c>
      <c r="BQ136" s="829" t="str">
        <f t="shared" si="177"/>
        <v>昇降機設備</v>
      </c>
      <c r="BR136" s="2010">
        <f t="shared" si="178"/>
        <v>0</v>
      </c>
      <c r="BS136" s="2010">
        <f t="shared" si="179"/>
        <v>0</v>
      </c>
      <c r="BT136" s="2010">
        <f t="shared" si="180"/>
        <v>0</v>
      </c>
      <c r="BU136" s="2010">
        <f t="shared" si="181"/>
        <v>0</v>
      </c>
      <c r="BV136" s="2093">
        <f t="shared" si="182"/>
        <v>0</v>
      </c>
      <c r="BW136" s="2010">
        <f t="shared" si="183"/>
        <v>0</v>
      </c>
      <c r="BX136" s="2010">
        <f t="shared" si="184"/>
        <v>0</v>
      </c>
      <c r="BY136" s="2010">
        <f t="shared" si="185"/>
        <v>0</v>
      </c>
      <c r="BZ136" s="2010">
        <f t="shared" si="186"/>
        <v>0</v>
      </c>
      <c r="CA136" s="2010">
        <f t="shared" si="187"/>
        <v>0</v>
      </c>
      <c r="CB136" s="2039">
        <f t="shared" si="188"/>
        <v>0</v>
      </c>
      <c r="CC136" s="2010">
        <f t="shared" si="189"/>
        <v>0</v>
      </c>
      <c r="CD136" s="2010">
        <f t="shared" si="190"/>
        <v>0</v>
      </c>
      <c r="CF136" s="1264">
        <v>3.5</v>
      </c>
      <c r="CG136" s="1211" t="s">
        <v>1181</v>
      </c>
      <c r="CH136" s="1208" t="s">
        <v>1062</v>
      </c>
      <c r="CI136" s="1213"/>
      <c r="CJ136" s="1213"/>
      <c r="CK136" s="1213"/>
      <c r="CL136" s="1213"/>
      <c r="CM136" s="1220"/>
      <c r="CN136" s="1213"/>
      <c r="CO136" s="1213"/>
      <c r="CP136" s="1213"/>
      <c r="CQ136" s="1213"/>
      <c r="CR136" s="1213"/>
      <c r="CS136" s="1214"/>
      <c r="CT136" s="1213"/>
      <c r="CU136" s="1213"/>
      <c r="CW136" s="1264">
        <v>3.5</v>
      </c>
      <c r="CX136" s="1211" t="s">
        <v>1181</v>
      </c>
      <c r="CY136" s="1208" t="s">
        <v>1062</v>
      </c>
      <c r="CZ136" s="1213"/>
      <c r="DA136" s="1213"/>
      <c r="DB136" s="1213"/>
      <c r="DC136" s="1213"/>
      <c r="DD136" s="1220"/>
      <c r="DE136" s="1213"/>
      <c r="DF136" s="1213"/>
      <c r="DG136" s="1213"/>
      <c r="DH136" s="1213"/>
      <c r="DI136" s="1213"/>
      <c r="DJ136" s="1214"/>
      <c r="DK136" s="1213"/>
      <c r="DL136" s="1213"/>
      <c r="DN136" s="1264">
        <v>3.5</v>
      </c>
      <c r="DO136" s="1211" t="s">
        <v>1181</v>
      </c>
      <c r="DP136" s="1208" t="s">
        <v>1062</v>
      </c>
      <c r="DQ136" s="1213"/>
      <c r="DR136" s="1213"/>
      <c r="DS136" s="1213"/>
      <c r="DT136" s="1213"/>
      <c r="DU136" s="1220"/>
      <c r="DV136" s="1213"/>
      <c r="DW136" s="1213"/>
      <c r="DX136" s="1213"/>
      <c r="DY136" s="1213"/>
      <c r="DZ136" s="1213"/>
      <c r="EA136" s="1214"/>
      <c r="EB136" s="1213"/>
      <c r="EC136" s="1213"/>
      <c r="ED136" s="1469"/>
      <c r="EE136">
        <f>ROWS($EE$5:EE135)</f>
        <v>131</v>
      </c>
      <c r="EF136" s="1264">
        <v>3.5</v>
      </c>
      <c r="EG136" s="1211" t="s">
        <v>1181</v>
      </c>
      <c r="EH136" s="1208"/>
      <c r="EI136" s="1689">
        <f t="shared" si="217"/>
        <v>0</v>
      </c>
      <c r="EJ136" s="1689">
        <f t="shared" si="218"/>
        <v>0</v>
      </c>
      <c r="EK136" s="1689">
        <f t="shared" si="219"/>
        <v>0</v>
      </c>
      <c r="EL136" s="1689">
        <f t="shared" si="220"/>
        <v>0</v>
      </c>
      <c r="EM136" s="1701">
        <f t="shared" si="221"/>
        <v>0</v>
      </c>
      <c r="EN136" s="1689">
        <f t="shared" si="222"/>
        <v>0</v>
      </c>
      <c r="EO136" s="1689">
        <f t="shared" si="223"/>
        <v>0</v>
      </c>
      <c r="EP136" s="1689">
        <f t="shared" si="224"/>
        <v>0</v>
      </c>
      <c r="EQ136" s="1689">
        <f t="shared" si="225"/>
        <v>0</v>
      </c>
      <c r="ER136" s="1689">
        <f t="shared" si="226"/>
        <v>0</v>
      </c>
      <c r="ES136" s="1691">
        <f t="shared" si="214"/>
        <v>0</v>
      </c>
      <c r="ET136" s="1689">
        <f t="shared" si="215"/>
        <v>0</v>
      </c>
      <c r="EU136" s="1689">
        <f t="shared" si="216"/>
        <v>0</v>
      </c>
      <c r="EW136" s="1264">
        <v>3.5</v>
      </c>
      <c r="EX136" s="1211" t="s">
        <v>3154</v>
      </c>
      <c r="EY136" s="1208"/>
      <c r="EZ136" s="1678">
        <f t="shared" si="227"/>
        <v>0</v>
      </c>
      <c r="FA136" s="1678"/>
      <c r="FB136" s="1678"/>
      <c r="FC136" s="1678"/>
      <c r="FD136" s="1738"/>
      <c r="FE136" s="1678"/>
      <c r="FF136" s="1678"/>
      <c r="FG136" s="1678"/>
      <c r="FH136" s="1678"/>
      <c r="FI136" s="1678"/>
      <c r="FJ136" s="1795"/>
      <c r="FK136" s="1678"/>
      <c r="FL136" s="1678"/>
    </row>
    <row r="137" spans="2:168" ht="14.25" hidden="1" thickBot="1">
      <c r="B137" s="2023">
        <f t="shared" si="210"/>
        <v>0</v>
      </c>
      <c r="C137" s="829">
        <f t="shared" ref="C137:C168" si="230">BQ137</f>
        <v>0</v>
      </c>
      <c r="D137" s="2022"/>
      <c r="E137" s="2021"/>
      <c r="G137" s="2021" t="e">
        <f t="shared" ref="G137:G168" si="231">K137*M137</f>
        <v>#REF!</v>
      </c>
      <c r="H137" s="2021" t="e">
        <f t="shared" ref="H137:H168" si="232">L137*N137</f>
        <v>#REF!</v>
      </c>
      <c r="I137" s="2021"/>
      <c r="J137" s="2021"/>
      <c r="K137" s="2021" t="e">
        <f>IF(#REF!=0,0,1)</f>
        <v>#REF!</v>
      </c>
      <c r="L137" s="2021" t="e">
        <f>IF(#REF!=0,0,1)</f>
        <v>#REF!</v>
      </c>
      <c r="M137" s="2021">
        <f t="shared" ref="M137:M168" si="233">SUMPRODUCT($BR$7:$CA$7,BR137:CA137)</f>
        <v>0</v>
      </c>
      <c r="N137" s="2021">
        <f t="shared" si="212"/>
        <v>0</v>
      </c>
      <c r="P137" s="2147"/>
      <c r="Q137" s="2146">
        <v>3.6</v>
      </c>
      <c r="R137" s="2145" t="s">
        <v>1608</v>
      </c>
      <c r="S137" s="1402"/>
      <c r="T137" s="2144"/>
      <c r="U137" s="2017"/>
      <c r="V137" s="2016">
        <f t="shared" si="205"/>
        <v>0</v>
      </c>
      <c r="W137" s="2015">
        <f t="shared" si="206"/>
        <v>0</v>
      </c>
      <c r="Y137" s="1">
        <f t="shared" si="192"/>
        <v>0</v>
      </c>
      <c r="Z137" s="1">
        <f t="shared" si="193"/>
        <v>0</v>
      </c>
      <c r="AA137" s="1">
        <f t="shared" si="194"/>
        <v>0</v>
      </c>
      <c r="AB137" s="1">
        <f t="shared" si="195"/>
        <v>0</v>
      </c>
      <c r="AC137" s="1">
        <f t="shared" si="196"/>
        <v>0</v>
      </c>
      <c r="AD137" s="1">
        <f t="shared" si="197"/>
        <v>0</v>
      </c>
      <c r="AE137" s="1">
        <f t="shared" si="198"/>
        <v>0</v>
      </c>
      <c r="AF137" s="1">
        <f t="shared" si="199"/>
        <v>0</v>
      </c>
      <c r="AG137" s="1">
        <f t="shared" si="200"/>
        <v>0</v>
      </c>
      <c r="AH137" s="1">
        <f t="shared" si="201"/>
        <v>0</v>
      </c>
      <c r="AI137" s="1">
        <f t="shared" si="202"/>
        <v>0</v>
      </c>
      <c r="AJ137" s="1">
        <f t="shared" si="203"/>
        <v>0</v>
      </c>
      <c r="AK137" s="1">
        <f t="shared" si="204"/>
        <v>0</v>
      </c>
      <c r="AM137" s="2143"/>
      <c r="AN137" s="2143"/>
      <c r="AO137" s="2143"/>
      <c r="AP137" s="2143"/>
      <c r="AQ137" s="2143"/>
      <c r="AR137" s="2143"/>
      <c r="AS137" s="2143"/>
      <c r="AT137" s="2143"/>
      <c r="AU137" s="2143"/>
      <c r="AV137" s="2143"/>
      <c r="AW137" s="2143"/>
      <c r="AX137" s="2143"/>
      <c r="AY137" s="2143"/>
      <c r="BA137" s="2014"/>
      <c r="BB137" s="2014" t="e">
        <f t="shared" si="228"/>
        <v>#REF!</v>
      </c>
      <c r="BC137" s="2014"/>
      <c r="BD137" s="2013" t="e">
        <f>BR137*#REF!</f>
        <v>#REF!</v>
      </c>
      <c r="BE137" s="2013" t="e">
        <f>BS137*#REF!</f>
        <v>#REF!</v>
      </c>
      <c r="BF137" s="2013" t="e">
        <f>BT137*#REF!</f>
        <v>#REF!</v>
      </c>
      <c r="BG137" s="2013" t="e">
        <f>BU137*#REF!</f>
        <v>#REF!</v>
      </c>
      <c r="BH137" s="2094" t="e">
        <f>BV137*#REF!</f>
        <v>#REF!</v>
      </c>
      <c r="BI137" s="2013" t="e">
        <f>BW137*#REF!</f>
        <v>#REF!</v>
      </c>
      <c r="BJ137" s="2013" t="e">
        <f>BX137*#REF!</f>
        <v>#REF!</v>
      </c>
      <c r="BK137" s="2013" t="e">
        <f>BY137*#REF!</f>
        <v>#REF!</v>
      </c>
      <c r="BL137" s="2013" t="e">
        <f>BZ137*#REF!</f>
        <v>#REF!</v>
      </c>
      <c r="BM137" s="2013" t="e">
        <f>CA137*#REF!</f>
        <v>#REF!</v>
      </c>
      <c r="BO137" s="2128">
        <f t="shared" ref="BO137:BO168" si="234">IF($BO$3=1,CW137,IF($BO$3=2,DN137,IF($BO$3=3,EF137,IF($BO$3=4,EW137,CF137))))</f>
        <v>0</v>
      </c>
      <c r="BP137" s="2128" t="str">
        <f t="shared" ref="BP137:BP168" si="235">IF($BO$3=1,CX137,IF($BO$3=2,DO137,IF($BO$3=3,EG137,IF($BO$3=4,EX137,CG137))))</f>
        <v>LR</v>
      </c>
      <c r="BQ137" s="829">
        <f t="shared" ref="BQ137:BQ168" si="236">IF($BO$3=1,CY137,IF($BO$3=2,DP137,IF($BO$3=3,EH137,IF($BO$3=4,EY137,CH137))))</f>
        <v>0</v>
      </c>
      <c r="BR137" s="2010">
        <f t="shared" ref="BR137:BR168" si="237">IF($BO$3=1,CZ137,IF($BO$3=2,DQ137,IF($BO$3=3,EI137,IF($BO$3=4,EZ137,CI137))))</f>
        <v>0</v>
      </c>
      <c r="BS137" s="2010">
        <f t="shared" ref="BS137:BS168" si="238">IF($BO$3=1,DA137,IF($BO$3=2,DR137,IF($BO$3=3,EJ137,IF($BO$3=4,FA137,CJ137))))</f>
        <v>0</v>
      </c>
      <c r="BT137" s="2010">
        <f t="shared" ref="BT137:BT168" si="239">IF($BO$3=1,DB137,IF($BO$3=2,DS137,IF($BO$3=3,EK137,IF($BO$3=4,FB137,CK137))))</f>
        <v>0</v>
      </c>
      <c r="BU137" s="2010">
        <f t="shared" ref="BU137:BU168" si="240">IF($BO$3=1,DC137,IF($BO$3=2,DT137,IF($BO$3=3,EL137,IF($BO$3=4,FC137,CL137))))</f>
        <v>0</v>
      </c>
      <c r="BV137" s="2093">
        <f t="shared" ref="BV137:BV168" si="241">IF($BO$3=1,DD137,IF($BO$3=2,DU137,IF($BO$3=3,EM137,IF($BO$3=4,FD137,CM137))))</f>
        <v>0</v>
      </c>
      <c r="BW137" s="2010">
        <f t="shared" ref="BW137:BW168" si="242">IF($BO$3=1,DE137,IF($BO$3=2,DV137,IF($BO$3=3,EN137,IF($BO$3=4,FE137,CN137))))</f>
        <v>0</v>
      </c>
      <c r="BX137" s="2010">
        <f t="shared" ref="BX137:BX168" si="243">IF($BO$3=1,DF137,IF($BO$3=2,DW137,IF($BO$3=3,EO137,IF($BO$3=4,FF137,CO137))))</f>
        <v>0</v>
      </c>
      <c r="BY137" s="2010">
        <f t="shared" ref="BY137:BY168" si="244">IF($BO$3=1,DG137,IF($BO$3=2,DX137,IF($BO$3=3,EP137,IF($BO$3=4,FG137,CP137))))</f>
        <v>0</v>
      </c>
      <c r="BZ137" s="2010">
        <f t="shared" ref="BZ137:BZ168" si="245">IF($BO$3=1,DH137,IF($BO$3=2,DY137,IF($BO$3=3,EQ137,IF($BO$3=4,FH137,CQ137))))</f>
        <v>0</v>
      </c>
      <c r="CA137" s="2010">
        <f t="shared" ref="CA137:CA168" si="246">IF($BO$3=1,DI137,IF($BO$3=2,DZ137,IF($BO$3=3,ER137,IF($BO$3=4,FI137,CR137))))</f>
        <v>0</v>
      </c>
      <c r="CB137" s="2039">
        <f t="shared" ref="CB137:CB168" si="247">IF($BO$3=1,DJ137,IF($BO$3=2,EA137,IF($BO$3=3,ES137,IF($BO$3=4,FJ137,CS137))))</f>
        <v>0</v>
      </c>
      <c r="CC137" s="2010">
        <f t="shared" ref="CC137:CC168" si="248">IF($BO$3=1,DK137,IF($BO$3=2,EB137,IF($BO$3=3,ET137,IF($BO$3=4,FK137,CT137))))</f>
        <v>0</v>
      </c>
      <c r="CD137" s="2010">
        <f t="shared" ref="CD137:CD168" si="249">IF($BO$3=1,DL137,IF($BO$3=2,EC137,IF($BO$3=3,EU137,IF($BO$3=4,FL137,CU137))))</f>
        <v>0</v>
      </c>
      <c r="CF137" s="1264"/>
      <c r="CG137" s="1265" t="s">
        <v>119</v>
      </c>
      <c r="CH137" s="1208"/>
      <c r="CI137" s="1213"/>
      <c r="CJ137" s="1213"/>
      <c r="CK137" s="1213"/>
      <c r="CL137" s="1213"/>
      <c r="CM137" s="1220"/>
      <c r="CN137" s="1213"/>
      <c r="CO137" s="1213"/>
      <c r="CP137" s="1213"/>
      <c r="CQ137" s="1213"/>
      <c r="CR137" s="1213"/>
      <c r="CS137" s="1214"/>
      <c r="CT137" s="1213"/>
      <c r="CU137" s="1213"/>
      <c r="CW137" s="1264"/>
      <c r="CX137" s="1265" t="s">
        <v>119</v>
      </c>
      <c r="CY137" s="1208"/>
      <c r="CZ137" s="1213"/>
      <c r="DA137" s="1213"/>
      <c r="DB137" s="1213"/>
      <c r="DC137" s="1213"/>
      <c r="DD137" s="1220"/>
      <c r="DE137" s="1213"/>
      <c r="DF137" s="1213"/>
      <c r="DG137" s="1213"/>
      <c r="DH137" s="1213"/>
      <c r="DI137" s="1213"/>
      <c r="DJ137" s="1214"/>
      <c r="DK137" s="1213"/>
      <c r="DL137" s="1213"/>
      <c r="DN137" s="1264"/>
      <c r="DO137" s="1265" t="s">
        <v>119</v>
      </c>
      <c r="DP137" s="1208"/>
      <c r="DQ137" s="1213"/>
      <c r="DR137" s="1213"/>
      <c r="DS137" s="1213"/>
      <c r="DT137" s="1213"/>
      <c r="DU137" s="1220"/>
      <c r="DV137" s="1213"/>
      <c r="DW137" s="1213"/>
      <c r="DX137" s="1213"/>
      <c r="DY137" s="1213"/>
      <c r="DZ137" s="1213"/>
      <c r="EA137" s="1214"/>
      <c r="EB137" s="1213"/>
      <c r="EC137" s="1213"/>
      <c r="ED137" s="1469"/>
      <c r="EE137">
        <f>ROWS($EE$5:EE136)</f>
        <v>132</v>
      </c>
      <c r="EF137" s="1264"/>
      <c r="EG137" s="1265" t="s">
        <v>119</v>
      </c>
      <c r="EH137" s="1208"/>
      <c r="EI137" s="1689">
        <f t="shared" si="217"/>
        <v>0</v>
      </c>
      <c r="EJ137" s="1689">
        <f t="shared" si="218"/>
        <v>0</v>
      </c>
      <c r="EK137" s="1689">
        <f t="shared" si="219"/>
        <v>0</v>
      </c>
      <c r="EL137" s="1689">
        <f t="shared" si="220"/>
        <v>0</v>
      </c>
      <c r="EM137" s="1701">
        <f t="shared" si="221"/>
        <v>0</v>
      </c>
      <c r="EN137" s="1689">
        <f t="shared" si="222"/>
        <v>0</v>
      </c>
      <c r="EO137" s="1689">
        <f t="shared" si="223"/>
        <v>0</v>
      </c>
      <c r="EP137" s="1689">
        <f t="shared" si="224"/>
        <v>0</v>
      </c>
      <c r="EQ137" s="1689">
        <f t="shared" si="225"/>
        <v>0</v>
      </c>
      <c r="ER137" s="1689">
        <f t="shared" si="226"/>
        <v>0</v>
      </c>
      <c r="ES137" s="1691">
        <f t="shared" si="214"/>
        <v>0</v>
      </c>
      <c r="ET137" s="1689">
        <f t="shared" si="215"/>
        <v>0</v>
      </c>
      <c r="EU137" s="1689">
        <f t="shared" si="216"/>
        <v>0</v>
      </c>
      <c r="EW137" s="1264"/>
      <c r="EX137" s="1265" t="s">
        <v>119</v>
      </c>
      <c r="EY137" s="1208"/>
      <c r="EZ137" s="1678">
        <f t="shared" si="227"/>
        <v>0</v>
      </c>
      <c r="FA137" s="1678"/>
      <c r="FB137" s="1678"/>
      <c r="FC137" s="1678"/>
      <c r="FD137" s="1738"/>
      <c r="FE137" s="1678"/>
      <c r="FF137" s="1678"/>
      <c r="FG137" s="1678"/>
      <c r="FH137" s="1678"/>
      <c r="FI137" s="1678"/>
      <c r="FJ137" s="1795"/>
      <c r="FK137" s="1678"/>
      <c r="FL137" s="1678"/>
    </row>
    <row r="138" spans="2:168">
      <c r="B138" s="2023">
        <f t="shared" si="210"/>
        <v>4</v>
      </c>
      <c r="C138" s="2050" t="str">
        <f t="shared" si="230"/>
        <v>効率的運用</v>
      </c>
      <c r="D138" s="2061" t="e">
        <f>IF(I$122=0,0,G138/I$122)</f>
        <v>#REF!</v>
      </c>
      <c r="E138" s="2060" t="e">
        <f>IF(J$122=0,0,H138/J$122)</f>
        <v>#REF!</v>
      </c>
      <c r="G138" s="2060" t="e">
        <f t="shared" si="231"/>
        <v>#REF!</v>
      </c>
      <c r="H138" s="2060" t="e">
        <f t="shared" si="232"/>
        <v>#REF!</v>
      </c>
      <c r="I138" s="2060" t="e">
        <f>G139+G142</f>
        <v>#REF!</v>
      </c>
      <c r="J138" s="2060" t="e">
        <f>H139+H142</f>
        <v>#REF!</v>
      </c>
      <c r="K138" s="2060" t="e">
        <f>IF(#REF!=0,0,1)</f>
        <v>#REF!</v>
      </c>
      <c r="L138" s="2060" t="e">
        <f>IF(#REF!=0,0,1)</f>
        <v>#REF!</v>
      </c>
      <c r="M138" s="2060">
        <f t="shared" si="233"/>
        <v>0.2</v>
      </c>
      <c r="N138" s="2060">
        <f t="shared" si="212"/>
        <v>0</v>
      </c>
      <c r="P138" s="2059">
        <v>4</v>
      </c>
      <c r="Q138" s="2058" t="s">
        <v>1063</v>
      </c>
      <c r="R138" s="2045"/>
      <c r="S138" s="2045"/>
      <c r="T138" s="2044"/>
      <c r="U138" s="2017"/>
      <c r="V138" s="2142">
        <f t="shared" si="205"/>
        <v>0</v>
      </c>
      <c r="W138" s="2141">
        <f t="shared" si="206"/>
        <v>0</v>
      </c>
      <c r="Y138" s="1">
        <f t="shared" ref="Y138:Y169" si="250">IF(OR(AM138=0,AM138="-"),0,1)</f>
        <v>0</v>
      </c>
      <c r="Z138" s="1">
        <f t="shared" ref="Z138:Z169" si="251">IF(OR(AN138=0,AN138="-"),0,1)</f>
        <v>0</v>
      </c>
      <c r="AA138" s="1">
        <f t="shared" ref="AA138:AA169" si="252">IF(OR(AO138=0,AO138="-"),0,1)</f>
        <v>0</v>
      </c>
      <c r="AB138" s="1">
        <f t="shared" ref="AB138:AB169" si="253">IF(OR(AP138=0,AP138="-"),0,1)</f>
        <v>0</v>
      </c>
      <c r="AC138" s="1">
        <f t="shared" ref="AC138:AC169" si="254">IF(OR(AQ138=0,AQ138="-"),0,1)</f>
        <v>0</v>
      </c>
      <c r="AD138" s="1">
        <f t="shared" ref="AD138:AD169" si="255">IF(OR(AR138=0,AR138="-"),0,1)</f>
        <v>0</v>
      </c>
      <c r="AE138" s="1">
        <f t="shared" ref="AE138:AE169" si="256">IF(OR(AS138=0,AS138="-"),0,1)</f>
        <v>0</v>
      </c>
      <c r="AF138" s="1">
        <f t="shared" ref="AF138:AF169" si="257">IF(OR(AT138=0,AT138="-"),0,1)</f>
        <v>0</v>
      </c>
      <c r="AG138" s="1">
        <f t="shared" ref="AG138:AG169" si="258">IF(OR(AU138=0,AU138="-"),0,1)</f>
        <v>0</v>
      </c>
      <c r="AH138" s="1">
        <f t="shared" ref="AH138:AH169" si="259">IF(OR(AV138=0,AV138="-"),0,1)</f>
        <v>0</v>
      </c>
      <c r="AI138" s="1">
        <f t="shared" ref="AI138:AI169" si="260">IF(OR(AW138=0,AW138="-"),0,1)</f>
        <v>0</v>
      </c>
      <c r="AJ138" s="1">
        <f t="shared" ref="AJ138:AJ169" si="261">IF(OR(AX138=0,AX138="-"),0,1)</f>
        <v>0</v>
      </c>
      <c r="AK138" s="1">
        <f t="shared" ref="AK138:AK169" si="262">IF(OR(AY138=0,AY138="-"),0,1)</f>
        <v>0</v>
      </c>
      <c r="AM138" s="2140" t="s">
        <v>177</v>
      </c>
      <c r="AN138" s="2140" t="s">
        <v>177</v>
      </c>
      <c r="AO138" s="2140" t="s">
        <v>177</v>
      </c>
      <c r="AP138" s="2140" t="s">
        <v>177</v>
      </c>
      <c r="AQ138" s="2140" t="s">
        <v>177</v>
      </c>
      <c r="AR138" s="2140" t="s">
        <v>177</v>
      </c>
      <c r="AS138" s="2140" t="s">
        <v>177</v>
      </c>
      <c r="AT138" s="2140" t="s">
        <v>177</v>
      </c>
      <c r="AU138" s="2140" t="s">
        <v>177</v>
      </c>
      <c r="AV138" s="2140" t="s">
        <v>177</v>
      </c>
      <c r="AW138" s="2140" t="s">
        <v>177</v>
      </c>
      <c r="AX138" s="2140" t="s">
        <v>177</v>
      </c>
      <c r="AY138" s="2140" t="s">
        <v>177</v>
      </c>
      <c r="BA138" s="2054" t="e">
        <f>BB138/$BC$122</f>
        <v>#REF!</v>
      </c>
      <c r="BB138" s="2139" t="e">
        <f t="shared" si="228"/>
        <v>#REF!</v>
      </c>
      <c r="BC138" s="2139"/>
      <c r="BD138" s="2137" t="e">
        <f>BR138*#REF!</f>
        <v>#REF!</v>
      </c>
      <c r="BE138" s="2137" t="e">
        <f>BS138*#REF!</f>
        <v>#REF!</v>
      </c>
      <c r="BF138" s="2137" t="e">
        <f>BT138*#REF!</f>
        <v>#REF!</v>
      </c>
      <c r="BG138" s="2137" t="e">
        <f>BU138*#REF!</f>
        <v>#REF!</v>
      </c>
      <c r="BH138" s="2138" t="e">
        <f>BV138*#REF!</f>
        <v>#REF!</v>
      </c>
      <c r="BI138" s="2137" t="e">
        <f>BW138*#REF!</f>
        <v>#REF!</v>
      </c>
      <c r="BJ138" s="2137" t="e">
        <f>BX138*#REF!</f>
        <v>#REF!</v>
      </c>
      <c r="BK138" s="2137" t="e">
        <f>BY138*#REF!</f>
        <v>#REF!</v>
      </c>
      <c r="BL138" s="2137" t="e">
        <f>BZ138*#REF!</f>
        <v>#REF!</v>
      </c>
      <c r="BM138" s="2137" t="e">
        <f>CA138*#REF!</f>
        <v>#REF!</v>
      </c>
      <c r="BO138" s="2131">
        <f t="shared" si="234"/>
        <v>4</v>
      </c>
      <c r="BP138" s="2114" t="str">
        <f t="shared" si="235"/>
        <v>LR1</v>
      </c>
      <c r="BQ138" s="2050" t="str">
        <f t="shared" si="236"/>
        <v>効率的運用</v>
      </c>
      <c r="BR138" s="2135">
        <f t="shared" si="237"/>
        <v>0.2</v>
      </c>
      <c r="BS138" s="2135">
        <f t="shared" si="238"/>
        <v>0.2</v>
      </c>
      <c r="BT138" s="2135">
        <f t="shared" si="239"/>
        <v>0.2</v>
      </c>
      <c r="BU138" s="2135">
        <f t="shared" si="240"/>
        <v>0.2</v>
      </c>
      <c r="BV138" s="2136">
        <f t="shared" si="241"/>
        <v>0.2</v>
      </c>
      <c r="BW138" s="2135">
        <f t="shared" si="242"/>
        <v>0.25</v>
      </c>
      <c r="BX138" s="2135">
        <f t="shared" si="243"/>
        <v>0.2</v>
      </c>
      <c r="BY138" s="2135">
        <f t="shared" si="244"/>
        <v>0.2</v>
      </c>
      <c r="BZ138" s="2135">
        <f t="shared" si="245"/>
        <v>0.2</v>
      </c>
      <c r="CA138" s="2135">
        <f t="shared" si="246"/>
        <v>0.2</v>
      </c>
      <c r="CB138" s="2049">
        <f t="shared" si="247"/>
        <v>0</v>
      </c>
      <c r="CC138" s="2048">
        <f t="shared" si="248"/>
        <v>0</v>
      </c>
      <c r="CD138" s="2048">
        <f t="shared" si="249"/>
        <v>0</v>
      </c>
      <c r="CF138" s="1262">
        <v>4</v>
      </c>
      <c r="CG138" s="1201" t="s">
        <v>1474</v>
      </c>
      <c r="CH138" s="1198" t="s">
        <v>1063</v>
      </c>
      <c r="CI138" s="1247">
        <v>0.2</v>
      </c>
      <c r="CJ138" s="1247">
        <v>0.2</v>
      </c>
      <c r="CK138" s="1247">
        <v>0.2</v>
      </c>
      <c r="CL138" s="1247">
        <v>0.2</v>
      </c>
      <c r="CM138" s="1247">
        <v>0.2</v>
      </c>
      <c r="CN138" s="1247">
        <v>0.25</v>
      </c>
      <c r="CO138" s="1247">
        <v>0.2</v>
      </c>
      <c r="CP138" s="1247">
        <v>0.2</v>
      </c>
      <c r="CQ138" s="1247">
        <v>0.2</v>
      </c>
      <c r="CR138" s="1247">
        <v>0.2</v>
      </c>
      <c r="CS138" s="1203"/>
      <c r="CT138" s="1202"/>
      <c r="CU138" s="1202"/>
      <c r="CW138" s="1262">
        <v>4</v>
      </c>
      <c r="CX138" s="1201" t="s">
        <v>1474</v>
      </c>
      <c r="CY138" s="1198" t="s">
        <v>1063</v>
      </c>
      <c r="CZ138" s="1247">
        <v>0.2</v>
      </c>
      <c r="DA138" s="1247">
        <v>0.2</v>
      </c>
      <c r="DB138" s="1247">
        <v>0.2</v>
      </c>
      <c r="DC138" s="1247">
        <v>0.2</v>
      </c>
      <c r="DD138" s="1247">
        <v>0.2</v>
      </c>
      <c r="DE138" s="1247">
        <v>0.25</v>
      </c>
      <c r="DF138" s="1247">
        <v>0.2</v>
      </c>
      <c r="DG138" s="1247">
        <v>0.2</v>
      </c>
      <c r="DH138" s="1247">
        <v>0.2</v>
      </c>
      <c r="DI138" s="1247">
        <v>0.2</v>
      </c>
      <c r="DJ138" s="1203"/>
      <c r="DK138" s="1202"/>
      <c r="DL138" s="1202"/>
      <c r="DN138" s="1262">
        <v>4</v>
      </c>
      <c r="DO138" s="1201" t="s">
        <v>1474</v>
      </c>
      <c r="DP138" s="1198" t="s">
        <v>1063</v>
      </c>
      <c r="DQ138" s="1247">
        <v>0.2</v>
      </c>
      <c r="DR138" s="1247">
        <v>0.2</v>
      </c>
      <c r="DS138" s="1247">
        <v>0.2</v>
      </c>
      <c r="DT138" s="1247">
        <v>0.2</v>
      </c>
      <c r="DU138" s="1247">
        <v>0.2</v>
      </c>
      <c r="DV138" s="1247">
        <v>0.25</v>
      </c>
      <c r="DW138" s="1247">
        <v>0.2</v>
      </c>
      <c r="DX138" s="1247">
        <v>0.2</v>
      </c>
      <c r="DY138" s="1247">
        <v>0.2</v>
      </c>
      <c r="DZ138" s="1247">
        <v>0.2</v>
      </c>
      <c r="EA138" s="1203"/>
      <c r="EB138" s="1202"/>
      <c r="EC138" s="1202"/>
      <c r="ED138" s="1468"/>
      <c r="EE138">
        <f>ROWS($EE$5:EE137)</f>
        <v>133</v>
      </c>
      <c r="EF138" s="1262">
        <v>4</v>
      </c>
      <c r="EG138" s="1201" t="s">
        <v>1474</v>
      </c>
      <c r="EH138" s="1198" t="s">
        <v>1063</v>
      </c>
      <c r="EI138" s="1699">
        <f t="shared" si="217"/>
        <v>0.2</v>
      </c>
      <c r="EJ138" s="1699">
        <f t="shared" si="218"/>
        <v>0.2</v>
      </c>
      <c r="EK138" s="1699">
        <f t="shared" si="219"/>
        <v>0.2</v>
      </c>
      <c r="EL138" s="1699">
        <f t="shared" si="220"/>
        <v>0.2</v>
      </c>
      <c r="EM138" s="1699">
        <f t="shared" si="221"/>
        <v>0.2</v>
      </c>
      <c r="EN138" s="1699">
        <f t="shared" si="222"/>
        <v>0.25</v>
      </c>
      <c r="EO138" s="1699">
        <f t="shared" si="223"/>
        <v>0.2</v>
      </c>
      <c r="EP138" s="1699">
        <f t="shared" si="224"/>
        <v>0.2</v>
      </c>
      <c r="EQ138" s="1699">
        <f t="shared" si="225"/>
        <v>0.2</v>
      </c>
      <c r="ER138" s="1699">
        <f t="shared" si="226"/>
        <v>0.2</v>
      </c>
      <c r="ES138" s="1688">
        <f t="shared" si="214"/>
        <v>0</v>
      </c>
      <c r="ET138" s="1686">
        <f t="shared" si="215"/>
        <v>0</v>
      </c>
      <c r="EU138" s="1686">
        <f t="shared" si="216"/>
        <v>0</v>
      </c>
      <c r="EW138" s="1262">
        <v>4</v>
      </c>
      <c r="EX138" s="1201" t="s">
        <v>1474</v>
      </c>
      <c r="EY138" s="1198" t="s">
        <v>1063</v>
      </c>
      <c r="EZ138" s="1679">
        <f t="shared" si="227"/>
        <v>0.2</v>
      </c>
      <c r="FA138" s="1679"/>
      <c r="FB138" s="1679"/>
      <c r="FC138" s="1679"/>
      <c r="FD138" s="1679"/>
      <c r="FE138" s="1679"/>
      <c r="FF138" s="1679"/>
      <c r="FG138" s="1679"/>
      <c r="FH138" s="1679"/>
      <c r="FI138" s="1679"/>
      <c r="FJ138" s="1677"/>
      <c r="FK138" s="1676"/>
      <c r="FL138" s="1676"/>
    </row>
    <row r="139" spans="2:168" ht="14.25" thickBot="1">
      <c r="B139" s="2023">
        <f t="shared" si="210"/>
        <v>4.0999999999999996</v>
      </c>
      <c r="C139" s="829" t="str">
        <f t="shared" si="230"/>
        <v>住宅以外の評価</v>
      </c>
      <c r="D139" s="2022" t="e">
        <f>IF(I$138=0,0,G139/I$138)</f>
        <v>#REF!</v>
      </c>
      <c r="E139" s="2022" t="e">
        <f>IF(J$138=0,0,H139/J$138)</f>
        <v>#REF!</v>
      </c>
      <c r="G139" s="2021" t="e">
        <f t="shared" si="231"/>
        <v>#REF!</v>
      </c>
      <c r="H139" s="2021" t="e">
        <f t="shared" si="232"/>
        <v>#REF!</v>
      </c>
      <c r="I139" s="2021" t="e">
        <f>SUM(G140:G141)</f>
        <v>#REF!</v>
      </c>
      <c r="J139" s="2021" t="e">
        <f>SUM(H140:H141)</f>
        <v>#REF!</v>
      </c>
      <c r="K139" s="2021" t="e">
        <f>IF(#REF!=0,0,1)</f>
        <v>#REF!</v>
      </c>
      <c r="L139" s="2021" t="e">
        <f>IF(#REF!=0,0,1)</f>
        <v>#REF!</v>
      </c>
      <c r="M139" s="2021">
        <f t="shared" si="233"/>
        <v>1</v>
      </c>
      <c r="N139" s="2021">
        <f t="shared" si="212"/>
        <v>0</v>
      </c>
      <c r="P139" s="2123"/>
      <c r="Q139" s="2068"/>
      <c r="R139" s="2129" t="s">
        <v>3153</v>
      </c>
      <c r="S139" s="2107"/>
      <c r="T139" s="2106"/>
      <c r="U139" s="2017"/>
      <c r="V139" s="2105">
        <f t="shared" si="205"/>
        <v>0</v>
      </c>
      <c r="W139" s="2104">
        <f t="shared" si="206"/>
        <v>0</v>
      </c>
      <c r="Y139" s="1">
        <f t="shared" si="250"/>
        <v>0</v>
      </c>
      <c r="Z139" s="1">
        <f t="shared" si="251"/>
        <v>0</v>
      </c>
      <c r="AA139" s="1">
        <f t="shared" si="252"/>
        <v>0</v>
      </c>
      <c r="AB139" s="1">
        <f t="shared" si="253"/>
        <v>0</v>
      </c>
      <c r="AC139" s="1">
        <f t="shared" si="254"/>
        <v>0</v>
      </c>
      <c r="AD139" s="1">
        <f t="shared" si="255"/>
        <v>0</v>
      </c>
      <c r="AE139" s="1">
        <f t="shared" si="256"/>
        <v>0</v>
      </c>
      <c r="AF139" s="1">
        <f t="shared" si="257"/>
        <v>0</v>
      </c>
      <c r="AG139" s="1">
        <f t="shared" si="258"/>
        <v>0</v>
      </c>
      <c r="AH139" s="1">
        <f t="shared" si="259"/>
        <v>0</v>
      </c>
      <c r="AI139" s="1">
        <f t="shared" si="260"/>
        <v>0</v>
      </c>
      <c r="AJ139" s="1">
        <f t="shared" si="261"/>
        <v>0</v>
      </c>
      <c r="AK139" s="1">
        <f t="shared" si="262"/>
        <v>0</v>
      </c>
      <c r="AM139" s="2103" t="s">
        <v>177</v>
      </c>
      <c r="AN139" s="2103" t="s">
        <v>177</v>
      </c>
      <c r="AO139" s="2103" t="s">
        <v>177</v>
      </c>
      <c r="AP139" s="2103" t="s">
        <v>177</v>
      </c>
      <c r="AQ139" s="2103" t="s">
        <v>177</v>
      </c>
      <c r="AR139" s="2103" t="s">
        <v>177</v>
      </c>
      <c r="AS139" s="2103" t="s">
        <v>177</v>
      </c>
      <c r="AT139" s="2103" t="s">
        <v>177</v>
      </c>
      <c r="AU139" s="2103" t="s">
        <v>177</v>
      </c>
      <c r="AV139" s="2103" t="s">
        <v>177</v>
      </c>
      <c r="AW139" s="2103" t="s">
        <v>177</v>
      </c>
      <c r="AX139" s="2103" t="s">
        <v>177</v>
      </c>
      <c r="AY139" s="2103" t="s">
        <v>177</v>
      </c>
      <c r="BA139" s="2014"/>
      <c r="BB139" s="2014" t="e">
        <f t="shared" si="228"/>
        <v>#REF!</v>
      </c>
      <c r="BC139" s="2014"/>
      <c r="BD139" s="2013" t="e">
        <f>BR139*#REF!</f>
        <v>#REF!</v>
      </c>
      <c r="BE139" s="2013" t="e">
        <f>BS139*#REF!</f>
        <v>#REF!</v>
      </c>
      <c r="BF139" s="2013" t="e">
        <f>BT139*#REF!</f>
        <v>#REF!</v>
      </c>
      <c r="BG139" s="2013" t="e">
        <f>BU139*#REF!</f>
        <v>#REF!</v>
      </c>
      <c r="BH139" s="2094" t="e">
        <f>BV139*#REF!</f>
        <v>#REF!</v>
      </c>
      <c r="BI139" s="2013" t="e">
        <f>BW139*#REF!</f>
        <v>#REF!</v>
      </c>
      <c r="BJ139" s="2013" t="e">
        <f>BX139*#REF!</f>
        <v>#REF!</v>
      </c>
      <c r="BK139" s="2013" t="e">
        <f>BY139*#REF!</f>
        <v>#REF!</v>
      </c>
      <c r="BL139" s="2013" t="e">
        <f>BZ139*#REF!</f>
        <v>#REF!</v>
      </c>
      <c r="BM139" s="2013" t="e">
        <f>CA139*#REF!</f>
        <v>#REF!</v>
      </c>
      <c r="BO139" s="2040">
        <f t="shared" si="234"/>
        <v>4.0999999999999996</v>
      </c>
      <c r="BP139" s="2040" t="str">
        <f t="shared" si="235"/>
        <v>LR1 4</v>
      </c>
      <c r="BQ139" s="829" t="str">
        <f t="shared" si="236"/>
        <v>住宅以外の評価</v>
      </c>
      <c r="BR139" s="2010">
        <f t="shared" si="237"/>
        <v>1</v>
      </c>
      <c r="BS139" s="2010">
        <f t="shared" si="238"/>
        <v>1</v>
      </c>
      <c r="BT139" s="2010">
        <f t="shared" si="239"/>
        <v>1</v>
      </c>
      <c r="BU139" s="2010">
        <f t="shared" si="240"/>
        <v>1</v>
      </c>
      <c r="BV139" s="2093">
        <f t="shared" si="241"/>
        <v>1</v>
      </c>
      <c r="BW139" s="2010">
        <f t="shared" si="242"/>
        <v>1</v>
      </c>
      <c r="BX139" s="2010">
        <f t="shared" si="243"/>
        <v>1</v>
      </c>
      <c r="BY139" s="2010">
        <f t="shared" si="244"/>
        <v>1</v>
      </c>
      <c r="BZ139" s="2010">
        <f t="shared" si="245"/>
        <v>1</v>
      </c>
      <c r="CA139" s="2010">
        <f t="shared" si="246"/>
        <v>0</v>
      </c>
      <c r="CB139" s="2039">
        <f t="shared" si="247"/>
        <v>0</v>
      </c>
      <c r="CC139" s="2008">
        <f t="shared" si="248"/>
        <v>0</v>
      </c>
      <c r="CD139" s="2008">
        <f t="shared" si="249"/>
        <v>0</v>
      </c>
      <c r="CF139" s="1207">
        <v>4.0999999999999996</v>
      </c>
      <c r="CG139" s="1211" t="s">
        <v>123</v>
      </c>
      <c r="CH139" s="1208" t="s">
        <v>3152</v>
      </c>
      <c r="CI139" s="1213">
        <v>1</v>
      </c>
      <c r="CJ139" s="1213">
        <v>1</v>
      </c>
      <c r="CK139" s="1213">
        <v>1</v>
      </c>
      <c r="CL139" s="1213">
        <v>1</v>
      </c>
      <c r="CM139" s="1213">
        <v>1</v>
      </c>
      <c r="CN139" s="1213">
        <v>1</v>
      </c>
      <c r="CO139" s="1213">
        <v>1</v>
      </c>
      <c r="CP139" s="1213">
        <v>1</v>
      </c>
      <c r="CQ139" s="1213">
        <v>1</v>
      </c>
      <c r="CR139" s="1213"/>
      <c r="CS139" s="1214"/>
      <c r="CT139" s="1257"/>
      <c r="CU139" s="1257"/>
      <c r="CW139" s="1207">
        <v>4.0999999999999996</v>
      </c>
      <c r="CX139" s="1211" t="s">
        <v>123</v>
      </c>
      <c r="CY139" s="1208" t="s">
        <v>3152</v>
      </c>
      <c r="CZ139" s="1213">
        <v>1</v>
      </c>
      <c r="DA139" s="1213">
        <v>1</v>
      </c>
      <c r="DB139" s="1213">
        <v>1</v>
      </c>
      <c r="DC139" s="1213">
        <v>1</v>
      </c>
      <c r="DD139" s="1213">
        <v>1</v>
      </c>
      <c r="DE139" s="1213">
        <v>1</v>
      </c>
      <c r="DF139" s="1213">
        <v>1</v>
      </c>
      <c r="DG139" s="1213">
        <v>1</v>
      </c>
      <c r="DH139" s="1213">
        <v>1</v>
      </c>
      <c r="DI139" s="1213"/>
      <c r="DJ139" s="1214"/>
      <c r="DK139" s="1257"/>
      <c r="DL139" s="1257"/>
      <c r="DN139" s="1207">
        <v>4.0999999999999996</v>
      </c>
      <c r="DO139" s="1211" t="s">
        <v>123</v>
      </c>
      <c r="DP139" s="1208" t="s">
        <v>3152</v>
      </c>
      <c r="DQ139" s="1213">
        <v>1</v>
      </c>
      <c r="DR139" s="1213">
        <v>1</v>
      </c>
      <c r="DS139" s="1213">
        <v>1</v>
      </c>
      <c r="DT139" s="1213">
        <v>1</v>
      </c>
      <c r="DU139" s="1213">
        <v>1</v>
      </c>
      <c r="DV139" s="1213">
        <v>1</v>
      </c>
      <c r="DW139" s="1213">
        <v>1</v>
      </c>
      <c r="DX139" s="1213">
        <v>1</v>
      </c>
      <c r="DY139" s="1213">
        <v>1</v>
      </c>
      <c r="DZ139" s="1213"/>
      <c r="EA139" s="1214"/>
      <c r="EB139" s="1257"/>
      <c r="EC139" s="1257"/>
      <c r="ED139" s="1472"/>
      <c r="EE139">
        <f>ROWS($EE$5:EE138)</f>
        <v>134</v>
      </c>
      <c r="EF139" s="1207">
        <v>4.0999999999999996</v>
      </c>
      <c r="EG139" s="1211" t="s">
        <v>123</v>
      </c>
      <c r="EH139" s="1208" t="s">
        <v>3152</v>
      </c>
      <c r="EI139" s="1689">
        <f t="shared" si="217"/>
        <v>1</v>
      </c>
      <c r="EJ139" s="1689">
        <f t="shared" si="218"/>
        <v>1</v>
      </c>
      <c r="EK139" s="1689">
        <f t="shared" si="219"/>
        <v>1</v>
      </c>
      <c r="EL139" s="1689">
        <f t="shared" si="220"/>
        <v>1</v>
      </c>
      <c r="EM139" s="1689">
        <f t="shared" si="221"/>
        <v>1</v>
      </c>
      <c r="EN139" s="1689">
        <f t="shared" si="222"/>
        <v>1</v>
      </c>
      <c r="EO139" s="1689">
        <f t="shared" si="223"/>
        <v>1</v>
      </c>
      <c r="EP139" s="1689">
        <f t="shared" si="224"/>
        <v>1</v>
      </c>
      <c r="EQ139" s="1689">
        <f t="shared" si="225"/>
        <v>1</v>
      </c>
      <c r="ER139" s="1689">
        <f t="shared" si="226"/>
        <v>0</v>
      </c>
      <c r="ES139" s="1691">
        <f t="shared" si="214"/>
        <v>0</v>
      </c>
      <c r="ET139" s="1704">
        <f t="shared" si="215"/>
        <v>0</v>
      </c>
      <c r="EU139" s="1704">
        <f t="shared" si="216"/>
        <v>0</v>
      </c>
      <c r="EW139" s="1207">
        <v>4.0999999999999996</v>
      </c>
      <c r="EX139" s="1211" t="s">
        <v>123</v>
      </c>
      <c r="EY139" s="1208" t="s">
        <v>3152</v>
      </c>
      <c r="EZ139" s="1678">
        <f t="shared" si="227"/>
        <v>1</v>
      </c>
      <c r="FA139" s="1678"/>
      <c r="FB139" s="1678"/>
      <c r="FC139" s="1678"/>
      <c r="FD139" s="1678"/>
      <c r="FE139" s="1678"/>
      <c r="FF139" s="1678"/>
      <c r="FG139" s="1678"/>
      <c r="FH139" s="1678"/>
      <c r="FI139" s="1678"/>
      <c r="FJ139" s="1795"/>
      <c r="FK139" s="1681"/>
      <c r="FL139" s="1681"/>
    </row>
    <row r="140" spans="2:168">
      <c r="B140" s="2023" t="str">
        <f t="shared" si="210"/>
        <v>4.1.1</v>
      </c>
      <c r="C140" s="829" t="str">
        <f t="shared" si="230"/>
        <v>モニタリング</v>
      </c>
      <c r="D140" s="2022" t="e">
        <f>IF(I$139=0,0,G140/I$139)</f>
        <v>#REF!</v>
      </c>
      <c r="E140" s="2022" t="e">
        <f>IF(J$139=0,0,H140/J$139)</f>
        <v>#REF!</v>
      </c>
      <c r="G140" s="2021" t="e">
        <f t="shared" si="231"/>
        <v>#REF!</v>
      </c>
      <c r="H140" s="2021" t="e">
        <f t="shared" si="232"/>
        <v>#REF!</v>
      </c>
      <c r="I140" s="2021"/>
      <c r="J140" s="2021"/>
      <c r="K140" s="2021" t="e">
        <f>IF(#REF!=0,0,1)</f>
        <v>#REF!</v>
      </c>
      <c r="L140" s="2021" t="e">
        <f>IF(#REF!=0,0,1)</f>
        <v>#REF!</v>
      </c>
      <c r="M140" s="2021">
        <f t="shared" si="233"/>
        <v>0.5</v>
      </c>
      <c r="N140" s="2021">
        <f t="shared" si="212"/>
        <v>0</v>
      </c>
      <c r="P140" s="2123"/>
      <c r="Q140" s="2127"/>
      <c r="R140" s="993">
        <v>4.0999999999999996</v>
      </c>
      <c r="S140" s="1655" t="s">
        <v>849</v>
      </c>
      <c r="T140" s="2036"/>
      <c r="U140" s="2017"/>
      <c r="V140" s="2025">
        <f t="shared" si="205"/>
        <v>0</v>
      </c>
      <c r="W140" s="2024">
        <f t="shared" si="206"/>
        <v>0</v>
      </c>
      <c r="Y140" s="1">
        <f t="shared" si="250"/>
        <v>0</v>
      </c>
      <c r="Z140" s="1">
        <f t="shared" si="251"/>
        <v>0</v>
      </c>
      <c r="AA140" s="1">
        <f t="shared" si="252"/>
        <v>0</v>
      </c>
      <c r="AB140" s="1">
        <f t="shared" si="253"/>
        <v>0</v>
      </c>
      <c r="AC140" s="1">
        <f t="shared" si="254"/>
        <v>0</v>
      </c>
      <c r="AD140" s="1">
        <f t="shared" si="255"/>
        <v>0</v>
      </c>
      <c r="AE140" s="1">
        <f t="shared" si="256"/>
        <v>0</v>
      </c>
      <c r="AF140" s="1">
        <f t="shared" si="257"/>
        <v>0</v>
      </c>
      <c r="AG140" s="1">
        <f t="shared" si="258"/>
        <v>0</v>
      </c>
      <c r="AH140" s="1">
        <f t="shared" si="259"/>
        <v>0</v>
      </c>
      <c r="AI140" s="1">
        <f t="shared" si="260"/>
        <v>0</v>
      </c>
      <c r="AJ140" s="1">
        <f t="shared" si="261"/>
        <v>0</v>
      </c>
      <c r="AK140" s="1">
        <f t="shared" si="262"/>
        <v>0</v>
      </c>
      <c r="AM140" s="1827"/>
      <c r="AN140" s="1827"/>
      <c r="AO140" s="1827"/>
      <c r="AP140" s="1827"/>
      <c r="AQ140" s="1827"/>
      <c r="AR140" s="1827"/>
      <c r="AS140" s="1827"/>
      <c r="AT140" s="1827"/>
      <c r="AU140" s="1827"/>
      <c r="AV140" s="1827"/>
      <c r="AW140" s="1827"/>
      <c r="AX140" s="1827"/>
      <c r="AY140" s="1827"/>
      <c r="BA140" s="2014"/>
      <c r="BB140" s="2014" t="e">
        <f t="shared" si="228"/>
        <v>#REF!</v>
      </c>
      <c r="BC140" s="2014"/>
      <c r="BD140" s="2013" t="e">
        <f>BR140*#REF!</f>
        <v>#REF!</v>
      </c>
      <c r="BE140" s="2013" t="e">
        <f>BS140*#REF!</f>
        <v>#REF!</v>
      </c>
      <c r="BF140" s="2013" t="e">
        <f>BT140*#REF!</f>
        <v>#REF!</v>
      </c>
      <c r="BG140" s="2013" t="e">
        <f>BU140*#REF!</f>
        <v>#REF!</v>
      </c>
      <c r="BH140" s="2094" t="e">
        <f>BV140*#REF!</f>
        <v>#REF!</v>
      </c>
      <c r="BI140" s="2013" t="e">
        <f>BW140*#REF!</f>
        <v>#REF!</v>
      </c>
      <c r="BJ140" s="2013" t="e">
        <f>BX140*#REF!</f>
        <v>#REF!</v>
      </c>
      <c r="BK140" s="2013" t="e">
        <f>BY140*#REF!</f>
        <v>#REF!</v>
      </c>
      <c r="BL140" s="2013" t="e">
        <f>BZ140*#REF!</f>
        <v>#REF!</v>
      </c>
      <c r="BM140" s="2013" t="e">
        <f>CA140*#REF!</f>
        <v>#REF!</v>
      </c>
      <c r="BO140" s="2040" t="str">
        <f t="shared" si="234"/>
        <v>4.1.1</v>
      </c>
      <c r="BP140" s="2040" t="str">
        <f t="shared" si="235"/>
        <v>LR1 4.1</v>
      </c>
      <c r="BQ140" s="829" t="str">
        <f t="shared" si="236"/>
        <v>モニタリング</v>
      </c>
      <c r="BR140" s="2010">
        <f t="shared" si="237"/>
        <v>0.5</v>
      </c>
      <c r="BS140" s="2010">
        <f t="shared" si="238"/>
        <v>0.5</v>
      </c>
      <c r="BT140" s="2010">
        <f t="shared" si="239"/>
        <v>0.5</v>
      </c>
      <c r="BU140" s="2010">
        <f t="shared" si="240"/>
        <v>0.5</v>
      </c>
      <c r="BV140" s="2093">
        <f t="shared" si="241"/>
        <v>0.5</v>
      </c>
      <c r="BW140" s="2010">
        <f t="shared" si="242"/>
        <v>0.5</v>
      </c>
      <c r="BX140" s="2010">
        <f t="shared" si="243"/>
        <v>0.5</v>
      </c>
      <c r="BY140" s="2010">
        <f t="shared" si="244"/>
        <v>0.5</v>
      </c>
      <c r="BZ140" s="2010">
        <f t="shared" si="245"/>
        <v>0.5</v>
      </c>
      <c r="CA140" s="2010">
        <f t="shared" si="246"/>
        <v>0</v>
      </c>
      <c r="CB140" s="2039">
        <f t="shared" si="247"/>
        <v>0</v>
      </c>
      <c r="CC140" s="2008">
        <f t="shared" si="248"/>
        <v>0</v>
      </c>
      <c r="CD140" s="2008">
        <f t="shared" si="249"/>
        <v>0</v>
      </c>
      <c r="CF140" s="1207" t="s">
        <v>1335</v>
      </c>
      <c r="CG140" s="1211" t="s">
        <v>1339</v>
      </c>
      <c r="CH140" s="1208" t="s">
        <v>1609</v>
      </c>
      <c r="CI140" s="1213">
        <v>0.5</v>
      </c>
      <c r="CJ140" s="1213">
        <v>0.5</v>
      </c>
      <c r="CK140" s="1213">
        <v>0.5</v>
      </c>
      <c r="CL140" s="1213">
        <v>0.5</v>
      </c>
      <c r="CM140" s="1213">
        <v>0.5</v>
      </c>
      <c r="CN140" s="1213">
        <v>0.5</v>
      </c>
      <c r="CO140" s="1213">
        <v>0.5</v>
      </c>
      <c r="CP140" s="1213">
        <v>0.5</v>
      </c>
      <c r="CQ140" s="1213">
        <v>0.5</v>
      </c>
      <c r="CR140" s="1213"/>
      <c r="CS140" s="1214"/>
      <c r="CT140" s="1257"/>
      <c r="CU140" s="1257"/>
      <c r="CW140" s="1207" t="s">
        <v>1335</v>
      </c>
      <c r="CX140" s="1211" t="s">
        <v>1339</v>
      </c>
      <c r="CY140" s="1208" t="s">
        <v>1609</v>
      </c>
      <c r="CZ140" s="1213">
        <v>0.5</v>
      </c>
      <c r="DA140" s="1213">
        <v>0.5</v>
      </c>
      <c r="DB140" s="1213">
        <v>0.5</v>
      </c>
      <c r="DC140" s="1213">
        <v>0.5</v>
      </c>
      <c r="DD140" s="1213">
        <v>0.5</v>
      </c>
      <c r="DE140" s="1213">
        <v>0.5</v>
      </c>
      <c r="DF140" s="1213">
        <v>0.5</v>
      </c>
      <c r="DG140" s="1213">
        <v>0.5</v>
      </c>
      <c r="DH140" s="1213">
        <v>0.5</v>
      </c>
      <c r="DI140" s="1213"/>
      <c r="DJ140" s="1214"/>
      <c r="DK140" s="1257"/>
      <c r="DL140" s="1257"/>
      <c r="DN140" s="1207" t="s">
        <v>1335</v>
      </c>
      <c r="DO140" s="1211" t="s">
        <v>1339</v>
      </c>
      <c r="DP140" s="1208" t="s">
        <v>1609</v>
      </c>
      <c r="DQ140" s="1213">
        <v>0.5</v>
      </c>
      <c r="DR140" s="1213">
        <v>0.5</v>
      </c>
      <c r="DS140" s="1213">
        <v>0.5</v>
      </c>
      <c r="DT140" s="1213">
        <v>0.5</v>
      </c>
      <c r="DU140" s="1213">
        <v>0.5</v>
      </c>
      <c r="DV140" s="1213">
        <v>0.5</v>
      </c>
      <c r="DW140" s="1213">
        <v>0.5</v>
      </c>
      <c r="DX140" s="1213">
        <v>0.5</v>
      </c>
      <c r="DY140" s="1213">
        <v>0.5</v>
      </c>
      <c r="DZ140" s="1213"/>
      <c r="EA140" s="1214"/>
      <c r="EB140" s="1257"/>
      <c r="EC140" s="1257"/>
      <c r="ED140" s="1472"/>
      <c r="EF140" s="1207" t="s">
        <v>3151</v>
      </c>
      <c r="EG140" s="1211" t="s">
        <v>3150</v>
      </c>
      <c r="EH140" s="1208" t="s">
        <v>1609</v>
      </c>
      <c r="EI140" s="1689">
        <f t="shared" si="217"/>
        <v>0.5</v>
      </c>
      <c r="EJ140" s="1689">
        <f t="shared" si="218"/>
        <v>0.5</v>
      </c>
      <c r="EK140" s="1689">
        <f t="shared" si="219"/>
        <v>0.5</v>
      </c>
      <c r="EL140" s="1689">
        <f t="shared" si="220"/>
        <v>0.5</v>
      </c>
      <c r="EM140" s="1689">
        <f t="shared" si="221"/>
        <v>0.5</v>
      </c>
      <c r="EN140" s="1689">
        <f t="shared" si="222"/>
        <v>0.5</v>
      </c>
      <c r="EO140" s="1689">
        <f t="shared" si="223"/>
        <v>0.5</v>
      </c>
      <c r="EP140" s="1689">
        <f t="shared" si="224"/>
        <v>0.5</v>
      </c>
      <c r="EQ140" s="1689">
        <f t="shared" si="225"/>
        <v>0.5</v>
      </c>
      <c r="ER140" s="1689">
        <f t="shared" si="226"/>
        <v>0</v>
      </c>
      <c r="ES140" s="1691">
        <f t="shared" si="214"/>
        <v>0</v>
      </c>
      <c r="ET140" s="1704">
        <f t="shared" si="215"/>
        <v>0</v>
      </c>
      <c r="EU140" s="1704">
        <f t="shared" si="216"/>
        <v>0</v>
      </c>
      <c r="EW140" s="1207" t="s">
        <v>1335</v>
      </c>
      <c r="EX140" s="1211" t="s">
        <v>1339</v>
      </c>
      <c r="EY140" s="1208" t="s">
        <v>1609</v>
      </c>
      <c r="EZ140" s="1678">
        <f t="shared" si="227"/>
        <v>0.5</v>
      </c>
      <c r="FA140" s="1678"/>
      <c r="FB140" s="1678"/>
      <c r="FC140" s="1678"/>
      <c r="FD140" s="1678"/>
      <c r="FE140" s="1678"/>
      <c r="FF140" s="1678"/>
      <c r="FG140" s="1678"/>
      <c r="FH140" s="1678"/>
      <c r="FI140" s="1678"/>
      <c r="FJ140" s="1795"/>
      <c r="FK140" s="1681"/>
      <c r="FL140" s="1681"/>
    </row>
    <row r="141" spans="2:168" ht="14.25" thickBot="1">
      <c r="B141" s="2023" t="str">
        <f t="shared" si="210"/>
        <v>4.1.2</v>
      </c>
      <c r="C141" s="829" t="str">
        <f t="shared" si="230"/>
        <v>運用管理体制</v>
      </c>
      <c r="D141" s="2100" t="e">
        <f>IF(I$139&gt;0,G141/I$139,0)</f>
        <v>#REF!</v>
      </c>
      <c r="E141" s="2100" t="e">
        <f>IF(J$139&gt;0,H141/J$139,0)</f>
        <v>#REF!</v>
      </c>
      <c r="G141" s="2021" t="e">
        <f t="shared" si="231"/>
        <v>#REF!</v>
      </c>
      <c r="H141" s="2021" t="e">
        <f t="shared" si="232"/>
        <v>#REF!</v>
      </c>
      <c r="I141" s="2021"/>
      <c r="J141" s="2021"/>
      <c r="K141" s="2021" t="e">
        <f>IF(#REF!=0,0,1)</f>
        <v>#REF!</v>
      </c>
      <c r="L141" s="2021" t="e">
        <f>IF(#REF!=0,0,1)</f>
        <v>#REF!</v>
      </c>
      <c r="M141" s="2021">
        <f t="shared" si="233"/>
        <v>0.5</v>
      </c>
      <c r="N141" s="2021">
        <f t="shared" si="212"/>
        <v>0</v>
      </c>
      <c r="P141" s="2123"/>
      <c r="Q141" s="2125"/>
      <c r="R141" s="993">
        <v>4.2</v>
      </c>
      <c r="S141" s="1655" t="s">
        <v>1064</v>
      </c>
      <c r="T141" s="2036"/>
      <c r="U141" s="2017"/>
      <c r="V141" s="2016">
        <f t="shared" si="205"/>
        <v>0</v>
      </c>
      <c r="W141" s="2015">
        <f t="shared" si="206"/>
        <v>0</v>
      </c>
      <c r="Y141" s="1">
        <f t="shared" si="250"/>
        <v>0</v>
      </c>
      <c r="Z141" s="1">
        <f t="shared" si="251"/>
        <v>0</v>
      </c>
      <c r="AA141" s="1">
        <f t="shared" si="252"/>
        <v>0</v>
      </c>
      <c r="AB141" s="1">
        <f t="shared" si="253"/>
        <v>0</v>
      </c>
      <c r="AC141" s="1">
        <f t="shared" si="254"/>
        <v>0</v>
      </c>
      <c r="AD141" s="1">
        <f t="shared" si="255"/>
        <v>0</v>
      </c>
      <c r="AE141" s="1">
        <f t="shared" si="256"/>
        <v>0</v>
      </c>
      <c r="AF141" s="1">
        <f t="shared" si="257"/>
        <v>0</v>
      </c>
      <c r="AG141" s="1">
        <f t="shared" si="258"/>
        <v>0</v>
      </c>
      <c r="AH141" s="1">
        <f t="shared" si="259"/>
        <v>0</v>
      </c>
      <c r="AI141" s="1">
        <f t="shared" si="260"/>
        <v>0</v>
      </c>
      <c r="AJ141" s="1">
        <f t="shared" si="261"/>
        <v>0</v>
      </c>
      <c r="AK141" s="1">
        <f t="shared" si="262"/>
        <v>0</v>
      </c>
      <c r="AM141" s="1831"/>
      <c r="AN141" s="1831"/>
      <c r="AO141" s="1831"/>
      <c r="AP141" s="1831"/>
      <c r="AQ141" s="1831"/>
      <c r="AR141" s="1831"/>
      <c r="AS141" s="1831"/>
      <c r="AT141" s="1831"/>
      <c r="AU141" s="1831"/>
      <c r="AV141" s="1831"/>
      <c r="AW141" s="1831"/>
      <c r="AX141" s="1831"/>
      <c r="AY141" s="1831"/>
      <c r="BA141" s="2014"/>
      <c r="BB141" s="2014" t="e">
        <f t="shared" si="228"/>
        <v>#REF!</v>
      </c>
      <c r="BC141" s="2014"/>
      <c r="BD141" s="2013" t="e">
        <f>BR141*#REF!</f>
        <v>#REF!</v>
      </c>
      <c r="BE141" s="2013" t="e">
        <f>BS141*#REF!</f>
        <v>#REF!</v>
      </c>
      <c r="BF141" s="2013" t="e">
        <f>BT141*#REF!</f>
        <v>#REF!</v>
      </c>
      <c r="BG141" s="2013" t="e">
        <f>BU141*#REF!</f>
        <v>#REF!</v>
      </c>
      <c r="BH141" s="2094" t="e">
        <f>BV141*#REF!</f>
        <v>#REF!</v>
      </c>
      <c r="BI141" s="2013" t="e">
        <f>BW141*#REF!</f>
        <v>#REF!</v>
      </c>
      <c r="BJ141" s="2013" t="e">
        <f>BX141*#REF!</f>
        <v>#REF!</v>
      </c>
      <c r="BK141" s="2013" t="e">
        <f>BY141*#REF!</f>
        <v>#REF!</v>
      </c>
      <c r="BL141" s="2013" t="e">
        <f>BZ141*#REF!</f>
        <v>#REF!</v>
      </c>
      <c r="BM141" s="2013" t="e">
        <f>CA141*#REF!</f>
        <v>#REF!</v>
      </c>
      <c r="BO141" s="2040" t="str">
        <f t="shared" si="234"/>
        <v>4.1.2</v>
      </c>
      <c r="BP141" s="2040" t="str">
        <f t="shared" si="235"/>
        <v>LR1 4.1</v>
      </c>
      <c r="BQ141" s="829" t="str">
        <f t="shared" si="236"/>
        <v>運用管理体制</v>
      </c>
      <c r="BR141" s="2010">
        <f t="shared" si="237"/>
        <v>0.5</v>
      </c>
      <c r="BS141" s="2010">
        <f t="shared" si="238"/>
        <v>0.5</v>
      </c>
      <c r="BT141" s="2010">
        <f t="shared" si="239"/>
        <v>0.5</v>
      </c>
      <c r="BU141" s="2010">
        <f t="shared" si="240"/>
        <v>0.5</v>
      </c>
      <c r="BV141" s="2093">
        <f t="shared" si="241"/>
        <v>0.5</v>
      </c>
      <c r="BW141" s="2010">
        <f t="shared" si="242"/>
        <v>0.5</v>
      </c>
      <c r="BX141" s="2010">
        <f t="shared" si="243"/>
        <v>0.5</v>
      </c>
      <c r="BY141" s="2010">
        <f t="shared" si="244"/>
        <v>0.5</v>
      </c>
      <c r="BZ141" s="2010">
        <f t="shared" si="245"/>
        <v>0.5</v>
      </c>
      <c r="CA141" s="2010">
        <f t="shared" si="246"/>
        <v>0</v>
      </c>
      <c r="CB141" s="2039">
        <f t="shared" si="247"/>
        <v>0</v>
      </c>
      <c r="CC141" s="2008">
        <f t="shared" si="248"/>
        <v>0</v>
      </c>
      <c r="CD141" s="2008">
        <f t="shared" si="249"/>
        <v>0</v>
      </c>
      <c r="CF141" s="1207" t="s">
        <v>1336</v>
      </c>
      <c r="CG141" s="1211" t="s">
        <v>1339</v>
      </c>
      <c r="CH141" s="1208" t="s">
        <v>1064</v>
      </c>
      <c r="CI141" s="1213">
        <v>0.5</v>
      </c>
      <c r="CJ141" s="1213">
        <v>0.5</v>
      </c>
      <c r="CK141" s="1213">
        <v>0.5</v>
      </c>
      <c r="CL141" s="1213">
        <v>0.5</v>
      </c>
      <c r="CM141" s="1213">
        <v>0.5</v>
      </c>
      <c r="CN141" s="1213">
        <v>0.5</v>
      </c>
      <c r="CO141" s="1213">
        <v>0.5</v>
      </c>
      <c r="CP141" s="1213">
        <v>0.5</v>
      </c>
      <c r="CQ141" s="1213">
        <v>0.5</v>
      </c>
      <c r="CR141" s="1213"/>
      <c r="CS141" s="1214"/>
      <c r="CT141" s="1257"/>
      <c r="CU141" s="1257"/>
      <c r="CW141" s="1207" t="s">
        <v>1336</v>
      </c>
      <c r="CX141" s="1211" t="s">
        <v>1339</v>
      </c>
      <c r="CY141" s="1208" t="s">
        <v>1064</v>
      </c>
      <c r="CZ141" s="1213">
        <v>0.5</v>
      </c>
      <c r="DA141" s="1213">
        <v>0.5</v>
      </c>
      <c r="DB141" s="1213">
        <v>0.5</v>
      </c>
      <c r="DC141" s="1213">
        <v>0.5</v>
      </c>
      <c r="DD141" s="1213">
        <v>0.5</v>
      </c>
      <c r="DE141" s="1213">
        <v>0.5</v>
      </c>
      <c r="DF141" s="1213">
        <v>0.5</v>
      </c>
      <c r="DG141" s="1213">
        <v>0.5</v>
      </c>
      <c r="DH141" s="1213">
        <v>0.5</v>
      </c>
      <c r="DI141" s="1213"/>
      <c r="DJ141" s="1214"/>
      <c r="DK141" s="1257"/>
      <c r="DL141" s="1257"/>
      <c r="DN141" s="1207" t="s">
        <v>1336</v>
      </c>
      <c r="DO141" s="1211" t="s">
        <v>1339</v>
      </c>
      <c r="DP141" s="1208" t="s">
        <v>1064</v>
      </c>
      <c r="DQ141" s="1213">
        <v>0.5</v>
      </c>
      <c r="DR141" s="1213">
        <v>0.5</v>
      </c>
      <c r="DS141" s="1213">
        <v>0.5</v>
      </c>
      <c r="DT141" s="1213">
        <v>0.5</v>
      </c>
      <c r="DU141" s="1213">
        <v>0.5</v>
      </c>
      <c r="DV141" s="1213">
        <v>0.5</v>
      </c>
      <c r="DW141" s="1213">
        <v>0.5</v>
      </c>
      <c r="DX141" s="1213">
        <v>0.5</v>
      </c>
      <c r="DY141" s="1213">
        <v>0.5</v>
      </c>
      <c r="DZ141" s="1213"/>
      <c r="EA141" s="1214"/>
      <c r="EB141" s="1257"/>
      <c r="EC141" s="1257"/>
      <c r="ED141" s="1472"/>
      <c r="EF141" s="1207" t="s">
        <v>1336</v>
      </c>
      <c r="EG141" s="1211" t="s">
        <v>1339</v>
      </c>
      <c r="EH141" s="1208" t="s">
        <v>1064</v>
      </c>
      <c r="EI141" s="1689">
        <f t="shared" si="217"/>
        <v>0.5</v>
      </c>
      <c r="EJ141" s="1689">
        <f t="shared" si="218"/>
        <v>0.5</v>
      </c>
      <c r="EK141" s="1689">
        <f t="shared" si="219"/>
        <v>0.5</v>
      </c>
      <c r="EL141" s="1689">
        <f t="shared" si="220"/>
        <v>0.5</v>
      </c>
      <c r="EM141" s="1689">
        <f t="shared" si="221"/>
        <v>0.5</v>
      </c>
      <c r="EN141" s="1689">
        <f t="shared" si="222"/>
        <v>0.5</v>
      </c>
      <c r="EO141" s="1689">
        <f t="shared" si="223"/>
        <v>0.5</v>
      </c>
      <c r="EP141" s="1689">
        <f t="shared" si="224"/>
        <v>0.5</v>
      </c>
      <c r="EQ141" s="1689">
        <f t="shared" si="225"/>
        <v>0.5</v>
      </c>
      <c r="ER141" s="1689">
        <f t="shared" si="226"/>
        <v>0</v>
      </c>
      <c r="ES141" s="1691">
        <f t="shared" si="214"/>
        <v>0</v>
      </c>
      <c r="ET141" s="1704">
        <f t="shared" si="215"/>
        <v>0</v>
      </c>
      <c r="EU141" s="1704">
        <f t="shared" si="216"/>
        <v>0</v>
      </c>
      <c r="EW141" s="1207" t="s">
        <v>1336</v>
      </c>
      <c r="EX141" s="1211" t="s">
        <v>1339</v>
      </c>
      <c r="EY141" s="1208" t="s">
        <v>1064</v>
      </c>
      <c r="EZ141" s="1678">
        <f t="shared" si="227"/>
        <v>0.5</v>
      </c>
      <c r="FA141" s="1678"/>
      <c r="FB141" s="1678"/>
      <c r="FC141" s="1678"/>
      <c r="FD141" s="1678"/>
      <c r="FE141" s="1678"/>
      <c r="FF141" s="1678"/>
      <c r="FG141" s="1678"/>
      <c r="FH141" s="1678"/>
      <c r="FI141" s="1678"/>
      <c r="FJ141" s="1795"/>
      <c r="FK141" s="1681"/>
      <c r="FL141" s="1681"/>
    </row>
    <row r="142" spans="2:168" ht="14.25" thickBot="1">
      <c r="B142" s="2023">
        <f t="shared" si="210"/>
        <v>4.2</v>
      </c>
      <c r="C142" s="829" t="str">
        <f t="shared" si="230"/>
        <v>住宅の評価</v>
      </c>
      <c r="D142" s="2022" t="e">
        <f>IF(I$138=0,0,G142/I$138)</f>
        <v>#REF!</v>
      </c>
      <c r="E142" s="2022" t="e">
        <f>IF(J$138=0,0,H142/J$138)</f>
        <v>#REF!</v>
      </c>
      <c r="G142" s="2021" t="e">
        <f t="shared" si="231"/>
        <v>#REF!</v>
      </c>
      <c r="H142" s="2021" t="e">
        <f t="shared" si="232"/>
        <v>#REF!</v>
      </c>
      <c r="I142" s="2021" t="e">
        <f>SUM(G143:G144)</f>
        <v>#REF!</v>
      </c>
      <c r="J142" s="2021" t="e">
        <f>SUM(H143:H144)</f>
        <v>#REF!</v>
      </c>
      <c r="K142" s="2021" t="e">
        <f>IF(#REF!=0,0,1)</f>
        <v>#REF!</v>
      </c>
      <c r="L142" s="2021" t="e">
        <f>IF(#REF!=0,0,1)</f>
        <v>#REF!</v>
      </c>
      <c r="M142" s="2021">
        <f t="shared" si="233"/>
        <v>0</v>
      </c>
      <c r="N142" s="2021">
        <f t="shared" si="212"/>
        <v>0</v>
      </c>
      <c r="P142" s="2123"/>
      <c r="Q142" s="2068"/>
      <c r="R142" s="2129" t="s">
        <v>3149</v>
      </c>
      <c r="S142" s="2107"/>
      <c r="T142" s="2106"/>
      <c r="U142" s="2017"/>
      <c r="V142" s="2105">
        <f t="shared" ref="V142:V173" si="263">IF(SUMPRODUCT($AM$7:$AV$7,Y142:AH142)=0,0,SUMPRODUCT($AM$7:$AV$7,AM142:AV142)/SUMPRODUCT($AM$7:$AV$7,Y142:AH142))</f>
        <v>0</v>
      </c>
      <c r="W142" s="2104">
        <f t="shared" ref="W142:W173" si="264">IF(SUMPRODUCT($AW$7:$AY$7,AI142:AK142)=0,0,SUMPRODUCT($AW$7:$AY$7,AW142:AY142)/SUMPRODUCT($AW$7:$AY$7,AI142:AK142))</f>
        <v>0</v>
      </c>
      <c r="Y142" s="1">
        <f t="shared" si="250"/>
        <v>0</v>
      </c>
      <c r="Z142" s="1">
        <f t="shared" si="251"/>
        <v>0</v>
      </c>
      <c r="AA142" s="1">
        <f t="shared" si="252"/>
        <v>0</v>
      </c>
      <c r="AB142" s="1">
        <f t="shared" si="253"/>
        <v>0</v>
      </c>
      <c r="AC142" s="1">
        <f t="shared" si="254"/>
        <v>0</v>
      </c>
      <c r="AD142" s="1">
        <f t="shared" si="255"/>
        <v>0</v>
      </c>
      <c r="AE142" s="1">
        <f t="shared" si="256"/>
        <v>0</v>
      </c>
      <c r="AF142" s="1">
        <f t="shared" si="257"/>
        <v>0</v>
      </c>
      <c r="AG142" s="1">
        <f t="shared" si="258"/>
        <v>0</v>
      </c>
      <c r="AH142" s="1">
        <f t="shared" si="259"/>
        <v>0</v>
      </c>
      <c r="AI142" s="1">
        <f t="shared" si="260"/>
        <v>0</v>
      </c>
      <c r="AJ142" s="1">
        <f t="shared" si="261"/>
        <v>0</v>
      </c>
      <c r="AK142" s="1">
        <f t="shared" si="262"/>
        <v>0</v>
      </c>
      <c r="AM142" s="2103" t="s">
        <v>177</v>
      </c>
      <c r="AN142" s="2103" t="s">
        <v>177</v>
      </c>
      <c r="AO142" s="2103" t="s">
        <v>177</v>
      </c>
      <c r="AP142" s="2103" t="s">
        <v>177</v>
      </c>
      <c r="AQ142" s="2103" t="s">
        <v>177</v>
      </c>
      <c r="AR142" s="2103" t="s">
        <v>177</v>
      </c>
      <c r="AS142" s="2103" t="s">
        <v>177</v>
      </c>
      <c r="AT142" s="2103" t="s">
        <v>177</v>
      </c>
      <c r="AU142" s="2103" t="s">
        <v>177</v>
      </c>
      <c r="AV142" s="2103" t="s">
        <v>177</v>
      </c>
      <c r="AW142" s="2103" t="s">
        <v>177</v>
      </c>
      <c r="AX142" s="2103" t="s">
        <v>177</v>
      </c>
      <c r="AY142" s="2103" t="s">
        <v>177</v>
      </c>
      <c r="BA142" s="2014"/>
      <c r="BB142" s="2014" t="e">
        <f t="shared" si="228"/>
        <v>#REF!</v>
      </c>
      <c r="BC142" s="2014"/>
      <c r="BD142" s="2013" t="e">
        <f>BR142*#REF!</f>
        <v>#REF!</v>
      </c>
      <c r="BE142" s="2013" t="e">
        <f>BS142*#REF!</f>
        <v>#REF!</v>
      </c>
      <c r="BF142" s="2013" t="e">
        <f>BT142*#REF!</f>
        <v>#REF!</v>
      </c>
      <c r="BG142" s="2013" t="e">
        <f>BU142*#REF!</f>
        <v>#REF!</v>
      </c>
      <c r="BH142" s="2094" t="e">
        <f>BV142*#REF!</f>
        <v>#REF!</v>
      </c>
      <c r="BI142" s="2013" t="e">
        <f>BW142*#REF!</f>
        <v>#REF!</v>
      </c>
      <c r="BJ142" s="2013" t="e">
        <f>BX142*#REF!</f>
        <v>#REF!</v>
      </c>
      <c r="BK142" s="2013" t="e">
        <f>BY142*#REF!</f>
        <v>#REF!</v>
      </c>
      <c r="BL142" s="2013" t="e">
        <f>BZ142*#REF!</f>
        <v>#REF!</v>
      </c>
      <c r="BM142" s="2013" t="e">
        <f>CA142*#REF!</f>
        <v>#REF!</v>
      </c>
      <c r="BO142" s="2040">
        <f t="shared" si="234"/>
        <v>4.2</v>
      </c>
      <c r="BP142" s="2040" t="str">
        <f t="shared" si="235"/>
        <v>LR1 4</v>
      </c>
      <c r="BQ142" s="829" t="str">
        <f t="shared" si="236"/>
        <v>住宅の評価</v>
      </c>
      <c r="BR142" s="2010">
        <f t="shared" si="237"/>
        <v>0</v>
      </c>
      <c r="BS142" s="2010">
        <f t="shared" si="238"/>
        <v>0</v>
      </c>
      <c r="BT142" s="2010">
        <f t="shared" si="239"/>
        <v>0</v>
      </c>
      <c r="BU142" s="2010">
        <f t="shared" si="240"/>
        <v>0</v>
      </c>
      <c r="BV142" s="2093">
        <f t="shared" si="241"/>
        <v>0</v>
      </c>
      <c r="BW142" s="2010">
        <f t="shared" si="242"/>
        <v>0</v>
      </c>
      <c r="BX142" s="2010">
        <f t="shared" si="243"/>
        <v>0</v>
      </c>
      <c r="BY142" s="2010">
        <f t="shared" si="244"/>
        <v>0</v>
      </c>
      <c r="BZ142" s="2010">
        <f t="shared" si="245"/>
        <v>0</v>
      </c>
      <c r="CA142" s="2010">
        <f t="shared" si="246"/>
        <v>1</v>
      </c>
      <c r="CB142" s="2039">
        <f t="shared" si="247"/>
        <v>0</v>
      </c>
      <c r="CC142" s="2008">
        <f t="shared" si="248"/>
        <v>0</v>
      </c>
      <c r="CD142" s="2008">
        <f t="shared" si="249"/>
        <v>0</v>
      </c>
      <c r="CF142" s="1207">
        <v>4.2</v>
      </c>
      <c r="CG142" s="1211" t="s">
        <v>123</v>
      </c>
      <c r="CH142" s="1208" t="s">
        <v>3148</v>
      </c>
      <c r="CI142" s="1213"/>
      <c r="CJ142" s="1213"/>
      <c r="CK142" s="1213"/>
      <c r="CL142" s="1213"/>
      <c r="CM142" s="1220"/>
      <c r="CN142" s="1213"/>
      <c r="CO142" s="1213"/>
      <c r="CP142" s="1213"/>
      <c r="CQ142" s="1213"/>
      <c r="CR142" s="1213">
        <v>1</v>
      </c>
      <c r="CS142" s="1214"/>
      <c r="CT142" s="1257"/>
      <c r="CU142" s="1257"/>
      <c r="CW142" s="1207">
        <v>4.2</v>
      </c>
      <c r="CX142" s="1211" t="s">
        <v>123</v>
      </c>
      <c r="CY142" s="1208" t="s">
        <v>3148</v>
      </c>
      <c r="CZ142" s="1213"/>
      <c r="DA142" s="1213"/>
      <c r="DB142" s="1213"/>
      <c r="DC142" s="1213"/>
      <c r="DD142" s="1220"/>
      <c r="DE142" s="1213"/>
      <c r="DF142" s="1213"/>
      <c r="DG142" s="1213"/>
      <c r="DH142" s="1213"/>
      <c r="DI142" s="1213">
        <v>1</v>
      </c>
      <c r="DJ142" s="1214"/>
      <c r="DK142" s="1257"/>
      <c r="DL142" s="1257"/>
      <c r="DN142" s="1207">
        <v>4.2</v>
      </c>
      <c r="DO142" s="1211" t="s">
        <v>123</v>
      </c>
      <c r="DP142" s="1208" t="s">
        <v>3148</v>
      </c>
      <c r="DQ142" s="1213"/>
      <c r="DR142" s="1213"/>
      <c r="DS142" s="1213"/>
      <c r="DT142" s="1213"/>
      <c r="DU142" s="1220"/>
      <c r="DV142" s="1213"/>
      <c r="DW142" s="1213"/>
      <c r="DX142" s="1213"/>
      <c r="DY142" s="1213"/>
      <c r="DZ142" s="1213">
        <v>1</v>
      </c>
      <c r="EA142" s="1214"/>
      <c r="EB142" s="1257"/>
      <c r="EC142" s="1257"/>
      <c r="ED142" s="1472"/>
      <c r="EF142" s="1207">
        <v>4.2</v>
      </c>
      <c r="EG142" s="1211" t="s">
        <v>123</v>
      </c>
      <c r="EH142" s="1208" t="s">
        <v>3148</v>
      </c>
      <c r="EI142" s="1689">
        <f t="shared" si="217"/>
        <v>0</v>
      </c>
      <c r="EJ142" s="1689">
        <f t="shared" si="218"/>
        <v>0</v>
      </c>
      <c r="EK142" s="1689">
        <f t="shared" si="219"/>
        <v>0</v>
      </c>
      <c r="EL142" s="1689">
        <f t="shared" si="220"/>
        <v>0</v>
      </c>
      <c r="EM142" s="1701">
        <f t="shared" si="221"/>
        <v>0</v>
      </c>
      <c r="EN142" s="1689">
        <f t="shared" si="222"/>
        <v>0</v>
      </c>
      <c r="EO142" s="1689">
        <f t="shared" si="223"/>
        <v>0</v>
      </c>
      <c r="EP142" s="1689">
        <f t="shared" si="224"/>
        <v>0</v>
      </c>
      <c r="EQ142" s="1689">
        <f t="shared" si="225"/>
        <v>0</v>
      </c>
      <c r="ER142" s="1689">
        <f t="shared" si="226"/>
        <v>1</v>
      </c>
      <c r="ES142" s="1691">
        <f t="shared" si="214"/>
        <v>0</v>
      </c>
      <c r="ET142" s="1704">
        <f t="shared" si="215"/>
        <v>0</v>
      </c>
      <c r="EU142" s="1704">
        <f t="shared" si="216"/>
        <v>0</v>
      </c>
      <c r="EW142" s="1207">
        <v>4.2</v>
      </c>
      <c r="EX142" s="1211" t="s">
        <v>123</v>
      </c>
      <c r="EY142" s="1208" t="s">
        <v>3148</v>
      </c>
      <c r="EZ142" s="1678">
        <f t="shared" si="227"/>
        <v>0</v>
      </c>
      <c r="FA142" s="1678"/>
      <c r="FB142" s="1678"/>
      <c r="FC142" s="1678"/>
      <c r="FD142" s="1738"/>
      <c r="FE142" s="1678"/>
      <c r="FF142" s="1678"/>
      <c r="FG142" s="1678"/>
      <c r="FH142" s="1678"/>
      <c r="FI142" s="1678"/>
      <c r="FJ142" s="1795"/>
      <c r="FK142" s="1681"/>
      <c r="FL142" s="1681"/>
    </row>
    <row r="143" spans="2:168">
      <c r="B143" s="2023" t="str">
        <f t="shared" si="210"/>
        <v>4.2.1</v>
      </c>
      <c r="C143" s="829" t="str">
        <f t="shared" si="230"/>
        <v>モニタリング</v>
      </c>
      <c r="D143" s="2100" t="e">
        <f>IF(I$142&gt;0,G143/I$142,0)</f>
        <v>#REF!</v>
      </c>
      <c r="E143" s="2100" t="e">
        <f>IF(J$142&gt;0,H143/J$142,0)</f>
        <v>#REF!</v>
      </c>
      <c r="G143" s="2021" t="e">
        <f t="shared" si="231"/>
        <v>#REF!</v>
      </c>
      <c r="H143" s="2021" t="e">
        <f t="shared" si="232"/>
        <v>#REF!</v>
      </c>
      <c r="I143" s="2021"/>
      <c r="J143" s="2021"/>
      <c r="K143" s="2021" t="e">
        <f>IF(#REF!=0,0,1)</f>
        <v>#REF!</v>
      </c>
      <c r="L143" s="2021" t="e">
        <f>IF(#REF!=0,0,1)</f>
        <v>#REF!</v>
      </c>
      <c r="M143" s="2021">
        <f t="shared" si="233"/>
        <v>0</v>
      </c>
      <c r="N143" s="2021">
        <f t="shared" si="212"/>
        <v>0</v>
      </c>
      <c r="P143" s="2123"/>
      <c r="Q143" s="2127"/>
      <c r="R143" s="993">
        <v>4.0999999999999996</v>
      </c>
      <c r="S143" s="1655" t="s">
        <v>849</v>
      </c>
      <c r="T143" s="2036"/>
      <c r="U143" s="2017"/>
      <c r="V143" s="2025">
        <f t="shared" si="263"/>
        <v>0</v>
      </c>
      <c r="W143" s="2024">
        <f t="shared" si="264"/>
        <v>0</v>
      </c>
      <c r="Y143" s="1">
        <f t="shared" si="250"/>
        <v>0</v>
      </c>
      <c r="Z143" s="1">
        <f t="shared" si="251"/>
        <v>0</v>
      </c>
      <c r="AA143" s="1">
        <f t="shared" si="252"/>
        <v>0</v>
      </c>
      <c r="AB143" s="1">
        <f t="shared" si="253"/>
        <v>0</v>
      </c>
      <c r="AC143" s="1">
        <f t="shared" si="254"/>
        <v>0</v>
      </c>
      <c r="AD143" s="1">
        <f t="shared" si="255"/>
        <v>0</v>
      </c>
      <c r="AE143" s="1">
        <f t="shared" si="256"/>
        <v>0</v>
      </c>
      <c r="AF143" s="1">
        <f t="shared" si="257"/>
        <v>0</v>
      </c>
      <c r="AG143" s="1">
        <f t="shared" si="258"/>
        <v>0</v>
      </c>
      <c r="AH143" s="1">
        <f t="shared" si="259"/>
        <v>0</v>
      </c>
      <c r="AI143" s="1">
        <f t="shared" si="260"/>
        <v>0</v>
      </c>
      <c r="AJ143" s="1">
        <f t="shared" si="261"/>
        <v>0</v>
      </c>
      <c r="AK143" s="1">
        <f t="shared" si="262"/>
        <v>0</v>
      </c>
      <c r="AM143" s="1827"/>
      <c r="AN143" s="1827"/>
      <c r="AO143" s="1827"/>
      <c r="AP143" s="1827"/>
      <c r="AQ143" s="1827"/>
      <c r="AR143" s="1827"/>
      <c r="AS143" s="1827"/>
      <c r="AT143" s="1827"/>
      <c r="AU143" s="1827"/>
      <c r="AV143" s="1827"/>
      <c r="AW143" s="1827"/>
      <c r="AX143" s="1827"/>
      <c r="AY143" s="1827"/>
      <c r="BA143" s="2014"/>
      <c r="BB143" s="2014" t="e">
        <f t="shared" si="228"/>
        <v>#REF!</v>
      </c>
      <c r="BC143" s="2014"/>
      <c r="BD143" s="2013" t="e">
        <f>BR143*#REF!</f>
        <v>#REF!</v>
      </c>
      <c r="BE143" s="2013" t="e">
        <f>BS143*#REF!</f>
        <v>#REF!</v>
      </c>
      <c r="BF143" s="2013" t="e">
        <f>BT143*#REF!</f>
        <v>#REF!</v>
      </c>
      <c r="BG143" s="2013" t="e">
        <f>BU143*#REF!</f>
        <v>#REF!</v>
      </c>
      <c r="BH143" s="2094" t="e">
        <f>BV143*#REF!</f>
        <v>#REF!</v>
      </c>
      <c r="BI143" s="2013" t="e">
        <f>BW143*#REF!</f>
        <v>#REF!</v>
      </c>
      <c r="BJ143" s="2013" t="e">
        <f>BX143*#REF!</f>
        <v>#REF!</v>
      </c>
      <c r="BK143" s="2013" t="e">
        <f>BY143*#REF!</f>
        <v>#REF!</v>
      </c>
      <c r="BL143" s="2013" t="e">
        <f>BZ143*#REF!</f>
        <v>#REF!</v>
      </c>
      <c r="BM143" s="2013" t="e">
        <f>CA143*#REF!</f>
        <v>#REF!</v>
      </c>
      <c r="BO143" s="2040" t="str">
        <f t="shared" si="234"/>
        <v>4.2.1</v>
      </c>
      <c r="BP143" s="2040" t="str">
        <f t="shared" si="235"/>
        <v>LR1 4.2</v>
      </c>
      <c r="BQ143" s="829" t="str">
        <f t="shared" si="236"/>
        <v>モニタリング</v>
      </c>
      <c r="BR143" s="2010">
        <f t="shared" si="237"/>
        <v>0</v>
      </c>
      <c r="BS143" s="2010">
        <f t="shared" si="238"/>
        <v>0</v>
      </c>
      <c r="BT143" s="2010">
        <f t="shared" si="239"/>
        <v>0</v>
      </c>
      <c r="BU143" s="2010">
        <f t="shared" si="240"/>
        <v>0</v>
      </c>
      <c r="BV143" s="2093">
        <f t="shared" si="241"/>
        <v>0</v>
      </c>
      <c r="BW143" s="2010">
        <f t="shared" si="242"/>
        <v>0</v>
      </c>
      <c r="BX143" s="2010">
        <f t="shared" si="243"/>
        <v>0</v>
      </c>
      <c r="BY143" s="2010">
        <f t="shared" si="244"/>
        <v>0</v>
      </c>
      <c r="BZ143" s="2010">
        <f t="shared" si="245"/>
        <v>0</v>
      </c>
      <c r="CA143" s="2010">
        <f t="shared" si="246"/>
        <v>0.5</v>
      </c>
      <c r="CB143" s="2039">
        <f t="shared" si="247"/>
        <v>0</v>
      </c>
      <c r="CC143" s="2008">
        <f t="shared" si="248"/>
        <v>0</v>
      </c>
      <c r="CD143" s="2008">
        <f t="shared" si="249"/>
        <v>0</v>
      </c>
      <c r="CF143" s="1207" t="s">
        <v>1337</v>
      </c>
      <c r="CG143" s="1211" t="s">
        <v>1341</v>
      </c>
      <c r="CH143" s="1208" t="s">
        <v>1329</v>
      </c>
      <c r="CI143" s="1213"/>
      <c r="CJ143" s="1213"/>
      <c r="CK143" s="1213"/>
      <c r="CL143" s="1213"/>
      <c r="CM143" s="1220"/>
      <c r="CN143" s="1213"/>
      <c r="CO143" s="1213"/>
      <c r="CP143" s="1213"/>
      <c r="CQ143" s="1213"/>
      <c r="CR143" s="1213">
        <v>0.5</v>
      </c>
      <c r="CS143" s="1214"/>
      <c r="CT143" s="1257"/>
      <c r="CU143" s="1257"/>
      <c r="CW143" s="1207" t="s">
        <v>1337</v>
      </c>
      <c r="CX143" s="1211" t="s">
        <v>1341</v>
      </c>
      <c r="CY143" s="1208" t="s">
        <v>855</v>
      </c>
      <c r="CZ143" s="1213"/>
      <c r="DA143" s="1213"/>
      <c r="DB143" s="1213"/>
      <c r="DC143" s="1213"/>
      <c r="DD143" s="1220"/>
      <c r="DE143" s="1213"/>
      <c r="DF143" s="1213"/>
      <c r="DG143" s="1213"/>
      <c r="DH143" s="1213"/>
      <c r="DI143" s="1213">
        <v>0.5</v>
      </c>
      <c r="DJ143" s="1214"/>
      <c r="DK143" s="1257"/>
      <c r="DL143" s="1257"/>
      <c r="DN143" s="1207" t="s">
        <v>1337</v>
      </c>
      <c r="DO143" s="1211" t="s">
        <v>1341</v>
      </c>
      <c r="DP143" s="1208" t="s">
        <v>855</v>
      </c>
      <c r="DQ143" s="1213"/>
      <c r="DR143" s="1213"/>
      <c r="DS143" s="1213"/>
      <c r="DT143" s="1213"/>
      <c r="DU143" s="1220"/>
      <c r="DV143" s="1213"/>
      <c r="DW143" s="1213"/>
      <c r="DX143" s="1213"/>
      <c r="DY143" s="1213"/>
      <c r="DZ143" s="1213">
        <v>0.5</v>
      </c>
      <c r="EA143" s="1214"/>
      <c r="EB143" s="1257"/>
      <c r="EC143" s="1257"/>
      <c r="ED143" s="1472"/>
      <c r="EF143" s="1207" t="s">
        <v>1337</v>
      </c>
      <c r="EG143" s="1211" t="s">
        <v>1341</v>
      </c>
      <c r="EH143" s="1208" t="s">
        <v>855</v>
      </c>
      <c r="EI143" s="1689">
        <f t="shared" si="217"/>
        <v>0</v>
      </c>
      <c r="EJ143" s="1689">
        <f t="shared" si="218"/>
        <v>0</v>
      </c>
      <c r="EK143" s="1689">
        <f t="shared" si="219"/>
        <v>0</v>
      </c>
      <c r="EL143" s="1689">
        <f t="shared" si="220"/>
        <v>0</v>
      </c>
      <c r="EM143" s="1701">
        <f t="shared" si="221"/>
        <v>0</v>
      </c>
      <c r="EN143" s="1689">
        <f t="shared" si="222"/>
        <v>0</v>
      </c>
      <c r="EO143" s="1689">
        <f t="shared" si="223"/>
        <v>0</v>
      </c>
      <c r="EP143" s="1689">
        <f t="shared" si="224"/>
        <v>0</v>
      </c>
      <c r="EQ143" s="1689">
        <f t="shared" si="225"/>
        <v>0</v>
      </c>
      <c r="ER143" s="1689">
        <f t="shared" si="226"/>
        <v>0.5</v>
      </c>
      <c r="ES143" s="1691">
        <f t="shared" si="214"/>
        <v>0</v>
      </c>
      <c r="ET143" s="1704">
        <f t="shared" si="215"/>
        <v>0</v>
      </c>
      <c r="EU143" s="1704">
        <f t="shared" si="216"/>
        <v>0</v>
      </c>
      <c r="EW143" s="1207" t="s">
        <v>1337</v>
      </c>
      <c r="EX143" s="1211" t="s">
        <v>1341</v>
      </c>
      <c r="EY143" s="1208" t="s">
        <v>855</v>
      </c>
      <c r="EZ143" s="1678">
        <f t="shared" si="227"/>
        <v>0</v>
      </c>
      <c r="FA143" s="1678"/>
      <c r="FB143" s="1678"/>
      <c r="FC143" s="1678"/>
      <c r="FD143" s="1738"/>
      <c r="FE143" s="1678"/>
      <c r="FF143" s="1678"/>
      <c r="FG143" s="1678"/>
      <c r="FH143" s="1678"/>
      <c r="FI143" s="1678"/>
      <c r="FJ143" s="1795"/>
      <c r="FK143" s="1681"/>
      <c r="FL143" s="1681"/>
    </row>
    <row r="144" spans="2:168" ht="14.25" thickBot="1">
      <c r="B144" s="2023" t="str">
        <f t="shared" si="210"/>
        <v>4.2.2</v>
      </c>
      <c r="C144" s="829" t="str">
        <f t="shared" si="230"/>
        <v>運用管理体制</v>
      </c>
      <c r="D144" s="2100" t="e">
        <f>IF(I$142&gt;0,G144/I$142,0)</f>
        <v>#REF!</v>
      </c>
      <c r="E144" s="2100" t="e">
        <f>IF(J$142&gt;0,H144/J$142,0)</f>
        <v>#REF!</v>
      </c>
      <c r="G144" s="2021" t="e">
        <f t="shared" si="231"/>
        <v>#REF!</v>
      </c>
      <c r="H144" s="2021" t="e">
        <f t="shared" si="232"/>
        <v>#REF!</v>
      </c>
      <c r="I144" s="2021"/>
      <c r="J144" s="2021"/>
      <c r="K144" s="2021" t="e">
        <f>IF(#REF!=0,0,1)</f>
        <v>#REF!</v>
      </c>
      <c r="L144" s="2021" t="e">
        <f>IF(#REF!=0,0,1)</f>
        <v>#REF!</v>
      </c>
      <c r="M144" s="2021">
        <f t="shared" si="233"/>
        <v>0</v>
      </c>
      <c r="N144" s="2021">
        <f t="shared" si="212"/>
        <v>0</v>
      </c>
      <c r="P144" s="2126"/>
      <c r="Q144" s="2125"/>
      <c r="R144" s="993">
        <v>4.2</v>
      </c>
      <c r="S144" s="1655" t="s">
        <v>1064</v>
      </c>
      <c r="T144" s="2036"/>
      <c r="U144" s="2017"/>
      <c r="V144" s="2016">
        <f t="shared" si="263"/>
        <v>0</v>
      </c>
      <c r="W144" s="2015">
        <f t="shared" si="264"/>
        <v>0</v>
      </c>
      <c r="Y144" s="1">
        <f t="shared" si="250"/>
        <v>0</v>
      </c>
      <c r="Z144" s="1">
        <f t="shared" si="251"/>
        <v>0</v>
      </c>
      <c r="AA144" s="1">
        <f t="shared" si="252"/>
        <v>0</v>
      </c>
      <c r="AB144" s="1">
        <f t="shared" si="253"/>
        <v>0</v>
      </c>
      <c r="AC144" s="1">
        <f t="shared" si="254"/>
        <v>0</v>
      </c>
      <c r="AD144" s="1">
        <f t="shared" si="255"/>
        <v>0</v>
      </c>
      <c r="AE144" s="1">
        <f t="shared" si="256"/>
        <v>0</v>
      </c>
      <c r="AF144" s="1">
        <f t="shared" si="257"/>
        <v>0</v>
      </c>
      <c r="AG144" s="1">
        <f t="shared" si="258"/>
        <v>0</v>
      </c>
      <c r="AH144" s="1">
        <f t="shared" si="259"/>
        <v>0</v>
      </c>
      <c r="AI144" s="1">
        <f t="shared" si="260"/>
        <v>0</v>
      </c>
      <c r="AJ144" s="1">
        <f t="shared" si="261"/>
        <v>0</v>
      </c>
      <c r="AK144" s="1">
        <f t="shared" si="262"/>
        <v>0</v>
      </c>
      <c r="AM144" s="1831"/>
      <c r="AN144" s="1831"/>
      <c r="AO144" s="1831"/>
      <c r="AP144" s="1831"/>
      <c r="AQ144" s="1831"/>
      <c r="AR144" s="1831"/>
      <c r="AS144" s="1831"/>
      <c r="AT144" s="1831"/>
      <c r="AU144" s="1831"/>
      <c r="AV144" s="1831"/>
      <c r="AW144" s="1831"/>
      <c r="AX144" s="1831"/>
      <c r="AY144" s="1831"/>
      <c r="BA144" s="2014"/>
      <c r="BB144" s="2014" t="e">
        <f t="shared" si="228"/>
        <v>#REF!</v>
      </c>
      <c r="BC144" s="2014"/>
      <c r="BD144" s="2013" t="e">
        <f>BR144*#REF!</f>
        <v>#REF!</v>
      </c>
      <c r="BE144" s="2013" t="e">
        <f>BS144*#REF!</f>
        <v>#REF!</v>
      </c>
      <c r="BF144" s="2013" t="e">
        <f>BT144*#REF!</f>
        <v>#REF!</v>
      </c>
      <c r="BG144" s="2013" t="e">
        <f>BU144*#REF!</f>
        <v>#REF!</v>
      </c>
      <c r="BH144" s="2094" t="e">
        <f>BV144*#REF!</f>
        <v>#REF!</v>
      </c>
      <c r="BI144" s="2013" t="e">
        <f>BW144*#REF!</f>
        <v>#REF!</v>
      </c>
      <c r="BJ144" s="2013" t="e">
        <f>BX144*#REF!</f>
        <v>#REF!</v>
      </c>
      <c r="BK144" s="2013" t="e">
        <f>BY144*#REF!</f>
        <v>#REF!</v>
      </c>
      <c r="BL144" s="2013" t="e">
        <f>BZ144*#REF!</f>
        <v>#REF!</v>
      </c>
      <c r="BM144" s="2013" t="e">
        <f>CA144*#REF!</f>
        <v>#REF!</v>
      </c>
      <c r="BO144" s="2040" t="str">
        <f t="shared" si="234"/>
        <v>4.2.2</v>
      </c>
      <c r="BP144" s="2040" t="str">
        <f t="shared" si="235"/>
        <v>LR1 4.2</v>
      </c>
      <c r="BQ144" s="829" t="str">
        <f t="shared" si="236"/>
        <v>運用管理体制</v>
      </c>
      <c r="BR144" s="2010">
        <f t="shared" si="237"/>
        <v>0</v>
      </c>
      <c r="BS144" s="2010">
        <f t="shared" si="238"/>
        <v>0</v>
      </c>
      <c r="BT144" s="2010">
        <f t="shared" si="239"/>
        <v>0</v>
      </c>
      <c r="BU144" s="2010">
        <f t="shared" si="240"/>
        <v>0</v>
      </c>
      <c r="BV144" s="2093">
        <f t="shared" si="241"/>
        <v>0</v>
      </c>
      <c r="BW144" s="2010">
        <f t="shared" si="242"/>
        <v>0</v>
      </c>
      <c r="BX144" s="2010">
        <f t="shared" si="243"/>
        <v>0</v>
      </c>
      <c r="BY144" s="2010">
        <f t="shared" si="244"/>
        <v>0</v>
      </c>
      <c r="BZ144" s="2010">
        <f t="shared" si="245"/>
        <v>0</v>
      </c>
      <c r="CA144" s="2010">
        <f t="shared" si="246"/>
        <v>0.5</v>
      </c>
      <c r="CB144" s="2039">
        <f t="shared" si="247"/>
        <v>0</v>
      </c>
      <c r="CC144" s="2008">
        <f t="shared" si="248"/>
        <v>0</v>
      </c>
      <c r="CD144" s="2008">
        <f t="shared" si="249"/>
        <v>0</v>
      </c>
      <c r="CF144" s="1207" t="s">
        <v>3147</v>
      </c>
      <c r="CG144" s="1211" t="s">
        <v>1341</v>
      </c>
      <c r="CH144" s="1208" t="s">
        <v>1330</v>
      </c>
      <c r="CI144" s="1213"/>
      <c r="CJ144" s="1213"/>
      <c r="CK144" s="1213"/>
      <c r="CL144" s="1213"/>
      <c r="CM144" s="1220"/>
      <c r="CN144" s="1213"/>
      <c r="CO144" s="1213"/>
      <c r="CP144" s="1213"/>
      <c r="CQ144" s="1213"/>
      <c r="CR144" s="1213">
        <v>0.5</v>
      </c>
      <c r="CS144" s="1214"/>
      <c r="CT144" s="1257"/>
      <c r="CU144" s="1257"/>
      <c r="CW144" s="1207" t="s">
        <v>1338</v>
      </c>
      <c r="CX144" s="1211" t="s">
        <v>1341</v>
      </c>
      <c r="CY144" s="1208" t="s">
        <v>856</v>
      </c>
      <c r="CZ144" s="1213"/>
      <c r="DA144" s="1213"/>
      <c r="DB144" s="1213"/>
      <c r="DC144" s="1213"/>
      <c r="DD144" s="1220"/>
      <c r="DE144" s="1213"/>
      <c r="DF144" s="1213"/>
      <c r="DG144" s="1213"/>
      <c r="DH144" s="1213"/>
      <c r="DI144" s="1213">
        <v>0.5</v>
      </c>
      <c r="DJ144" s="1214"/>
      <c r="DK144" s="1257"/>
      <c r="DL144" s="1257"/>
      <c r="DN144" s="1207" t="s">
        <v>1338</v>
      </c>
      <c r="DO144" s="1211" t="s">
        <v>1341</v>
      </c>
      <c r="DP144" s="1208" t="s">
        <v>856</v>
      </c>
      <c r="DQ144" s="1213"/>
      <c r="DR144" s="1213"/>
      <c r="DS144" s="1213"/>
      <c r="DT144" s="1213"/>
      <c r="DU144" s="1220"/>
      <c r="DV144" s="1213"/>
      <c r="DW144" s="1213"/>
      <c r="DX144" s="1213"/>
      <c r="DY144" s="1213"/>
      <c r="DZ144" s="1213">
        <v>0.5</v>
      </c>
      <c r="EA144" s="1214"/>
      <c r="EB144" s="1257"/>
      <c r="EC144" s="1257"/>
      <c r="ED144" s="1472"/>
      <c r="EF144" s="1207" t="s">
        <v>1338</v>
      </c>
      <c r="EG144" s="1211" t="s">
        <v>1341</v>
      </c>
      <c r="EH144" s="1208" t="s">
        <v>856</v>
      </c>
      <c r="EI144" s="1689">
        <f t="shared" si="217"/>
        <v>0</v>
      </c>
      <c r="EJ144" s="1689">
        <f t="shared" si="218"/>
        <v>0</v>
      </c>
      <c r="EK144" s="1689">
        <f t="shared" si="219"/>
        <v>0</v>
      </c>
      <c r="EL144" s="1689">
        <f t="shared" si="220"/>
        <v>0</v>
      </c>
      <c r="EM144" s="1701">
        <f t="shared" si="221"/>
        <v>0</v>
      </c>
      <c r="EN144" s="1689">
        <f t="shared" si="222"/>
        <v>0</v>
      </c>
      <c r="EO144" s="1689">
        <f t="shared" si="223"/>
        <v>0</v>
      </c>
      <c r="EP144" s="1689">
        <f t="shared" si="224"/>
        <v>0</v>
      </c>
      <c r="EQ144" s="1689">
        <f t="shared" si="225"/>
        <v>0</v>
      </c>
      <c r="ER144" s="1689">
        <f t="shared" si="226"/>
        <v>0.5</v>
      </c>
      <c r="ES144" s="1691">
        <f t="shared" si="214"/>
        <v>0</v>
      </c>
      <c r="ET144" s="1704">
        <f t="shared" si="215"/>
        <v>0</v>
      </c>
      <c r="EU144" s="1704">
        <f t="shared" si="216"/>
        <v>0</v>
      </c>
      <c r="EW144" s="1207" t="s">
        <v>1338</v>
      </c>
      <c r="EX144" s="1211" t="s">
        <v>1341</v>
      </c>
      <c r="EY144" s="1208" t="s">
        <v>856</v>
      </c>
      <c r="EZ144" s="1678">
        <f t="shared" si="227"/>
        <v>0</v>
      </c>
      <c r="FA144" s="1678"/>
      <c r="FB144" s="1678"/>
      <c r="FC144" s="1678"/>
      <c r="FD144" s="1738"/>
      <c r="FE144" s="1678"/>
      <c r="FF144" s="1678"/>
      <c r="FG144" s="1678"/>
      <c r="FH144" s="1678"/>
      <c r="FI144" s="1678"/>
      <c r="FJ144" s="1795"/>
      <c r="FK144" s="1681"/>
      <c r="FL144" s="1681"/>
    </row>
    <row r="145" spans="2:168" ht="14.25" thickBot="1">
      <c r="B145" s="2023" t="str">
        <f t="shared" si="210"/>
        <v>LR2</v>
      </c>
      <c r="C145" s="2079" t="str">
        <f t="shared" si="230"/>
        <v>資源・マテリアル</v>
      </c>
      <c r="D145" s="2090" t="e">
        <f>IF(I$121=0,0,G145/I$121)</f>
        <v>#REF!</v>
      </c>
      <c r="E145" s="2089" t="e">
        <f>IF(J$121=0,0,H145/J$121)</f>
        <v>#REF!</v>
      </c>
      <c r="G145" s="2089" t="e">
        <f t="shared" si="231"/>
        <v>#REF!</v>
      </c>
      <c r="H145" s="2089" t="e">
        <f t="shared" si="232"/>
        <v>#REF!</v>
      </c>
      <c r="I145" s="2089" t="e">
        <f>G146+G151+G166</f>
        <v>#REF!</v>
      </c>
      <c r="J145" s="2089" t="e">
        <f>H146+H151+H166</f>
        <v>#REF!</v>
      </c>
      <c r="K145" s="2089" t="e">
        <f>IF(#REF!=0,0,1)</f>
        <v>#REF!</v>
      </c>
      <c r="L145" s="2089" t="e">
        <f>IF(#REF!=0,0,1)</f>
        <v>#REF!</v>
      </c>
      <c r="M145" s="2089">
        <f t="shared" si="233"/>
        <v>0.3</v>
      </c>
      <c r="N145" s="2089">
        <f t="shared" si="212"/>
        <v>0</v>
      </c>
      <c r="P145" s="2088" t="s">
        <v>1610</v>
      </c>
      <c r="Q145" s="2087" t="s">
        <v>1611</v>
      </c>
      <c r="R145" s="2087"/>
      <c r="S145" s="2087"/>
      <c r="T145" s="2086"/>
      <c r="U145" s="2017"/>
      <c r="V145" s="2085">
        <f t="shared" si="263"/>
        <v>0</v>
      </c>
      <c r="W145" s="2084">
        <f t="shared" si="264"/>
        <v>0</v>
      </c>
      <c r="Y145" s="1">
        <f t="shared" si="250"/>
        <v>1</v>
      </c>
      <c r="Z145" s="1">
        <f t="shared" si="251"/>
        <v>1</v>
      </c>
      <c r="AA145" s="1">
        <f t="shared" si="252"/>
        <v>1</v>
      </c>
      <c r="AB145" s="1">
        <f t="shared" si="253"/>
        <v>1</v>
      </c>
      <c r="AC145" s="1">
        <f t="shared" si="254"/>
        <v>1</v>
      </c>
      <c r="AD145" s="1">
        <f t="shared" si="255"/>
        <v>1</v>
      </c>
      <c r="AE145" s="1">
        <f t="shared" si="256"/>
        <v>1</v>
      </c>
      <c r="AF145" s="1">
        <f t="shared" si="257"/>
        <v>1</v>
      </c>
      <c r="AG145" s="1">
        <f t="shared" si="258"/>
        <v>1</v>
      </c>
      <c r="AH145" s="1">
        <f t="shared" si="259"/>
        <v>1</v>
      </c>
      <c r="AI145" s="1">
        <f t="shared" si="260"/>
        <v>1</v>
      </c>
      <c r="AJ145" s="1">
        <f t="shared" si="261"/>
        <v>1</v>
      </c>
      <c r="AK145" s="1">
        <f t="shared" si="262"/>
        <v>1</v>
      </c>
      <c r="AM145" s="2083" t="str">
        <f t="shared" ref="AM145:AY145" si="265">AM$6</f>
        <v>事務所</v>
      </c>
      <c r="AN145" s="2083" t="str">
        <f t="shared" si="265"/>
        <v>学校</v>
      </c>
      <c r="AO145" s="2083" t="str">
        <f t="shared" si="265"/>
        <v>物販店</v>
      </c>
      <c r="AP145" s="2083" t="str">
        <f t="shared" si="265"/>
        <v>飲食店</v>
      </c>
      <c r="AQ145" s="2083" t="str">
        <f t="shared" si="265"/>
        <v>集会所</v>
      </c>
      <c r="AR145" s="2083" t="str">
        <f t="shared" si="265"/>
        <v>工場</v>
      </c>
      <c r="AS145" s="2083" t="str">
        <f t="shared" si="265"/>
        <v>小中高</v>
      </c>
      <c r="AT145" s="2083" t="str">
        <f t="shared" si="265"/>
        <v>病院</v>
      </c>
      <c r="AU145" s="2083" t="str">
        <f t="shared" si="265"/>
        <v>ホテル</v>
      </c>
      <c r="AV145" s="2083" t="str">
        <f t="shared" si="265"/>
        <v>集合住宅</v>
      </c>
      <c r="AW145" s="2083" t="str">
        <f t="shared" si="265"/>
        <v>病院o</v>
      </c>
      <c r="AX145" s="2083" t="str">
        <f t="shared" si="265"/>
        <v>ホテルo</v>
      </c>
      <c r="AY145" s="2083" t="str">
        <f t="shared" si="265"/>
        <v>集合住宅o</v>
      </c>
      <c r="BA145" s="2082" t="e">
        <f>BB145/$BC$121</f>
        <v>#REF!</v>
      </c>
      <c r="BB145" s="2082" t="e">
        <f t="shared" si="228"/>
        <v>#REF!</v>
      </c>
      <c r="BC145" s="2082" t="e">
        <f>BB146+BB151+BB166</f>
        <v>#REF!</v>
      </c>
      <c r="BD145" s="2081" t="e">
        <f>BR145*#REF!</f>
        <v>#REF!</v>
      </c>
      <c r="BE145" s="2081" t="e">
        <f>BS145*#REF!</f>
        <v>#REF!</v>
      </c>
      <c r="BF145" s="2081" t="e">
        <f>BT145*#REF!</f>
        <v>#REF!</v>
      </c>
      <c r="BG145" s="2081" t="e">
        <f>BU145*#REF!</f>
        <v>#REF!</v>
      </c>
      <c r="BH145" s="2134" t="e">
        <f>BV145*#REF!</f>
        <v>#REF!</v>
      </c>
      <c r="BI145" s="2081" t="e">
        <f>BW145*#REF!</f>
        <v>#REF!</v>
      </c>
      <c r="BJ145" s="2081" t="e">
        <f>BX145*#REF!</f>
        <v>#REF!</v>
      </c>
      <c r="BK145" s="2081" t="e">
        <f>BY145*#REF!</f>
        <v>#REF!</v>
      </c>
      <c r="BL145" s="2081" t="e">
        <f>BZ145*#REF!</f>
        <v>#REF!</v>
      </c>
      <c r="BM145" s="2081" t="e">
        <f>CA145*#REF!</f>
        <v>#REF!</v>
      </c>
      <c r="BO145" s="2080" t="str">
        <f t="shared" si="234"/>
        <v>LR2</v>
      </c>
      <c r="BP145" s="2080" t="str">
        <f t="shared" si="235"/>
        <v>LR</v>
      </c>
      <c r="BQ145" s="2079" t="str">
        <f t="shared" si="236"/>
        <v>資源・マテリアル</v>
      </c>
      <c r="BR145" s="2078">
        <f t="shared" si="237"/>
        <v>0.3</v>
      </c>
      <c r="BS145" s="2078">
        <f t="shared" si="238"/>
        <v>0.3</v>
      </c>
      <c r="BT145" s="2078">
        <f t="shared" si="239"/>
        <v>0.3</v>
      </c>
      <c r="BU145" s="2078">
        <f t="shared" si="240"/>
        <v>0.3</v>
      </c>
      <c r="BV145" s="2133">
        <f t="shared" si="241"/>
        <v>0.3</v>
      </c>
      <c r="BW145" s="2078">
        <f t="shared" si="242"/>
        <v>0.3</v>
      </c>
      <c r="BX145" s="2078">
        <f t="shared" si="243"/>
        <v>0.3</v>
      </c>
      <c r="BY145" s="2078">
        <f t="shared" si="244"/>
        <v>0.3</v>
      </c>
      <c r="BZ145" s="2078">
        <f t="shared" si="245"/>
        <v>0.3</v>
      </c>
      <c r="CA145" s="2078">
        <f t="shared" si="246"/>
        <v>0.3</v>
      </c>
      <c r="CB145" s="2077">
        <f t="shared" si="247"/>
        <v>0</v>
      </c>
      <c r="CC145" s="2076">
        <f t="shared" si="248"/>
        <v>0</v>
      </c>
      <c r="CD145" s="2076">
        <f t="shared" si="249"/>
        <v>0</v>
      </c>
      <c r="CF145" s="1266" t="s">
        <v>1610</v>
      </c>
      <c r="CG145" s="1267" t="s">
        <v>1175</v>
      </c>
      <c r="CH145" s="1189" t="s">
        <v>1611</v>
      </c>
      <c r="CI145" s="1192">
        <v>0.3</v>
      </c>
      <c r="CJ145" s="1192">
        <v>0.3</v>
      </c>
      <c r="CK145" s="1192">
        <v>0.3</v>
      </c>
      <c r="CL145" s="1192">
        <v>0.3</v>
      </c>
      <c r="CM145" s="1268">
        <v>0.3</v>
      </c>
      <c r="CN145" s="1192">
        <v>0.3</v>
      </c>
      <c r="CO145" s="1192">
        <v>0.3</v>
      </c>
      <c r="CP145" s="1192">
        <v>0.3</v>
      </c>
      <c r="CQ145" s="1192">
        <v>0.3</v>
      </c>
      <c r="CR145" s="1192">
        <v>0.3</v>
      </c>
      <c r="CS145" s="1269"/>
      <c r="CT145" s="1270"/>
      <c r="CU145" s="1270"/>
      <c r="CW145" s="1266" t="s">
        <v>1610</v>
      </c>
      <c r="CX145" s="1267" t="s">
        <v>1175</v>
      </c>
      <c r="CY145" s="1189" t="s">
        <v>1611</v>
      </c>
      <c r="CZ145" s="1192">
        <v>0.3</v>
      </c>
      <c r="DA145" s="1192">
        <v>0.3</v>
      </c>
      <c r="DB145" s="1192">
        <v>0.3</v>
      </c>
      <c r="DC145" s="1192">
        <v>0.3</v>
      </c>
      <c r="DD145" s="1268">
        <v>0.3</v>
      </c>
      <c r="DE145" s="1192">
        <v>0.3</v>
      </c>
      <c r="DF145" s="1192">
        <v>0.3</v>
      </c>
      <c r="DG145" s="1192">
        <v>0.3</v>
      </c>
      <c r="DH145" s="1192">
        <v>0.3</v>
      </c>
      <c r="DI145" s="1192">
        <v>0.3</v>
      </c>
      <c r="DJ145" s="1269"/>
      <c r="DK145" s="1270"/>
      <c r="DL145" s="1270"/>
      <c r="DN145" s="1266" t="s">
        <v>1610</v>
      </c>
      <c r="DO145" s="1267" t="s">
        <v>1175</v>
      </c>
      <c r="DP145" s="1189" t="s">
        <v>1611</v>
      </c>
      <c r="DQ145" s="1192">
        <v>0.3</v>
      </c>
      <c r="DR145" s="1192">
        <v>0.3</v>
      </c>
      <c r="DS145" s="1192">
        <v>0.3</v>
      </c>
      <c r="DT145" s="1192">
        <v>0.3</v>
      </c>
      <c r="DU145" s="1268">
        <v>0.3</v>
      </c>
      <c r="DV145" s="1192">
        <v>0.3</v>
      </c>
      <c r="DW145" s="1192">
        <v>0.3</v>
      </c>
      <c r="DX145" s="1192">
        <v>0.3</v>
      </c>
      <c r="DY145" s="1192">
        <v>0.3</v>
      </c>
      <c r="DZ145" s="1192">
        <v>0.3</v>
      </c>
      <c r="EA145" s="1269"/>
      <c r="EB145" s="1270"/>
      <c r="EC145" s="1270"/>
      <c r="ED145" s="1473"/>
      <c r="EF145" s="1266" t="s">
        <v>1610</v>
      </c>
      <c r="EG145" s="1267" t="s">
        <v>1175</v>
      </c>
      <c r="EH145" s="1189" t="s">
        <v>1611</v>
      </c>
      <c r="EI145" s="1674">
        <v>0.5</v>
      </c>
      <c r="EJ145" s="1674">
        <v>0.5</v>
      </c>
      <c r="EK145" s="1674">
        <v>0.5</v>
      </c>
      <c r="EL145" s="1674">
        <v>0.5</v>
      </c>
      <c r="EM145" s="1674">
        <v>0.5</v>
      </c>
      <c r="EN145" s="1674">
        <v>0.5</v>
      </c>
      <c r="EO145" s="1674">
        <v>0.5</v>
      </c>
      <c r="EP145" s="1674">
        <v>0.5</v>
      </c>
      <c r="EQ145" s="1674">
        <v>0.5</v>
      </c>
      <c r="ER145" s="1674">
        <v>0.5</v>
      </c>
      <c r="ES145" s="1682">
        <f t="shared" si="214"/>
        <v>0</v>
      </c>
      <c r="ET145" s="1683">
        <f t="shared" si="215"/>
        <v>0</v>
      </c>
      <c r="EU145" s="1683">
        <f t="shared" si="216"/>
        <v>0</v>
      </c>
      <c r="EW145" s="1266" t="s">
        <v>3146</v>
      </c>
      <c r="EX145" s="1267" t="s">
        <v>3145</v>
      </c>
      <c r="EY145" s="1189" t="s">
        <v>1611</v>
      </c>
      <c r="EZ145" s="1813">
        <v>0.35</v>
      </c>
      <c r="FA145" s="1674"/>
      <c r="FB145" s="1674"/>
      <c r="FC145" s="1674"/>
      <c r="FD145" s="1674"/>
      <c r="FE145" s="1674"/>
      <c r="FF145" s="1674"/>
      <c r="FG145" s="1674"/>
      <c r="FH145" s="1674"/>
      <c r="FI145" s="1674"/>
      <c r="FJ145" s="1682"/>
      <c r="FK145" s="1683"/>
      <c r="FL145" s="1683"/>
    </row>
    <row r="146" spans="2:168" ht="14.25" thickBot="1">
      <c r="B146" s="2023">
        <f t="shared" si="210"/>
        <v>1</v>
      </c>
      <c r="C146" s="2050" t="str">
        <f t="shared" si="230"/>
        <v>水資源保護</v>
      </c>
      <c r="D146" s="2061" t="e">
        <f>IF(I$145=0,0,G146/I$145)</f>
        <v>#REF!</v>
      </c>
      <c r="E146" s="2060" t="e">
        <f>IF(J$145=0,0,H146/J$145)</f>
        <v>#REF!</v>
      </c>
      <c r="G146" s="2060" t="e">
        <f t="shared" si="231"/>
        <v>#REF!</v>
      </c>
      <c r="H146" s="2060" t="e">
        <f t="shared" si="232"/>
        <v>#REF!</v>
      </c>
      <c r="I146" s="2060" t="e">
        <f>G147+G148</f>
        <v>#REF!</v>
      </c>
      <c r="J146" s="2060" t="e">
        <f>H147+H148</f>
        <v>#REF!</v>
      </c>
      <c r="K146" s="2060" t="e">
        <f>IF(#REF!=0,0,1)</f>
        <v>#REF!</v>
      </c>
      <c r="L146" s="2060" t="e">
        <f>IF(#REF!=0,0,1)</f>
        <v>#REF!</v>
      </c>
      <c r="M146" s="2060">
        <f t="shared" si="233"/>
        <v>0.2</v>
      </c>
      <c r="N146" s="2060">
        <f t="shared" si="212"/>
        <v>0</v>
      </c>
      <c r="P146" s="2132">
        <v>1</v>
      </c>
      <c r="Q146" s="2045" t="s">
        <v>1065</v>
      </c>
      <c r="R146" s="2045"/>
      <c r="S146" s="2045"/>
      <c r="T146" s="2044"/>
      <c r="U146" s="2017"/>
      <c r="V146" s="2105">
        <f t="shared" si="263"/>
        <v>0</v>
      </c>
      <c r="W146" s="2104">
        <f t="shared" si="264"/>
        <v>0</v>
      </c>
      <c r="Y146" s="1">
        <f t="shared" si="250"/>
        <v>0</v>
      </c>
      <c r="Z146" s="1">
        <f t="shared" si="251"/>
        <v>0</v>
      </c>
      <c r="AA146" s="1">
        <f t="shared" si="252"/>
        <v>0</v>
      </c>
      <c r="AB146" s="1">
        <f t="shared" si="253"/>
        <v>0</v>
      </c>
      <c r="AC146" s="1">
        <f t="shared" si="254"/>
        <v>0</v>
      </c>
      <c r="AD146" s="1">
        <f t="shared" si="255"/>
        <v>0</v>
      </c>
      <c r="AE146" s="1">
        <f t="shared" si="256"/>
        <v>0</v>
      </c>
      <c r="AF146" s="1">
        <f t="shared" si="257"/>
        <v>0</v>
      </c>
      <c r="AG146" s="1">
        <f t="shared" si="258"/>
        <v>0</v>
      </c>
      <c r="AH146" s="1">
        <f t="shared" si="259"/>
        <v>0</v>
      </c>
      <c r="AI146" s="1">
        <f t="shared" si="260"/>
        <v>0</v>
      </c>
      <c r="AJ146" s="1">
        <f t="shared" si="261"/>
        <v>0</v>
      </c>
      <c r="AK146" s="1">
        <f t="shared" si="262"/>
        <v>0</v>
      </c>
      <c r="AM146" s="2103" t="s">
        <v>177</v>
      </c>
      <c r="AN146" s="2103" t="s">
        <v>177</v>
      </c>
      <c r="AO146" s="2103" t="s">
        <v>177</v>
      </c>
      <c r="AP146" s="2103" t="s">
        <v>177</v>
      </c>
      <c r="AQ146" s="2103" t="s">
        <v>177</v>
      </c>
      <c r="AR146" s="2103" t="s">
        <v>177</v>
      </c>
      <c r="AS146" s="2103" t="s">
        <v>177</v>
      </c>
      <c r="AT146" s="2103" t="s">
        <v>177</v>
      </c>
      <c r="AU146" s="2103" t="s">
        <v>177</v>
      </c>
      <c r="AV146" s="2103" t="s">
        <v>177</v>
      </c>
      <c r="AW146" s="2103" t="s">
        <v>177</v>
      </c>
      <c r="AX146" s="2103" t="s">
        <v>177</v>
      </c>
      <c r="AY146" s="2103" t="s">
        <v>177</v>
      </c>
      <c r="BA146" s="2054" t="e">
        <f>BB146/$BC$145</f>
        <v>#REF!</v>
      </c>
      <c r="BB146" s="2054" t="e">
        <f t="shared" si="228"/>
        <v>#REF!</v>
      </c>
      <c r="BC146" s="2054"/>
      <c r="BD146" s="2053" t="e">
        <f>BR146*#REF!</f>
        <v>#REF!</v>
      </c>
      <c r="BE146" s="2053" t="e">
        <f>BS146*#REF!</f>
        <v>#REF!</v>
      </c>
      <c r="BF146" s="2053" t="e">
        <f>BT146*#REF!</f>
        <v>#REF!</v>
      </c>
      <c r="BG146" s="2053" t="e">
        <f>BU146*#REF!</f>
        <v>#REF!</v>
      </c>
      <c r="BH146" s="2115" t="e">
        <f>BV146*#REF!</f>
        <v>#REF!</v>
      </c>
      <c r="BI146" s="2053" t="e">
        <f>BW146*#REF!</f>
        <v>#REF!</v>
      </c>
      <c r="BJ146" s="2053" t="e">
        <f>BX146*#REF!</f>
        <v>#REF!</v>
      </c>
      <c r="BK146" s="2053" t="e">
        <f>BY146*#REF!</f>
        <v>#REF!</v>
      </c>
      <c r="BL146" s="2053" t="e">
        <f>BZ146*#REF!</f>
        <v>#REF!</v>
      </c>
      <c r="BM146" s="2053" t="e">
        <f>CA146*#REF!</f>
        <v>#REF!</v>
      </c>
      <c r="BO146" s="2131">
        <f t="shared" si="234"/>
        <v>1</v>
      </c>
      <c r="BP146" s="2114" t="str">
        <f t="shared" si="235"/>
        <v>LR2</v>
      </c>
      <c r="BQ146" s="2050" t="str">
        <f t="shared" si="236"/>
        <v>水資源保護</v>
      </c>
      <c r="BR146" s="2048">
        <f t="shared" si="237"/>
        <v>0.2</v>
      </c>
      <c r="BS146" s="2048">
        <f t="shared" si="238"/>
        <v>0.2</v>
      </c>
      <c r="BT146" s="2048">
        <f t="shared" si="239"/>
        <v>0.2</v>
      </c>
      <c r="BU146" s="2048">
        <f t="shared" si="240"/>
        <v>0.2</v>
      </c>
      <c r="BV146" s="2113">
        <f t="shared" si="241"/>
        <v>0.2</v>
      </c>
      <c r="BW146" s="2048">
        <f t="shared" si="242"/>
        <v>0.2</v>
      </c>
      <c r="BX146" s="2048">
        <f t="shared" si="243"/>
        <v>0.2</v>
      </c>
      <c r="BY146" s="2048">
        <f t="shared" si="244"/>
        <v>0.2</v>
      </c>
      <c r="BZ146" s="2048">
        <f t="shared" si="245"/>
        <v>0.2</v>
      </c>
      <c r="CA146" s="2048">
        <f t="shared" si="246"/>
        <v>0.2</v>
      </c>
      <c r="CB146" s="2112">
        <f t="shared" si="247"/>
        <v>0</v>
      </c>
      <c r="CC146" s="2111">
        <f t="shared" si="248"/>
        <v>0</v>
      </c>
      <c r="CD146" s="2111">
        <f t="shared" si="249"/>
        <v>0</v>
      </c>
      <c r="CF146" s="1262">
        <v>1</v>
      </c>
      <c r="CG146" s="1201" t="s">
        <v>1321</v>
      </c>
      <c r="CH146" s="1198" t="s">
        <v>1065</v>
      </c>
      <c r="CI146" s="1202">
        <v>0.2</v>
      </c>
      <c r="CJ146" s="1202">
        <v>0.2</v>
      </c>
      <c r="CK146" s="1202">
        <v>0.2</v>
      </c>
      <c r="CL146" s="1202">
        <v>0.2</v>
      </c>
      <c r="CM146" s="1252">
        <v>0.2</v>
      </c>
      <c r="CN146" s="1202">
        <v>0.2</v>
      </c>
      <c r="CO146" s="1202">
        <v>0.2</v>
      </c>
      <c r="CP146" s="1202">
        <v>0.2</v>
      </c>
      <c r="CQ146" s="1202">
        <v>0.2</v>
      </c>
      <c r="CR146" s="1202">
        <v>0.2</v>
      </c>
      <c r="CS146" s="1271"/>
      <c r="CT146" s="1272"/>
      <c r="CU146" s="1272"/>
      <c r="CW146" s="1262">
        <v>1</v>
      </c>
      <c r="CX146" s="1201" t="s">
        <v>1321</v>
      </c>
      <c r="CY146" s="1198" t="s">
        <v>1065</v>
      </c>
      <c r="CZ146" s="1202">
        <v>0.2</v>
      </c>
      <c r="DA146" s="1202">
        <v>0.2</v>
      </c>
      <c r="DB146" s="1202">
        <v>0.2</v>
      </c>
      <c r="DC146" s="1202">
        <v>0.2</v>
      </c>
      <c r="DD146" s="1252">
        <v>0.2</v>
      </c>
      <c r="DE146" s="1202">
        <v>0.2</v>
      </c>
      <c r="DF146" s="1202">
        <v>0.2</v>
      </c>
      <c r="DG146" s="1202">
        <v>0.2</v>
      </c>
      <c r="DH146" s="1202">
        <v>0.2</v>
      </c>
      <c r="DI146" s="1202">
        <v>0.2</v>
      </c>
      <c r="DJ146" s="1271"/>
      <c r="DK146" s="1272"/>
      <c r="DL146" s="1272"/>
      <c r="DN146" s="1262">
        <v>1</v>
      </c>
      <c r="DO146" s="1201" t="s">
        <v>1321</v>
      </c>
      <c r="DP146" s="1198" t="s">
        <v>1065</v>
      </c>
      <c r="DQ146" s="1202">
        <v>0.2</v>
      </c>
      <c r="DR146" s="1202">
        <v>0.2</v>
      </c>
      <c r="DS146" s="1202">
        <v>0.2</v>
      </c>
      <c r="DT146" s="1202">
        <v>0.2</v>
      </c>
      <c r="DU146" s="1252">
        <v>0.2</v>
      </c>
      <c r="DV146" s="1202">
        <v>0.2</v>
      </c>
      <c r="DW146" s="1202">
        <v>0.2</v>
      </c>
      <c r="DX146" s="1202">
        <v>0.2</v>
      </c>
      <c r="DY146" s="1202">
        <v>0.2</v>
      </c>
      <c r="DZ146" s="1202">
        <v>0.2</v>
      </c>
      <c r="EA146" s="1271"/>
      <c r="EB146" s="1272"/>
      <c r="EC146" s="1272"/>
      <c r="ED146" s="1473"/>
      <c r="EF146" s="1262">
        <v>1</v>
      </c>
      <c r="EG146" s="1201" t="s">
        <v>1321</v>
      </c>
      <c r="EH146" s="1198" t="s">
        <v>1065</v>
      </c>
      <c r="EI146" s="1676">
        <v>0.1</v>
      </c>
      <c r="EJ146" s="1676">
        <v>0.1</v>
      </c>
      <c r="EK146" s="1676">
        <v>0.1</v>
      </c>
      <c r="EL146" s="1676">
        <v>0.1</v>
      </c>
      <c r="EM146" s="1676">
        <v>0.1</v>
      </c>
      <c r="EN146" s="1676">
        <v>0.1</v>
      </c>
      <c r="EO146" s="1676">
        <v>0.1</v>
      </c>
      <c r="EP146" s="1676">
        <v>0.1</v>
      </c>
      <c r="EQ146" s="1676">
        <v>0.1</v>
      </c>
      <c r="ER146" s="1676">
        <v>0.1</v>
      </c>
      <c r="ES146" s="1712">
        <f t="shared" si="214"/>
        <v>0</v>
      </c>
      <c r="ET146" s="1713">
        <f t="shared" si="215"/>
        <v>0</v>
      </c>
      <c r="EU146" s="1713">
        <f t="shared" si="216"/>
        <v>0</v>
      </c>
      <c r="EW146" s="1262">
        <v>1</v>
      </c>
      <c r="EX146" s="1201" t="s">
        <v>1321</v>
      </c>
      <c r="EY146" s="1198" t="s">
        <v>1065</v>
      </c>
      <c r="EZ146" s="1821">
        <v>0.3</v>
      </c>
      <c r="FA146" s="1676"/>
      <c r="FB146" s="1676"/>
      <c r="FC146" s="1676"/>
      <c r="FD146" s="1676"/>
      <c r="FE146" s="1676"/>
      <c r="FF146" s="1676"/>
      <c r="FG146" s="1676"/>
      <c r="FH146" s="1676"/>
      <c r="FI146" s="1676"/>
      <c r="FJ146" s="1810"/>
      <c r="FK146" s="1811"/>
      <c r="FL146" s="1811"/>
    </row>
    <row r="147" spans="2:168" ht="14.25" thickBot="1">
      <c r="B147" s="2023">
        <f t="shared" si="210"/>
        <v>1.1000000000000001</v>
      </c>
      <c r="C147" s="829" t="str">
        <f t="shared" si="230"/>
        <v>節水</v>
      </c>
      <c r="D147" s="2022" t="e">
        <f>IF(I$146=0,0,G147/I$146)</f>
        <v>#REF!</v>
      </c>
      <c r="E147" s="2021" t="e">
        <f>IF(J$146=0,0,H147/J$146)</f>
        <v>#REF!</v>
      </c>
      <c r="G147" s="2021" t="e">
        <f t="shared" si="231"/>
        <v>#REF!</v>
      </c>
      <c r="H147" s="2021" t="e">
        <f t="shared" si="232"/>
        <v>#REF!</v>
      </c>
      <c r="I147" s="2021"/>
      <c r="J147" s="2021"/>
      <c r="K147" s="2021" t="e">
        <f>IF(#REF!=0,0,1)</f>
        <v>#REF!</v>
      </c>
      <c r="L147" s="2021" t="e">
        <f>IF(#REF!=0,0,1)</f>
        <v>#REF!</v>
      </c>
      <c r="M147" s="2021">
        <f t="shared" si="233"/>
        <v>0.4</v>
      </c>
      <c r="N147" s="2021">
        <f t="shared" si="212"/>
        <v>0</v>
      </c>
      <c r="P147" s="2123"/>
      <c r="Q147" s="2069">
        <v>1.1000000000000001</v>
      </c>
      <c r="R147" s="1655" t="s">
        <v>1066</v>
      </c>
      <c r="S147" s="1655"/>
      <c r="T147" s="2036"/>
      <c r="U147" s="2017"/>
      <c r="V147" s="2110">
        <f t="shared" si="263"/>
        <v>0</v>
      </c>
      <c r="W147" s="2109">
        <f t="shared" si="264"/>
        <v>0</v>
      </c>
      <c r="Y147" s="1">
        <f t="shared" si="250"/>
        <v>0</v>
      </c>
      <c r="Z147" s="1">
        <f t="shared" si="251"/>
        <v>0</v>
      </c>
      <c r="AA147" s="1">
        <f t="shared" si="252"/>
        <v>0</v>
      </c>
      <c r="AB147" s="1">
        <f t="shared" si="253"/>
        <v>0</v>
      </c>
      <c r="AC147" s="1">
        <f t="shared" si="254"/>
        <v>0</v>
      </c>
      <c r="AD147" s="1">
        <f t="shared" si="255"/>
        <v>0</v>
      </c>
      <c r="AE147" s="1">
        <f t="shared" si="256"/>
        <v>0</v>
      </c>
      <c r="AF147" s="1">
        <f t="shared" si="257"/>
        <v>0</v>
      </c>
      <c r="AG147" s="1">
        <f t="shared" si="258"/>
        <v>0</v>
      </c>
      <c r="AH147" s="1">
        <f t="shared" si="259"/>
        <v>0</v>
      </c>
      <c r="AI147" s="1">
        <f t="shared" si="260"/>
        <v>0</v>
      </c>
      <c r="AJ147" s="1">
        <f t="shared" si="261"/>
        <v>0</v>
      </c>
      <c r="AK147" s="1">
        <f t="shared" si="262"/>
        <v>0</v>
      </c>
      <c r="AM147" s="1826"/>
      <c r="AN147" s="1826"/>
      <c r="AO147" s="1826"/>
      <c r="AP147" s="1826"/>
      <c r="AQ147" s="1826"/>
      <c r="AR147" s="1826"/>
      <c r="AS147" s="1826"/>
      <c r="AT147" s="1826"/>
      <c r="AU147" s="1826"/>
      <c r="AV147" s="1826"/>
      <c r="AW147" s="1826"/>
      <c r="AX147" s="1826"/>
      <c r="AY147" s="1826"/>
      <c r="BA147" s="2014"/>
      <c r="BB147" s="2014" t="e">
        <f t="shared" si="228"/>
        <v>#REF!</v>
      </c>
      <c r="BC147" s="2014"/>
      <c r="BD147" s="2013" t="e">
        <f>BR147*#REF!</f>
        <v>#REF!</v>
      </c>
      <c r="BE147" s="2013" t="e">
        <f>BS147*#REF!</f>
        <v>#REF!</v>
      </c>
      <c r="BF147" s="2013" t="e">
        <f>BT147*#REF!</f>
        <v>#REF!</v>
      </c>
      <c r="BG147" s="2013" t="e">
        <f>BU147*#REF!</f>
        <v>#REF!</v>
      </c>
      <c r="BH147" s="2094" t="e">
        <f>BV147*#REF!</f>
        <v>#REF!</v>
      </c>
      <c r="BI147" s="2013" t="e">
        <f>BW147*#REF!</f>
        <v>#REF!</v>
      </c>
      <c r="BJ147" s="2013" t="e">
        <f>BX147*#REF!</f>
        <v>#REF!</v>
      </c>
      <c r="BK147" s="2013" t="e">
        <f>BY147*#REF!</f>
        <v>#REF!</v>
      </c>
      <c r="BL147" s="2013" t="e">
        <f>BZ147*#REF!</f>
        <v>#REF!</v>
      </c>
      <c r="BM147" s="2013" t="e">
        <f>CA147*#REF!</f>
        <v>#REF!</v>
      </c>
      <c r="BO147" s="2040">
        <f t="shared" si="234"/>
        <v>1.1000000000000001</v>
      </c>
      <c r="BP147" s="2040" t="str">
        <f t="shared" si="235"/>
        <v>LR2 1</v>
      </c>
      <c r="BQ147" s="829" t="str">
        <f t="shared" si="236"/>
        <v>節水</v>
      </c>
      <c r="BR147" s="2010">
        <f t="shared" si="237"/>
        <v>0.4</v>
      </c>
      <c r="BS147" s="2010">
        <f t="shared" si="238"/>
        <v>0.4</v>
      </c>
      <c r="BT147" s="2010">
        <f t="shared" si="239"/>
        <v>0.4</v>
      </c>
      <c r="BU147" s="2010">
        <f t="shared" si="240"/>
        <v>0.4</v>
      </c>
      <c r="BV147" s="2093">
        <f t="shared" si="241"/>
        <v>0.4</v>
      </c>
      <c r="BW147" s="2010">
        <f t="shared" si="242"/>
        <v>0.4</v>
      </c>
      <c r="BX147" s="2010">
        <f t="shared" si="243"/>
        <v>0.4</v>
      </c>
      <c r="BY147" s="2010">
        <f t="shared" si="244"/>
        <v>0.4</v>
      </c>
      <c r="BZ147" s="2010">
        <f t="shared" si="245"/>
        <v>0.4</v>
      </c>
      <c r="CA147" s="2010">
        <f t="shared" si="246"/>
        <v>0.4</v>
      </c>
      <c r="CB147" s="2092">
        <f t="shared" si="247"/>
        <v>0</v>
      </c>
      <c r="CC147" s="2091">
        <f t="shared" si="248"/>
        <v>0</v>
      </c>
      <c r="CD147" s="2091">
        <f t="shared" si="249"/>
        <v>0</v>
      </c>
      <c r="CF147" s="1207">
        <v>1.1000000000000001</v>
      </c>
      <c r="CG147" s="1211" t="s">
        <v>124</v>
      </c>
      <c r="CH147" s="1208" t="s">
        <v>1066</v>
      </c>
      <c r="CI147" s="1213">
        <v>0.4</v>
      </c>
      <c r="CJ147" s="1213">
        <v>0.4</v>
      </c>
      <c r="CK147" s="1213">
        <v>0.4</v>
      </c>
      <c r="CL147" s="1213">
        <v>0.4</v>
      </c>
      <c r="CM147" s="1220">
        <v>0.4</v>
      </c>
      <c r="CN147" s="1213">
        <v>0.4</v>
      </c>
      <c r="CO147" s="1213">
        <v>0.4</v>
      </c>
      <c r="CP147" s="1213">
        <v>0.4</v>
      </c>
      <c r="CQ147" s="1213">
        <v>0.4</v>
      </c>
      <c r="CR147" s="1213">
        <v>0.4</v>
      </c>
      <c r="CS147" s="1273"/>
      <c r="CT147" s="1225"/>
      <c r="CU147" s="1225"/>
      <c r="CW147" s="1207">
        <v>1.1000000000000001</v>
      </c>
      <c r="CX147" s="1211" t="s">
        <v>124</v>
      </c>
      <c r="CY147" s="1208" t="s">
        <v>1066</v>
      </c>
      <c r="CZ147" s="1213">
        <v>0.4</v>
      </c>
      <c r="DA147" s="1213">
        <v>0.4</v>
      </c>
      <c r="DB147" s="1213">
        <v>0.4</v>
      </c>
      <c r="DC147" s="1213">
        <v>0.4</v>
      </c>
      <c r="DD147" s="1220">
        <v>0.4</v>
      </c>
      <c r="DE147" s="1213">
        <v>0.4</v>
      </c>
      <c r="DF147" s="1213">
        <v>0.4</v>
      </c>
      <c r="DG147" s="1213">
        <v>0.4</v>
      </c>
      <c r="DH147" s="1213">
        <v>0.4</v>
      </c>
      <c r="DI147" s="1213">
        <v>0.4</v>
      </c>
      <c r="DJ147" s="1273"/>
      <c r="DK147" s="1225"/>
      <c r="DL147" s="1225"/>
      <c r="DN147" s="1207">
        <v>1.1000000000000001</v>
      </c>
      <c r="DO147" s="1211" t="s">
        <v>124</v>
      </c>
      <c r="DP147" s="1208" t="s">
        <v>1066</v>
      </c>
      <c r="DQ147" s="1213">
        <v>0.4</v>
      </c>
      <c r="DR147" s="1213">
        <v>0.4</v>
      </c>
      <c r="DS147" s="1213">
        <v>0.4</v>
      </c>
      <c r="DT147" s="1213">
        <v>0.4</v>
      </c>
      <c r="DU147" s="1220">
        <v>0.4</v>
      </c>
      <c r="DV147" s="1213">
        <v>0.4</v>
      </c>
      <c r="DW147" s="1213">
        <v>0.4</v>
      </c>
      <c r="DX147" s="1213">
        <v>0.4</v>
      </c>
      <c r="DY147" s="1213">
        <v>0.4</v>
      </c>
      <c r="DZ147" s="1213">
        <v>0.4</v>
      </c>
      <c r="EA147" s="1273"/>
      <c r="EB147" s="1225"/>
      <c r="EC147" s="1225"/>
      <c r="ED147" s="1463"/>
      <c r="EF147" s="1207">
        <v>1.1000000000000001</v>
      </c>
      <c r="EG147" s="1211" t="s">
        <v>124</v>
      </c>
      <c r="EH147" s="1208" t="s">
        <v>1066</v>
      </c>
      <c r="EI147" s="1689">
        <f t="shared" ref="EI147:ER150" si="266">DQ147</f>
        <v>0.4</v>
      </c>
      <c r="EJ147" s="1689">
        <f t="shared" si="266"/>
        <v>0.4</v>
      </c>
      <c r="EK147" s="1689">
        <f t="shared" si="266"/>
        <v>0.4</v>
      </c>
      <c r="EL147" s="1689">
        <f t="shared" si="266"/>
        <v>0.4</v>
      </c>
      <c r="EM147" s="1689">
        <f t="shared" si="266"/>
        <v>0.4</v>
      </c>
      <c r="EN147" s="1689">
        <f t="shared" si="266"/>
        <v>0.4</v>
      </c>
      <c r="EO147" s="1689">
        <f t="shared" si="266"/>
        <v>0.4</v>
      </c>
      <c r="EP147" s="1689">
        <f t="shared" si="266"/>
        <v>0.4</v>
      </c>
      <c r="EQ147" s="1689">
        <f t="shared" si="266"/>
        <v>0.4</v>
      </c>
      <c r="ER147" s="1689">
        <f t="shared" si="266"/>
        <v>0.4</v>
      </c>
      <c r="ES147" s="1714">
        <f t="shared" si="214"/>
        <v>0</v>
      </c>
      <c r="ET147" s="1695">
        <f t="shared" si="215"/>
        <v>0</v>
      </c>
      <c r="EU147" s="1695">
        <f t="shared" si="216"/>
        <v>0</v>
      </c>
      <c r="EW147" s="1207">
        <v>1.1000000000000001</v>
      </c>
      <c r="EX147" s="1211" t="s">
        <v>124</v>
      </c>
      <c r="EY147" s="1208" t="s">
        <v>1066</v>
      </c>
      <c r="EZ147" s="1678">
        <f>DQ147</f>
        <v>0.4</v>
      </c>
      <c r="FA147" s="1678"/>
      <c r="FB147" s="1678"/>
      <c r="FC147" s="1678"/>
      <c r="FD147" s="1678"/>
      <c r="FE147" s="1678"/>
      <c r="FF147" s="1678"/>
      <c r="FG147" s="1678"/>
      <c r="FH147" s="1678"/>
      <c r="FI147" s="1678"/>
      <c r="FJ147" s="1812"/>
      <c r="FK147" s="1798"/>
      <c r="FL147" s="1798"/>
    </row>
    <row r="148" spans="2:168" ht="14.25" thickBot="1">
      <c r="B148" s="2023">
        <f t="shared" si="210"/>
        <v>1.2</v>
      </c>
      <c r="C148" s="829" t="str">
        <f t="shared" si="230"/>
        <v>雨水利用・雑排水再利用</v>
      </c>
      <c r="D148" s="2022" t="e">
        <f>IF(I$146=0,0,G148/I$146)</f>
        <v>#REF!</v>
      </c>
      <c r="E148" s="2021" t="e">
        <f>IF(J$146=0,0,H148/J$146)</f>
        <v>#REF!</v>
      </c>
      <c r="G148" s="2021" t="e">
        <f t="shared" si="231"/>
        <v>#REF!</v>
      </c>
      <c r="H148" s="2021" t="e">
        <f t="shared" si="232"/>
        <v>#REF!</v>
      </c>
      <c r="I148" s="2021" t="e">
        <f>SUM(G149:G150)</f>
        <v>#REF!</v>
      </c>
      <c r="J148" s="2021" t="e">
        <f>SUM(H149:H150)</f>
        <v>#REF!</v>
      </c>
      <c r="K148" s="2021" t="e">
        <f>IF(#REF!=0,0,1)</f>
        <v>#REF!</v>
      </c>
      <c r="L148" s="2021" t="e">
        <f>IF(#REF!=0,0,1)</f>
        <v>#REF!</v>
      </c>
      <c r="M148" s="2021">
        <f t="shared" si="233"/>
        <v>0.6</v>
      </c>
      <c r="N148" s="2021">
        <f t="shared" si="212"/>
        <v>0</v>
      </c>
      <c r="P148" s="2123"/>
      <c r="Q148" s="2130">
        <v>1.2</v>
      </c>
      <c r="R148" s="2129" t="s">
        <v>1067</v>
      </c>
      <c r="S148" s="2107"/>
      <c r="T148" s="2106"/>
      <c r="U148" s="2017"/>
      <c r="V148" s="2105">
        <f t="shared" si="263"/>
        <v>0</v>
      </c>
      <c r="W148" s="2104">
        <f t="shared" si="264"/>
        <v>0</v>
      </c>
      <c r="Y148" s="1">
        <f t="shared" si="250"/>
        <v>0</v>
      </c>
      <c r="Z148" s="1">
        <f t="shared" si="251"/>
        <v>0</v>
      </c>
      <c r="AA148" s="1">
        <f t="shared" si="252"/>
        <v>0</v>
      </c>
      <c r="AB148" s="1">
        <f t="shared" si="253"/>
        <v>0</v>
      </c>
      <c r="AC148" s="1">
        <f t="shared" si="254"/>
        <v>0</v>
      </c>
      <c r="AD148" s="1">
        <f t="shared" si="255"/>
        <v>0</v>
      </c>
      <c r="AE148" s="1">
        <f t="shared" si="256"/>
        <v>0</v>
      </c>
      <c r="AF148" s="1">
        <f t="shared" si="257"/>
        <v>0</v>
      </c>
      <c r="AG148" s="1">
        <f t="shared" si="258"/>
        <v>0</v>
      </c>
      <c r="AH148" s="1">
        <f t="shared" si="259"/>
        <v>0</v>
      </c>
      <c r="AI148" s="1">
        <f t="shared" si="260"/>
        <v>0</v>
      </c>
      <c r="AJ148" s="1">
        <f t="shared" si="261"/>
        <v>0</v>
      </c>
      <c r="AK148" s="1">
        <f t="shared" si="262"/>
        <v>0</v>
      </c>
      <c r="AM148" s="2103" t="s">
        <v>177</v>
      </c>
      <c r="AN148" s="2103" t="s">
        <v>3117</v>
      </c>
      <c r="AO148" s="2103" t="s">
        <v>177</v>
      </c>
      <c r="AP148" s="2103" t="s">
        <v>3117</v>
      </c>
      <c r="AQ148" s="2103" t="s">
        <v>177</v>
      </c>
      <c r="AR148" s="2103" t="s">
        <v>177</v>
      </c>
      <c r="AS148" s="2103" t="s">
        <v>177</v>
      </c>
      <c r="AT148" s="2103" t="s">
        <v>177</v>
      </c>
      <c r="AU148" s="2103" t="s">
        <v>177</v>
      </c>
      <c r="AV148" s="2103" t="s">
        <v>177</v>
      </c>
      <c r="AW148" s="2103" t="s">
        <v>177</v>
      </c>
      <c r="AX148" s="2103" t="s">
        <v>177</v>
      </c>
      <c r="AY148" s="2103" t="s">
        <v>177</v>
      </c>
      <c r="BA148" s="2014"/>
      <c r="BB148" s="2014" t="e">
        <f t="shared" si="228"/>
        <v>#REF!</v>
      </c>
      <c r="BC148" s="2014"/>
      <c r="BD148" s="2013" t="e">
        <f>BR148*#REF!</f>
        <v>#REF!</v>
      </c>
      <c r="BE148" s="2013" t="e">
        <f>BS148*#REF!</f>
        <v>#REF!</v>
      </c>
      <c r="BF148" s="2013" t="e">
        <f>BT148*#REF!</f>
        <v>#REF!</v>
      </c>
      <c r="BG148" s="2013" t="e">
        <f>BU148*#REF!</f>
        <v>#REF!</v>
      </c>
      <c r="BH148" s="2094" t="e">
        <f>BV148*#REF!</f>
        <v>#REF!</v>
      </c>
      <c r="BI148" s="2013" t="e">
        <f>BW148*#REF!</f>
        <v>#REF!</v>
      </c>
      <c r="BJ148" s="2013" t="e">
        <f>BX148*#REF!</f>
        <v>#REF!</v>
      </c>
      <c r="BK148" s="2013" t="e">
        <f>BY148*#REF!</f>
        <v>#REF!</v>
      </c>
      <c r="BL148" s="2013" t="e">
        <f>BZ148*#REF!</f>
        <v>#REF!</v>
      </c>
      <c r="BM148" s="2013" t="e">
        <f>CA148*#REF!</f>
        <v>#REF!</v>
      </c>
      <c r="BO148" s="2128">
        <f t="shared" si="234"/>
        <v>1.2</v>
      </c>
      <c r="BP148" s="2040" t="str">
        <f t="shared" si="235"/>
        <v>LR2 1</v>
      </c>
      <c r="BQ148" s="829" t="str">
        <f t="shared" si="236"/>
        <v>雨水利用・雑排水再利用</v>
      </c>
      <c r="BR148" s="2010">
        <f t="shared" si="237"/>
        <v>0.6</v>
      </c>
      <c r="BS148" s="2010">
        <f t="shared" si="238"/>
        <v>0.6</v>
      </c>
      <c r="BT148" s="2010">
        <f t="shared" si="239"/>
        <v>0.6</v>
      </c>
      <c r="BU148" s="2010">
        <f t="shared" si="240"/>
        <v>0.6</v>
      </c>
      <c r="BV148" s="2093">
        <f t="shared" si="241"/>
        <v>0.6</v>
      </c>
      <c r="BW148" s="2010">
        <f t="shared" si="242"/>
        <v>0.6</v>
      </c>
      <c r="BX148" s="2010">
        <f t="shared" si="243"/>
        <v>0.6</v>
      </c>
      <c r="BY148" s="2010">
        <f t="shared" si="244"/>
        <v>0.6</v>
      </c>
      <c r="BZ148" s="2010">
        <f t="shared" si="245"/>
        <v>0.6</v>
      </c>
      <c r="CA148" s="2010">
        <f t="shared" si="246"/>
        <v>0.6</v>
      </c>
      <c r="CB148" s="2092">
        <f t="shared" si="247"/>
        <v>0</v>
      </c>
      <c r="CC148" s="2091">
        <f t="shared" si="248"/>
        <v>0</v>
      </c>
      <c r="CD148" s="2091">
        <f t="shared" si="249"/>
        <v>0</v>
      </c>
      <c r="CF148" s="1264">
        <v>1.2</v>
      </c>
      <c r="CG148" s="1211" t="s">
        <v>124</v>
      </c>
      <c r="CH148" s="1208" t="s">
        <v>125</v>
      </c>
      <c r="CI148" s="1213">
        <v>0.6</v>
      </c>
      <c r="CJ148" s="1213">
        <v>0.6</v>
      </c>
      <c r="CK148" s="1213">
        <v>0.6</v>
      </c>
      <c r="CL148" s="1213">
        <v>0.6</v>
      </c>
      <c r="CM148" s="1220">
        <v>0.6</v>
      </c>
      <c r="CN148" s="1213">
        <v>0.6</v>
      </c>
      <c r="CO148" s="1213">
        <v>0.6</v>
      </c>
      <c r="CP148" s="1213">
        <v>0.6</v>
      </c>
      <c r="CQ148" s="1213">
        <v>0.6</v>
      </c>
      <c r="CR148" s="1213">
        <v>0.6</v>
      </c>
      <c r="CS148" s="1273"/>
      <c r="CT148" s="1225"/>
      <c r="CU148" s="1225"/>
      <c r="CW148" s="1264">
        <v>1.2</v>
      </c>
      <c r="CX148" s="1211" t="s">
        <v>124</v>
      </c>
      <c r="CY148" s="1208" t="s">
        <v>125</v>
      </c>
      <c r="CZ148" s="1213">
        <v>0.6</v>
      </c>
      <c r="DA148" s="1213">
        <v>0.6</v>
      </c>
      <c r="DB148" s="1213">
        <v>0.6</v>
      </c>
      <c r="DC148" s="1213">
        <v>0.6</v>
      </c>
      <c r="DD148" s="1220">
        <v>0.6</v>
      </c>
      <c r="DE148" s="1213">
        <v>0.6</v>
      </c>
      <c r="DF148" s="1213">
        <v>0.6</v>
      </c>
      <c r="DG148" s="1213">
        <v>0.6</v>
      </c>
      <c r="DH148" s="1213">
        <v>0.6</v>
      </c>
      <c r="DI148" s="1213">
        <v>0.6</v>
      </c>
      <c r="DJ148" s="1273"/>
      <c r="DK148" s="1225"/>
      <c r="DL148" s="1225"/>
      <c r="DN148" s="1264">
        <v>1.2</v>
      </c>
      <c r="DO148" s="1211" t="s">
        <v>124</v>
      </c>
      <c r="DP148" s="1208" t="s">
        <v>125</v>
      </c>
      <c r="DQ148" s="1213">
        <v>0.6</v>
      </c>
      <c r="DR148" s="1213">
        <v>0.6</v>
      </c>
      <c r="DS148" s="1213">
        <v>0.6</v>
      </c>
      <c r="DT148" s="1213">
        <v>0.6</v>
      </c>
      <c r="DU148" s="1220">
        <v>0.6</v>
      </c>
      <c r="DV148" s="1213">
        <v>0.6</v>
      </c>
      <c r="DW148" s="1213">
        <v>0.6</v>
      </c>
      <c r="DX148" s="1213">
        <v>0.6</v>
      </c>
      <c r="DY148" s="1213">
        <v>0.6</v>
      </c>
      <c r="DZ148" s="1213">
        <v>0.6</v>
      </c>
      <c r="EA148" s="1273"/>
      <c r="EB148" s="1225"/>
      <c r="EC148" s="1225"/>
      <c r="ED148" s="1463"/>
      <c r="EF148" s="1264">
        <v>1.2</v>
      </c>
      <c r="EG148" s="1211" t="s">
        <v>124</v>
      </c>
      <c r="EH148" s="1208" t="s">
        <v>125</v>
      </c>
      <c r="EI148" s="1689">
        <f t="shared" si="266"/>
        <v>0.6</v>
      </c>
      <c r="EJ148" s="1689">
        <f t="shared" si="266"/>
        <v>0.6</v>
      </c>
      <c r="EK148" s="1689">
        <f t="shared" si="266"/>
        <v>0.6</v>
      </c>
      <c r="EL148" s="1689">
        <f t="shared" si="266"/>
        <v>0.6</v>
      </c>
      <c r="EM148" s="1689">
        <f t="shared" si="266"/>
        <v>0.6</v>
      </c>
      <c r="EN148" s="1689">
        <f t="shared" si="266"/>
        <v>0.6</v>
      </c>
      <c r="EO148" s="1689">
        <f t="shared" si="266"/>
        <v>0.6</v>
      </c>
      <c r="EP148" s="1689">
        <f t="shared" si="266"/>
        <v>0.6</v>
      </c>
      <c r="EQ148" s="1689">
        <f t="shared" si="266"/>
        <v>0.6</v>
      </c>
      <c r="ER148" s="1689">
        <f t="shared" si="266"/>
        <v>0.6</v>
      </c>
      <c r="ES148" s="1714">
        <f t="shared" si="214"/>
        <v>0</v>
      </c>
      <c r="ET148" s="1695">
        <f t="shared" si="215"/>
        <v>0</v>
      </c>
      <c r="EU148" s="1695">
        <f t="shared" si="216"/>
        <v>0</v>
      </c>
      <c r="EW148" s="1264">
        <v>1.2</v>
      </c>
      <c r="EX148" s="1211" t="s">
        <v>124</v>
      </c>
      <c r="EY148" s="1208" t="s">
        <v>125</v>
      </c>
      <c r="EZ148" s="1678">
        <f>DQ148</f>
        <v>0.6</v>
      </c>
      <c r="FA148" s="1678"/>
      <c r="FB148" s="1678"/>
      <c r="FC148" s="1678"/>
      <c r="FD148" s="1678"/>
      <c r="FE148" s="1678"/>
      <c r="FF148" s="1678"/>
      <c r="FG148" s="1678"/>
      <c r="FH148" s="1678"/>
      <c r="FI148" s="1678"/>
      <c r="FJ148" s="1812"/>
      <c r="FK148" s="1798"/>
      <c r="FL148" s="1798"/>
    </row>
    <row r="149" spans="2:168">
      <c r="B149" s="2023" t="str">
        <f t="shared" si="210"/>
        <v>1.2.1</v>
      </c>
      <c r="C149" s="829" t="str">
        <f t="shared" si="230"/>
        <v>雨水利用システム導入の有無</v>
      </c>
      <c r="D149" s="2100" t="e">
        <f>IF(I$148&gt;0,G149/I$148,0)</f>
        <v>#REF!</v>
      </c>
      <c r="E149" s="2021" t="e">
        <f>IF(J$148&gt;0,H149/J$148,0)</f>
        <v>#REF!</v>
      </c>
      <c r="G149" s="2021" t="e">
        <f t="shared" si="231"/>
        <v>#REF!</v>
      </c>
      <c r="H149" s="2021" t="e">
        <f t="shared" si="232"/>
        <v>#REF!</v>
      </c>
      <c r="I149" s="2021"/>
      <c r="J149" s="2021"/>
      <c r="K149" s="2021" t="e">
        <f>IF(#REF!=0,0,1)</f>
        <v>#REF!</v>
      </c>
      <c r="L149" s="2021" t="e">
        <f>IF(#REF!=0,0,1)</f>
        <v>#REF!</v>
      </c>
      <c r="M149" s="2021">
        <f t="shared" si="233"/>
        <v>0.7</v>
      </c>
      <c r="N149" s="2021">
        <f t="shared" si="212"/>
        <v>0</v>
      </c>
      <c r="P149" s="2123"/>
      <c r="Q149" s="2127"/>
      <c r="R149" s="993">
        <v>1</v>
      </c>
      <c r="S149" s="1655" t="s">
        <v>1068</v>
      </c>
      <c r="T149" s="2036"/>
      <c r="U149" s="2017"/>
      <c r="V149" s="2025">
        <f t="shared" si="263"/>
        <v>0</v>
      </c>
      <c r="W149" s="2024">
        <f t="shared" si="264"/>
        <v>0</v>
      </c>
      <c r="Y149" s="1">
        <f t="shared" si="250"/>
        <v>0</v>
      </c>
      <c r="Z149" s="1">
        <f t="shared" si="251"/>
        <v>0</v>
      </c>
      <c r="AA149" s="1">
        <f t="shared" si="252"/>
        <v>0</v>
      </c>
      <c r="AB149" s="1">
        <f t="shared" si="253"/>
        <v>0</v>
      </c>
      <c r="AC149" s="1">
        <f t="shared" si="254"/>
        <v>0</v>
      </c>
      <c r="AD149" s="1">
        <f t="shared" si="255"/>
        <v>0</v>
      </c>
      <c r="AE149" s="1">
        <f t="shared" si="256"/>
        <v>0</v>
      </c>
      <c r="AF149" s="1">
        <f t="shared" si="257"/>
        <v>0</v>
      </c>
      <c r="AG149" s="1">
        <f t="shared" si="258"/>
        <v>0</v>
      </c>
      <c r="AH149" s="1">
        <f t="shared" si="259"/>
        <v>0</v>
      </c>
      <c r="AI149" s="1">
        <f t="shared" si="260"/>
        <v>0</v>
      </c>
      <c r="AJ149" s="1">
        <f t="shared" si="261"/>
        <v>0</v>
      </c>
      <c r="AK149" s="1">
        <f t="shared" si="262"/>
        <v>0</v>
      </c>
      <c r="AM149" s="1827"/>
      <c r="AN149" s="1827"/>
      <c r="AO149" s="1827"/>
      <c r="AP149" s="1827"/>
      <c r="AQ149" s="1827"/>
      <c r="AR149" s="1827"/>
      <c r="AS149" s="1827"/>
      <c r="AT149" s="1827"/>
      <c r="AU149" s="1827"/>
      <c r="AV149" s="1827"/>
      <c r="AW149" s="1827"/>
      <c r="AX149" s="1827"/>
      <c r="AY149" s="1827"/>
      <c r="BA149" s="2014"/>
      <c r="BB149" s="2014" t="e">
        <f t="shared" si="228"/>
        <v>#REF!</v>
      </c>
      <c r="BC149" s="2014"/>
      <c r="BD149" s="2013" t="e">
        <f>BR149*#REF!</f>
        <v>#REF!</v>
      </c>
      <c r="BE149" s="2013" t="e">
        <f>BS149*#REF!</f>
        <v>#REF!</v>
      </c>
      <c r="BF149" s="2013" t="e">
        <f>BT149*#REF!</f>
        <v>#REF!</v>
      </c>
      <c r="BG149" s="2013" t="e">
        <f>BU149*#REF!</f>
        <v>#REF!</v>
      </c>
      <c r="BH149" s="2094" t="e">
        <f>BV149*#REF!</f>
        <v>#REF!</v>
      </c>
      <c r="BI149" s="2013" t="e">
        <f>BW149*#REF!</f>
        <v>#REF!</v>
      </c>
      <c r="BJ149" s="2013" t="e">
        <f>BX149*#REF!</f>
        <v>#REF!</v>
      </c>
      <c r="BK149" s="2013" t="e">
        <f>BY149*#REF!</f>
        <v>#REF!</v>
      </c>
      <c r="BL149" s="2013" t="e">
        <f>BZ149*#REF!</f>
        <v>#REF!</v>
      </c>
      <c r="BM149" s="2013" t="e">
        <f>CA149*#REF!</f>
        <v>#REF!</v>
      </c>
      <c r="BO149" s="2040" t="str">
        <f t="shared" si="234"/>
        <v>1.2.1</v>
      </c>
      <c r="BP149" s="2040" t="str">
        <f t="shared" si="235"/>
        <v>LR2 1.2</v>
      </c>
      <c r="BQ149" s="829" t="str">
        <f t="shared" si="236"/>
        <v>雨水利用システム導入の有無</v>
      </c>
      <c r="BR149" s="2010">
        <f t="shared" si="237"/>
        <v>0.7</v>
      </c>
      <c r="BS149" s="2010">
        <f t="shared" si="238"/>
        <v>0.7</v>
      </c>
      <c r="BT149" s="2010">
        <f t="shared" si="239"/>
        <v>0.7</v>
      </c>
      <c r="BU149" s="2010">
        <f t="shared" si="240"/>
        <v>0.7</v>
      </c>
      <c r="BV149" s="2093">
        <f t="shared" si="241"/>
        <v>0.7</v>
      </c>
      <c r="BW149" s="2010">
        <f t="shared" si="242"/>
        <v>0.7</v>
      </c>
      <c r="BX149" s="2010">
        <f t="shared" si="243"/>
        <v>0.7</v>
      </c>
      <c r="BY149" s="2010">
        <f t="shared" si="244"/>
        <v>0.7</v>
      </c>
      <c r="BZ149" s="2010">
        <f t="shared" si="245"/>
        <v>0.7</v>
      </c>
      <c r="CA149" s="2010">
        <f t="shared" si="246"/>
        <v>0.7</v>
      </c>
      <c r="CB149" s="2092">
        <f t="shared" si="247"/>
        <v>0</v>
      </c>
      <c r="CC149" s="2091">
        <f t="shared" si="248"/>
        <v>0</v>
      </c>
      <c r="CD149" s="2091">
        <f t="shared" si="249"/>
        <v>0</v>
      </c>
      <c r="CF149" s="1207" t="s">
        <v>207</v>
      </c>
      <c r="CG149" s="1211" t="s">
        <v>126</v>
      </c>
      <c r="CH149" s="1208" t="s">
        <v>2361</v>
      </c>
      <c r="CI149" s="1213">
        <v>0.7</v>
      </c>
      <c r="CJ149" s="1213">
        <v>0.7</v>
      </c>
      <c r="CK149" s="1213">
        <v>0.7</v>
      </c>
      <c r="CL149" s="1213">
        <v>0.7</v>
      </c>
      <c r="CM149" s="1220">
        <v>0.7</v>
      </c>
      <c r="CN149" s="1213">
        <v>0.7</v>
      </c>
      <c r="CO149" s="1213">
        <v>0.7</v>
      </c>
      <c r="CP149" s="1213">
        <v>0.7</v>
      </c>
      <c r="CQ149" s="1213">
        <v>0.7</v>
      </c>
      <c r="CR149" s="1213">
        <v>0.7</v>
      </c>
      <c r="CS149" s="1273"/>
      <c r="CT149" s="1225"/>
      <c r="CU149" s="1225"/>
      <c r="CW149" s="1207" t="s">
        <v>207</v>
      </c>
      <c r="CX149" s="1211" t="s">
        <v>126</v>
      </c>
      <c r="CY149" s="1208" t="s">
        <v>2361</v>
      </c>
      <c r="CZ149" s="1213">
        <v>0.7</v>
      </c>
      <c r="DA149" s="1213">
        <v>0.7</v>
      </c>
      <c r="DB149" s="1213">
        <v>0.7</v>
      </c>
      <c r="DC149" s="1213">
        <v>0.7</v>
      </c>
      <c r="DD149" s="1220">
        <v>0.7</v>
      </c>
      <c r="DE149" s="1213">
        <v>0.7</v>
      </c>
      <c r="DF149" s="1213">
        <v>0.7</v>
      </c>
      <c r="DG149" s="1213">
        <v>0.7</v>
      </c>
      <c r="DH149" s="1213">
        <v>0.7</v>
      </c>
      <c r="DI149" s="1213">
        <v>0.7</v>
      </c>
      <c r="DJ149" s="1273"/>
      <c r="DK149" s="1225"/>
      <c r="DL149" s="1225"/>
      <c r="DN149" s="1207" t="s">
        <v>207</v>
      </c>
      <c r="DO149" s="1211" t="s">
        <v>126</v>
      </c>
      <c r="DP149" s="1208" t="s">
        <v>3144</v>
      </c>
      <c r="DQ149" s="1213">
        <v>0.7</v>
      </c>
      <c r="DR149" s="1213">
        <v>0.7</v>
      </c>
      <c r="DS149" s="1213">
        <v>0.7</v>
      </c>
      <c r="DT149" s="1213">
        <v>0.7</v>
      </c>
      <c r="DU149" s="1220">
        <v>0.7</v>
      </c>
      <c r="DV149" s="1213">
        <v>0.7</v>
      </c>
      <c r="DW149" s="1213">
        <v>0.7</v>
      </c>
      <c r="DX149" s="1213">
        <v>0.7</v>
      </c>
      <c r="DY149" s="1213">
        <v>0.7</v>
      </c>
      <c r="DZ149" s="1213">
        <v>0.7</v>
      </c>
      <c r="EA149" s="1273"/>
      <c r="EB149" s="1225"/>
      <c r="EC149" s="1225"/>
      <c r="ED149" s="1463"/>
      <c r="EF149" s="1207" t="s">
        <v>207</v>
      </c>
      <c r="EG149" s="1211" t="s">
        <v>126</v>
      </c>
      <c r="EH149" s="1208" t="s">
        <v>2361</v>
      </c>
      <c r="EI149" s="1689">
        <f t="shared" si="266"/>
        <v>0.7</v>
      </c>
      <c r="EJ149" s="1689">
        <f t="shared" si="266"/>
        <v>0.7</v>
      </c>
      <c r="EK149" s="1689">
        <f t="shared" si="266"/>
        <v>0.7</v>
      </c>
      <c r="EL149" s="1689">
        <f t="shared" si="266"/>
        <v>0.7</v>
      </c>
      <c r="EM149" s="1689">
        <f t="shared" si="266"/>
        <v>0.7</v>
      </c>
      <c r="EN149" s="1689">
        <f t="shared" si="266"/>
        <v>0.7</v>
      </c>
      <c r="EO149" s="1689">
        <f t="shared" si="266"/>
        <v>0.7</v>
      </c>
      <c r="EP149" s="1689">
        <f t="shared" si="266"/>
        <v>0.7</v>
      </c>
      <c r="EQ149" s="1689">
        <f t="shared" si="266"/>
        <v>0.7</v>
      </c>
      <c r="ER149" s="1689">
        <f t="shared" si="266"/>
        <v>0.7</v>
      </c>
      <c r="ES149" s="1714">
        <f t="shared" si="214"/>
        <v>0</v>
      </c>
      <c r="ET149" s="1695">
        <f t="shared" si="215"/>
        <v>0</v>
      </c>
      <c r="EU149" s="1695">
        <f t="shared" si="216"/>
        <v>0</v>
      </c>
      <c r="EW149" s="1207" t="s">
        <v>207</v>
      </c>
      <c r="EX149" s="1211" t="s">
        <v>126</v>
      </c>
      <c r="EY149" s="1208" t="s">
        <v>2361</v>
      </c>
      <c r="EZ149" s="1678">
        <f>DQ149</f>
        <v>0.7</v>
      </c>
      <c r="FA149" s="1678"/>
      <c r="FB149" s="1678"/>
      <c r="FC149" s="1678"/>
      <c r="FD149" s="1678"/>
      <c r="FE149" s="1678"/>
      <c r="FF149" s="1678"/>
      <c r="FG149" s="1678"/>
      <c r="FH149" s="1678"/>
      <c r="FI149" s="1678"/>
      <c r="FJ149" s="1812"/>
      <c r="FK149" s="1798"/>
      <c r="FL149" s="1798"/>
    </row>
    <row r="150" spans="2:168" ht="14.25" thickBot="1">
      <c r="B150" s="2023" t="str">
        <f t="shared" si="210"/>
        <v>1.2.2</v>
      </c>
      <c r="C150" s="829" t="str">
        <f t="shared" si="230"/>
        <v>雑排水等再利用システム導入の有無</v>
      </c>
      <c r="D150" s="2100" t="e">
        <f>IF(I$148&gt;0,G150/I$148,0)</f>
        <v>#REF!</v>
      </c>
      <c r="E150" s="2021" t="e">
        <f>IF(J$148&gt;0,H150/J$148,0)</f>
        <v>#REF!</v>
      </c>
      <c r="G150" s="2021" t="e">
        <f t="shared" si="231"/>
        <v>#REF!</v>
      </c>
      <c r="H150" s="2021" t="e">
        <f t="shared" si="232"/>
        <v>#REF!</v>
      </c>
      <c r="I150" s="2021"/>
      <c r="J150" s="2021"/>
      <c r="K150" s="2021" t="e">
        <f>IF(#REF!=0,0,1)</f>
        <v>#REF!</v>
      </c>
      <c r="L150" s="2021" t="e">
        <f>IF(#REF!=0,0,1)</f>
        <v>#REF!</v>
      </c>
      <c r="M150" s="2021">
        <f t="shared" si="233"/>
        <v>0.3</v>
      </c>
      <c r="N150" s="2021">
        <f t="shared" si="212"/>
        <v>0</v>
      </c>
      <c r="P150" s="2126"/>
      <c r="Q150" s="2125"/>
      <c r="R150" s="993">
        <v>2</v>
      </c>
      <c r="S150" s="3125" t="s">
        <v>1069</v>
      </c>
      <c r="T150" s="3117"/>
      <c r="U150" s="2017"/>
      <c r="V150" s="2016">
        <f t="shared" si="263"/>
        <v>0</v>
      </c>
      <c r="W150" s="2015">
        <f t="shared" si="264"/>
        <v>0</v>
      </c>
      <c r="Y150" s="1">
        <f t="shared" si="250"/>
        <v>0</v>
      </c>
      <c r="Z150" s="1">
        <f t="shared" si="251"/>
        <v>0</v>
      </c>
      <c r="AA150" s="1">
        <f t="shared" si="252"/>
        <v>0</v>
      </c>
      <c r="AB150" s="1">
        <f t="shared" si="253"/>
        <v>0</v>
      </c>
      <c r="AC150" s="1">
        <f t="shared" si="254"/>
        <v>0</v>
      </c>
      <c r="AD150" s="1">
        <f t="shared" si="255"/>
        <v>0</v>
      </c>
      <c r="AE150" s="1">
        <f t="shared" si="256"/>
        <v>0</v>
      </c>
      <c r="AF150" s="1">
        <f t="shared" si="257"/>
        <v>0</v>
      </c>
      <c r="AG150" s="1">
        <f t="shared" si="258"/>
        <v>0</v>
      </c>
      <c r="AH150" s="1">
        <f t="shared" si="259"/>
        <v>0</v>
      </c>
      <c r="AI150" s="1">
        <f t="shared" si="260"/>
        <v>0</v>
      </c>
      <c r="AJ150" s="1">
        <f t="shared" si="261"/>
        <v>0</v>
      </c>
      <c r="AK150" s="1">
        <f t="shared" si="262"/>
        <v>0</v>
      </c>
      <c r="AM150" s="1831"/>
      <c r="AN150" s="1831"/>
      <c r="AO150" s="1831"/>
      <c r="AP150" s="1831"/>
      <c r="AQ150" s="1831"/>
      <c r="AR150" s="1831"/>
      <c r="AS150" s="1831"/>
      <c r="AT150" s="1831"/>
      <c r="AU150" s="1831"/>
      <c r="AV150" s="1831"/>
      <c r="AW150" s="1831"/>
      <c r="AX150" s="1831"/>
      <c r="AY150" s="1831"/>
      <c r="BA150" s="2014"/>
      <c r="BB150" s="2014" t="e">
        <f t="shared" si="228"/>
        <v>#REF!</v>
      </c>
      <c r="BC150" s="2014"/>
      <c r="BD150" s="2013" t="e">
        <f>BR150*#REF!</f>
        <v>#REF!</v>
      </c>
      <c r="BE150" s="2013" t="e">
        <f>BS150*#REF!</f>
        <v>#REF!</v>
      </c>
      <c r="BF150" s="2013" t="e">
        <f>BT150*#REF!</f>
        <v>#REF!</v>
      </c>
      <c r="BG150" s="2013" t="e">
        <f>BU150*#REF!</f>
        <v>#REF!</v>
      </c>
      <c r="BH150" s="2094" t="e">
        <f>BV150*#REF!</f>
        <v>#REF!</v>
      </c>
      <c r="BI150" s="2013" t="e">
        <f>BW150*#REF!</f>
        <v>#REF!</v>
      </c>
      <c r="BJ150" s="2013" t="e">
        <f>BX150*#REF!</f>
        <v>#REF!</v>
      </c>
      <c r="BK150" s="2013" t="e">
        <f>BY150*#REF!</f>
        <v>#REF!</v>
      </c>
      <c r="BL150" s="2013" t="e">
        <f>BZ150*#REF!</f>
        <v>#REF!</v>
      </c>
      <c r="BM150" s="2013" t="e">
        <f>CA150*#REF!</f>
        <v>#REF!</v>
      </c>
      <c r="BO150" s="2040" t="str">
        <f t="shared" si="234"/>
        <v>1.2.2</v>
      </c>
      <c r="BP150" s="2040" t="str">
        <f t="shared" si="235"/>
        <v>LR2 1.2</v>
      </c>
      <c r="BQ150" s="829" t="str">
        <f t="shared" si="236"/>
        <v>雑排水等再利用システム導入の有無</v>
      </c>
      <c r="BR150" s="2010">
        <f t="shared" si="237"/>
        <v>0.3</v>
      </c>
      <c r="BS150" s="2010">
        <f t="shared" si="238"/>
        <v>0.3</v>
      </c>
      <c r="BT150" s="2010">
        <f t="shared" si="239"/>
        <v>0.3</v>
      </c>
      <c r="BU150" s="2010">
        <f t="shared" si="240"/>
        <v>0.3</v>
      </c>
      <c r="BV150" s="2093">
        <f t="shared" si="241"/>
        <v>0.3</v>
      </c>
      <c r="BW150" s="2010">
        <f t="shared" si="242"/>
        <v>0.3</v>
      </c>
      <c r="BX150" s="2010">
        <f t="shared" si="243"/>
        <v>0.3</v>
      </c>
      <c r="BY150" s="2010">
        <f t="shared" si="244"/>
        <v>0.3</v>
      </c>
      <c r="BZ150" s="2010">
        <f t="shared" si="245"/>
        <v>0.3</v>
      </c>
      <c r="CA150" s="2010">
        <f t="shared" si="246"/>
        <v>0.3</v>
      </c>
      <c r="CB150" s="2092">
        <f t="shared" si="247"/>
        <v>0</v>
      </c>
      <c r="CC150" s="2091">
        <f t="shared" si="248"/>
        <v>0</v>
      </c>
      <c r="CD150" s="2091">
        <f t="shared" si="249"/>
        <v>0</v>
      </c>
      <c r="CF150" s="1207" t="s">
        <v>209</v>
      </c>
      <c r="CG150" s="1211" t="s">
        <v>126</v>
      </c>
      <c r="CH150" s="1208" t="s">
        <v>127</v>
      </c>
      <c r="CI150" s="1213">
        <v>0.3</v>
      </c>
      <c r="CJ150" s="1213">
        <v>0.3</v>
      </c>
      <c r="CK150" s="1213">
        <v>0.3</v>
      </c>
      <c r="CL150" s="1213">
        <v>0.3</v>
      </c>
      <c r="CM150" s="1220">
        <v>0.3</v>
      </c>
      <c r="CN150" s="1213">
        <v>0.3</v>
      </c>
      <c r="CO150" s="1213">
        <v>0.3</v>
      </c>
      <c r="CP150" s="1213">
        <v>0.3</v>
      </c>
      <c r="CQ150" s="1213">
        <v>0.3</v>
      </c>
      <c r="CR150" s="1213">
        <v>0.3</v>
      </c>
      <c r="CS150" s="1273"/>
      <c r="CT150" s="1225"/>
      <c r="CU150" s="1225"/>
      <c r="CW150" s="1207" t="s">
        <v>209</v>
      </c>
      <c r="CX150" s="1211" t="s">
        <v>126</v>
      </c>
      <c r="CY150" s="1208" t="s">
        <v>127</v>
      </c>
      <c r="CZ150" s="1213">
        <v>0.3</v>
      </c>
      <c r="DA150" s="1213">
        <v>0.3</v>
      </c>
      <c r="DB150" s="1213">
        <v>0.3</v>
      </c>
      <c r="DC150" s="1213">
        <v>0.3</v>
      </c>
      <c r="DD150" s="1220">
        <v>0.3</v>
      </c>
      <c r="DE150" s="1213">
        <v>0.3</v>
      </c>
      <c r="DF150" s="1213">
        <v>0.3</v>
      </c>
      <c r="DG150" s="1213">
        <v>0.3</v>
      </c>
      <c r="DH150" s="1213">
        <v>0.3</v>
      </c>
      <c r="DI150" s="1213">
        <v>0.3</v>
      </c>
      <c r="DJ150" s="1273"/>
      <c r="DK150" s="1225"/>
      <c r="DL150" s="1225"/>
      <c r="DN150" s="1207" t="s">
        <v>209</v>
      </c>
      <c r="DO150" s="1211" t="s">
        <v>126</v>
      </c>
      <c r="DP150" s="1208" t="s">
        <v>127</v>
      </c>
      <c r="DQ150" s="1213">
        <v>0.3</v>
      </c>
      <c r="DR150" s="1213">
        <v>0.3</v>
      </c>
      <c r="DS150" s="1213">
        <v>0.3</v>
      </c>
      <c r="DT150" s="1213">
        <v>0.3</v>
      </c>
      <c r="DU150" s="1220">
        <v>0.3</v>
      </c>
      <c r="DV150" s="1213">
        <v>0.3</v>
      </c>
      <c r="DW150" s="1213">
        <v>0.3</v>
      </c>
      <c r="DX150" s="1213">
        <v>0.3</v>
      </c>
      <c r="DY150" s="1213">
        <v>0.3</v>
      </c>
      <c r="DZ150" s="1213">
        <v>0.3</v>
      </c>
      <c r="EA150" s="1273"/>
      <c r="EB150" s="1225"/>
      <c r="EC150" s="1225"/>
      <c r="ED150" s="1463"/>
      <c r="EF150" s="1207" t="s">
        <v>209</v>
      </c>
      <c r="EG150" s="1211" t="s">
        <v>126</v>
      </c>
      <c r="EH150" s="1208" t="s">
        <v>127</v>
      </c>
      <c r="EI150" s="1689">
        <f t="shared" si="266"/>
        <v>0.3</v>
      </c>
      <c r="EJ150" s="1689">
        <f t="shared" si="266"/>
        <v>0.3</v>
      </c>
      <c r="EK150" s="1689">
        <f t="shared" si="266"/>
        <v>0.3</v>
      </c>
      <c r="EL150" s="1689">
        <f t="shared" si="266"/>
        <v>0.3</v>
      </c>
      <c r="EM150" s="1689">
        <f t="shared" si="266"/>
        <v>0.3</v>
      </c>
      <c r="EN150" s="1689">
        <f t="shared" si="266"/>
        <v>0.3</v>
      </c>
      <c r="EO150" s="1689">
        <f t="shared" si="266"/>
        <v>0.3</v>
      </c>
      <c r="EP150" s="1689">
        <f t="shared" si="266"/>
        <v>0.3</v>
      </c>
      <c r="EQ150" s="1689">
        <f t="shared" si="266"/>
        <v>0.3</v>
      </c>
      <c r="ER150" s="1689">
        <f t="shared" si="266"/>
        <v>0.3</v>
      </c>
      <c r="ES150" s="1714">
        <f t="shared" si="214"/>
        <v>0</v>
      </c>
      <c r="ET150" s="1695">
        <f t="shared" si="215"/>
        <v>0</v>
      </c>
      <c r="EU150" s="1695">
        <f t="shared" si="216"/>
        <v>0</v>
      </c>
      <c r="EW150" s="1207" t="s">
        <v>209</v>
      </c>
      <c r="EX150" s="1211" t="s">
        <v>126</v>
      </c>
      <c r="EY150" s="1208" t="s">
        <v>127</v>
      </c>
      <c r="EZ150" s="1678">
        <f>DQ150</f>
        <v>0.3</v>
      </c>
      <c r="FA150" s="1678"/>
      <c r="FB150" s="1678"/>
      <c r="FC150" s="1678"/>
      <c r="FD150" s="1678"/>
      <c r="FE150" s="1678"/>
      <c r="FF150" s="1678"/>
      <c r="FG150" s="1678"/>
      <c r="FH150" s="1678"/>
      <c r="FI150" s="1678"/>
      <c r="FJ150" s="1812"/>
      <c r="FK150" s="1798"/>
      <c r="FL150" s="1798"/>
    </row>
    <row r="151" spans="2:168" ht="14.25" thickBot="1">
      <c r="B151" s="2023">
        <f t="shared" si="210"/>
        <v>2</v>
      </c>
      <c r="C151" s="2050" t="str">
        <f t="shared" si="230"/>
        <v>非再生性資源の使用量削減</v>
      </c>
      <c r="D151" s="2061" t="e">
        <f>IF(I$145=0,0,G151/I$145)</f>
        <v>#REF!</v>
      </c>
      <c r="E151" s="2060" t="e">
        <f>IF(J$145=0,0,H151/J$145)</f>
        <v>#REF!</v>
      </c>
      <c r="G151" s="2060" t="e">
        <f t="shared" si="231"/>
        <v>#REF!</v>
      </c>
      <c r="H151" s="2060" t="e">
        <f t="shared" si="232"/>
        <v>#REF!</v>
      </c>
      <c r="I151" s="2060" t="e">
        <f>G152+G153+G154+G155+G156+G157+G158+G165</f>
        <v>#REF!</v>
      </c>
      <c r="J151" s="2060" t="e">
        <f>H152+H153+H154+H155+H156+H157+H158+H165</f>
        <v>#REF!</v>
      </c>
      <c r="K151" s="2060" t="e">
        <f>IF(#REF!=0,0,1)</f>
        <v>#REF!</v>
      </c>
      <c r="L151" s="2060" t="e">
        <f>IF(#REF!=0,0,1)</f>
        <v>#REF!</v>
      </c>
      <c r="M151" s="2060">
        <f t="shared" si="233"/>
        <v>0.6</v>
      </c>
      <c r="N151" s="2060">
        <f t="shared" si="212"/>
        <v>0</v>
      </c>
      <c r="P151" s="2059">
        <v>2</v>
      </c>
      <c r="Q151" s="2116" t="s">
        <v>1070</v>
      </c>
      <c r="R151" s="2116"/>
      <c r="S151" s="2116"/>
      <c r="T151" s="2106"/>
      <c r="U151" s="2017"/>
      <c r="V151" s="2105">
        <f t="shared" si="263"/>
        <v>0</v>
      </c>
      <c r="W151" s="2104">
        <f t="shared" si="264"/>
        <v>0</v>
      </c>
      <c r="Y151" s="1">
        <f t="shared" si="250"/>
        <v>0</v>
      </c>
      <c r="Z151" s="1">
        <f t="shared" si="251"/>
        <v>0</v>
      </c>
      <c r="AA151" s="1">
        <f t="shared" si="252"/>
        <v>0</v>
      </c>
      <c r="AB151" s="1">
        <f t="shared" si="253"/>
        <v>0</v>
      </c>
      <c r="AC151" s="1">
        <f t="shared" si="254"/>
        <v>0</v>
      </c>
      <c r="AD151" s="1">
        <f t="shared" si="255"/>
        <v>0</v>
      </c>
      <c r="AE151" s="1">
        <f t="shared" si="256"/>
        <v>0</v>
      </c>
      <c r="AF151" s="1">
        <f t="shared" si="257"/>
        <v>0</v>
      </c>
      <c r="AG151" s="1">
        <f t="shared" si="258"/>
        <v>0</v>
      </c>
      <c r="AH151" s="1">
        <f t="shared" si="259"/>
        <v>0</v>
      </c>
      <c r="AI151" s="1">
        <f t="shared" si="260"/>
        <v>0</v>
      </c>
      <c r="AJ151" s="1">
        <f t="shared" si="261"/>
        <v>0</v>
      </c>
      <c r="AK151" s="1">
        <f t="shared" si="262"/>
        <v>0</v>
      </c>
      <c r="AM151" s="2103" t="s">
        <v>3143</v>
      </c>
      <c r="AN151" s="2103" t="s">
        <v>177</v>
      </c>
      <c r="AO151" s="2103" t="s">
        <v>177</v>
      </c>
      <c r="AP151" s="2103" t="s">
        <v>177</v>
      </c>
      <c r="AQ151" s="2103" t="s">
        <v>177</v>
      </c>
      <c r="AR151" s="2103" t="s">
        <v>177</v>
      </c>
      <c r="AS151" s="2103" t="s">
        <v>177</v>
      </c>
      <c r="AT151" s="2103" t="s">
        <v>177</v>
      </c>
      <c r="AU151" s="2103" t="s">
        <v>177</v>
      </c>
      <c r="AV151" s="2103" t="s">
        <v>177</v>
      </c>
      <c r="AW151" s="2103" t="s">
        <v>3143</v>
      </c>
      <c r="AX151" s="2103" t="s">
        <v>177</v>
      </c>
      <c r="AY151" s="2103" t="s">
        <v>177</v>
      </c>
      <c r="BA151" s="2054" t="e">
        <f>BB151/$BC$145</f>
        <v>#REF!</v>
      </c>
      <c r="BB151" s="2054" t="e">
        <f t="shared" si="228"/>
        <v>#REF!</v>
      </c>
      <c r="BC151" s="2054"/>
      <c r="BD151" s="2053" t="e">
        <f>BR151*#REF!</f>
        <v>#REF!</v>
      </c>
      <c r="BE151" s="2053" t="e">
        <f>BS151*#REF!</f>
        <v>#REF!</v>
      </c>
      <c r="BF151" s="2053" t="e">
        <f>BT151*#REF!</f>
        <v>#REF!</v>
      </c>
      <c r="BG151" s="2053" t="e">
        <f>BU151*#REF!</f>
        <v>#REF!</v>
      </c>
      <c r="BH151" s="2115" t="e">
        <f>BV151*#REF!</f>
        <v>#REF!</v>
      </c>
      <c r="BI151" s="2053" t="e">
        <f>BW151*#REF!</f>
        <v>#REF!</v>
      </c>
      <c r="BJ151" s="2053" t="e">
        <f>BX151*#REF!</f>
        <v>#REF!</v>
      </c>
      <c r="BK151" s="2053" t="e">
        <f>BY151*#REF!</f>
        <v>#REF!</v>
      </c>
      <c r="BL151" s="2053" t="e">
        <f>BZ151*#REF!</f>
        <v>#REF!</v>
      </c>
      <c r="BM151" s="2053" t="e">
        <f>CA151*#REF!</f>
        <v>#REF!</v>
      </c>
      <c r="BO151" s="2114">
        <f t="shared" si="234"/>
        <v>2</v>
      </c>
      <c r="BP151" s="2114" t="str">
        <f t="shared" si="235"/>
        <v>LR2</v>
      </c>
      <c r="BQ151" s="2050" t="str">
        <f t="shared" si="236"/>
        <v>非再生性資源の使用量削減</v>
      </c>
      <c r="BR151" s="2048">
        <f t="shared" si="237"/>
        <v>0.6</v>
      </c>
      <c r="BS151" s="2048">
        <f t="shared" si="238"/>
        <v>0.6</v>
      </c>
      <c r="BT151" s="2048">
        <f t="shared" si="239"/>
        <v>0.6</v>
      </c>
      <c r="BU151" s="2048">
        <f t="shared" si="240"/>
        <v>0.6</v>
      </c>
      <c r="BV151" s="2113">
        <f t="shared" si="241"/>
        <v>0.6</v>
      </c>
      <c r="BW151" s="2048">
        <f t="shared" si="242"/>
        <v>0.6</v>
      </c>
      <c r="BX151" s="2048">
        <f t="shared" si="243"/>
        <v>0.6</v>
      </c>
      <c r="BY151" s="2048">
        <f t="shared" si="244"/>
        <v>0.6</v>
      </c>
      <c r="BZ151" s="2048">
        <f t="shared" si="245"/>
        <v>0.6</v>
      </c>
      <c r="CA151" s="2048">
        <f t="shared" si="246"/>
        <v>0.6</v>
      </c>
      <c r="CB151" s="2112">
        <f t="shared" si="247"/>
        <v>0</v>
      </c>
      <c r="CC151" s="2111">
        <f t="shared" si="248"/>
        <v>0</v>
      </c>
      <c r="CD151" s="2111">
        <f t="shared" si="249"/>
        <v>0</v>
      </c>
      <c r="CF151" s="1197">
        <v>2</v>
      </c>
      <c r="CG151" s="1201" t="s">
        <v>1321</v>
      </c>
      <c r="CH151" s="1198" t="s">
        <v>1070</v>
      </c>
      <c r="CI151" s="1202">
        <v>0.6</v>
      </c>
      <c r="CJ151" s="1202">
        <v>0.6</v>
      </c>
      <c r="CK151" s="1202">
        <v>0.6</v>
      </c>
      <c r="CL151" s="1202">
        <v>0.6</v>
      </c>
      <c r="CM151" s="1202">
        <v>0.6</v>
      </c>
      <c r="CN151" s="1202">
        <v>0.6</v>
      </c>
      <c r="CO151" s="1202">
        <v>0.6</v>
      </c>
      <c r="CP151" s="1202">
        <v>0.6</v>
      </c>
      <c r="CQ151" s="1202">
        <v>0.6</v>
      </c>
      <c r="CR151" s="1202">
        <v>0.6</v>
      </c>
      <c r="CS151" s="1271"/>
      <c r="CT151" s="1272"/>
      <c r="CU151" s="1272"/>
      <c r="CW151" s="1197">
        <v>2</v>
      </c>
      <c r="CX151" s="1201" t="s">
        <v>1321</v>
      </c>
      <c r="CY151" s="1198" t="s">
        <v>1070</v>
      </c>
      <c r="CZ151" s="1202">
        <v>0.6</v>
      </c>
      <c r="DA151" s="1202">
        <v>0.6</v>
      </c>
      <c r="DB151" s="1202">
        <v>0.6</v>
      </c>
      <c r="DC151" s="1202">
        <v>0.6</v>
      </c>
      <c r="DD151" s="1202">
        <v>0.6</v>
      </c>
      <c r="DE151" s="1202">
        <v>0.6</v>
      </c>
      <c r="DF151" s="1202">
        <v>0.6</v>
      </c>
      <c r="DG151" s="1202">
        <v>0.6</v>
      </c>
      <c r="DH151" s="1202">
        <v>0.6</v>
      </c>
      <c r="DI151" s="1202">
        <v>0.6</v>
      </c>
      <c r="DJ151" s="1271"/>
      <c r="DK151" s="1272"/>
      <c r="DL151" s="1272"/>
      <c r="DN151" s="1197">
        <v>2</v>
      </c>
      <c r="DO151" s="1201" t="s">
        <v>1321</v>
      </c>
      <c r="DP151" s="1198" t="s">
        <v>1070</v>
      </c>
      <c r="DQ151" s="1202">
        <v>0.6</v>
      </c>
      <c r="DR151" s="1202">
        <v>0.6</v>
      </c>
      <c r="DS151" s="1202">
        <v>0.6</v>
      </c>
      <c r="DT151" s="1202">
        <v>0.6</v>
      </c>
      <c r="DU151" s="1202">
        <v>0.6</v>
      </c>
      <c r="DV151" s="1202">
        <v>0.6</v>
      </c>
      <c r="DW151" s="1202">
        <v>0.6</v>
      </c>
      <c r="DX151" s="1202">
        <v>0.6</v>
      </c>
      <c r="DY151" s="1202">
        <v>0.6</v>
      </c>
      <c r="DZ151" s="1202">
        <v>0.6</v>
      </c>
      <c r="EA151" s="1271"/>
      <c r="EB151" s="1272"/>
      <c r="EC151" s="1272"/>
      <c r="ED151" s="1473"/>
      <c r="EF151" s="1197">
        <v>2</v>
      </c>
      <c r="EG151" s="1201" t="s">
        <v>1321</v>
      </c>
      <c r="EH151" s="1198" t="s">
        <v>1070</v>
      </c>
      <c r="EI151" s="1676">
        <v>0.85</v>
      </c>
      <c r="EJ151" s="1676">
        <v>0.85</v>
      </c>
      <c r="EK151" s="1676">
        <v>0.85</v>
      </c>
      <c r="EL151" s="1676">
        <v>0.85</v>
      </c>
      <c r="EM151" s="1676">
        <v>0.85</v>
      </c>
      <c r="EN151" s="1676">
        <v>0.85</v>
      </c>
      <c r="EO151" s="1676">
        <v>0.85</v>
      </c>
      <c r="EP151" s="1676">
        <v>0.85</v>
      </c>
      <c r="EQ151" s="1676">
        <v>0.85</v>
      </c>
      <c r="ER151" s="1676">
        <v>0.85</v>
      </c>
      <c r="ES151" s="1712">
        <f t="shared" si="214"/>
        <v>0</v>
      </c>
      <c r="ET151" s="1713">
        <f t="shared" si="215"/>
        <v>0</v>
      </c>
      <c r="EU151" s="1713">
        <f t="shared" si="216"/>
        <v>0</v>
      </c>
      <c r="EW151" s="1197">
        <v>2</v>
      </c>
      <c r="EX151" s="1201" t="s">
        <v>1321</v>
      </c>
      <c r="EY151" s="1198" t="s">
        <v>1070</v>
      </c>
      <c r="EZ151" s="1821">
        <v>0.5</v>
      </c>
      <c r="FA151" s="1676"/>
      <c r="FB151" s="1676"/>
      <c r="FC151" s="1676"/>
      <c r="FD151" s="1676"/>
      <c r="FE151" s="1676"/>
      <c r="FF151" s="1676"/>
      <c r="FG151" s="1676"/>
      <c r="FH151" s="1676"/>
      <c r="FI151" s="1676"/>
      <c r="FJ151" s="1810"/>
      <c r="FK151" s="1811"/>
      <c r="FL151" s="1811"/>
    </row>
    <row r="152" spans="2:168">
      <c r="B152" s="2023" t="str">
        <f t="shared" si="210"/>
        <v>2.1</v>
      </c>
      <c r="C152" s="829" t="str">
        <f t="shared" si="230"/>
        <v>材料使用量の削減</v>
      </c>
      <c r="D152" s="2022" t="e">
        <f t="shared" ref="D152:E158" si="267">IF(I$151=0,0,G152/I$151)</f>
        <v>#REF!</v>
      </c>
      <c r="E152" s="2021" t="e">
        <f t="shared" si="267"/>
        <v>#REF!</v>
      </c>
      <c r="G152" s="2021" t="e">
        <f t="shared" si="231"/>
        <v>#REF!</v>
      </c>
      <c r="H152" s="2021" t="e">
        <f t="shared" si="232"/>
        <v>#REF!</v>
      </c>
      <c r="I152" s="2021"/>
      <c r="J152" s="2021"/>
      <c r="K152" s="2021" t="e">
        <f>IF(#REF!=0,0,1)</f>
        <v>#REF!</v>
      </c>
      <c r="L152" s="2021" t="e">
        <f>IF(#REF!=0,0,1)</f>
        <v>#REF!</v>
      </c>
      <c r="M152" s="2021">
        <f t="shared" si="233"/>
        <v>0.1</v>
      </c>
      <c r="N152" s="2021">
        <f t="shared" si="212"/>
        <v>0</v>
      </c>
      <c r="P152" s="2047"/>
      <c r="Q152" s="2069">
        <v>2.1</v>
      </c>
      <c r="R152" s="2034" t="s">
        <v>1071</v>
      </c>
      <c r="S152" s="1655"/>
      <c r="T152" s="2036"/>
      <c r="U152" s="2017"/>
      <c r="V152" s="2025">
        <f t="shared" si="263"/>
        <v>0</v>
      </c>
      <c r="W152" s="2024">
        <f t="shared" si="264"/>
        <v>0</v>
      </c>
      <c r="Y152" s="1">
        <f t="shared" si="250"/>
        <v>0</v>
      </c>
      <c r="Z152" s="1">
        <f t="shared" si="251"/>
        <v>0</v>
      </c>
      <c r="AA152" s="1">
        <f t="shared" si="252"/>
        <v>0</v>
      </c>
      <c r="AB152" s="1">
        <f t="shared" si="253"/>
        <v>0</v>
      </c>
      <c r="AC152" s="1">
        <f t="shared" si="254"/>
        <v>0</v>
      </c>
      <c r="AD152" s="1">
        <f t="shared" si="255"/>
        <v>0</v>
      </c>
      <c r="AE152" s="1">
        <f t="shared" si="256"/>
        <v>0</v>
      </c>
      <c r="AF152" s="1">
        <f t="shared" si="257"/>
        <v>0</v>
      </c>
      <c r="AG152" s="1">
        <f t="shared" si="258"/>
        <v>0</v>
      </c>
      <c r="AH152" s="1">
        <f t="shared" si="259"/>
        <v>0</v>
      </c>
      <c r="AI152" s="1">
        <f t="shared" si="260"/>
        <v>0</v>
      </c>
      <c r="AJ152" s="1">
        <f t="shared" si="261"/>
        <v>0</v>
      </c>
      <c r="AK152" s="1">
        <f t="shared" si="262"/>
        <v>0</v>
      </c>
      <c r="AM152" s="1827"/>
      <c r="AN152" s="1827"/>
      <c r="AO152" s="1827"/>
      <c r="AP152" s="1827"/>
      <c r="AQ152" s="1827"/>
      <c r="AR152" s="1827"/>
      <c r="AS152" s="1827"/>
      <c r="AT152" s="1827"/>
      <c r="AU152" s="1827"/>
      <c r="AV152" s="1827"/>
      <c r="AW152" s="1827"/>
      <c r="AX152" s="1827"/>
      <c r="AY152" s="1827"/>
      <c r="BA152" s="2014"/>
      <c r="BB152" s="2014" t="e">
        <f t="shared" si="228"/>
        <v>#REF!</v>
      </c>
      <c r="BC152" s="2014"/>
      <c r="BD152" s="2013" t="e">
        <f>BR152*#REF!</f>
        <v>#REF!</v>
      </c>
      <c r="BE152" s="2013" t="e">
        <f>BS152*#REF!</f>
        <v>#REF!</v>
      </c>
      <c r="BF152" s="2013" t="e">
        <f>BT152*#REF!</f>
        <v>#REF!</v>
      </c>
      <c r="BG152" s="2013" t="e">
        <f>BU152*#REF!</f>
        <v>#REF!</v>
      </c>
      <c r="BH152" s="2094" t="e">
        <f>BV152*#REF!</f>
        <v>#REF!</v>
      </c>
      <c r="BI152" s="2013" t="e">
        <f>BW152*#REF!</f>
        <v>#REF!</v>
      </c>
      <c r="BJ152" s="2013" t="e">
        <f>BX152*#REF!</f>
        <v>#REF!</v>
      </c>
      <c r="BK152" s="2013" t="e">
        <f>BY152*#REF!</f>
        <v>#REF!</v>
      </c>
      <c r="BL152" s="2013" t="e">
        <f>BZ152*#REF!</f>
        <v>#REF!</v>
      </c>
      <c r="BM152" s="2013" t="e">
        <f>CA152*#REF!</f>
        <v>#REF!</v>
      </c>
      <c r="BO152" s="2040" t="str">
        <f t="shared" si="234"/>
        <v>2.1</v>
      </c>
      <c r="BP152" s="2040" t="str">
        <f t="shared" si="235"/>
        <v>LR2 2</v>
      </c>
      <c r="BQ152" s="829" t="str">
        <f t="shared" si="236"/>
        <v>材料使用量の削減</v>
      </c>
      <c r="BR152" s="2010">
        <f t="shared" si="237"/>
        <v>0.1</v>
      </c>
      <c r="BS152" s="2010">
        <f t="shared" si="238"/>
        <v>0.1</v>
      </c>
      <c r="BT152" s="2010">
        <f t="shared" si="239"/>
        <v>0.1</v>
      </c>
      <c r="BU152" s="2010">
        <f t="shared" si="240"/>
        <v>0.1</v>
      </c>
      <c r="BV152" s="2093">
        <f t="shared" si="241"/>
        <v>0.1</v>
      </c>
      <c r="BW152" s="2010">
        <f t="shared" si="242"/>
        <v>0.1</v>
      </c>
      <c r="BX152" s="2010">
        <f t="shared" si="243"/>
        <v>0.1</v>
      </c>
      <c r="BY152" s="2010">
        <f t="shared" si="244"/>
        <v>0.1</v>
      </c>
      <c r="BZ152" s="2010">
        <f t="shared" si="245"/>
        <v>0.1</v>
      </c>
      <c r="CA152" s="2010">
        <f t="shared" si="246"/>
        <v>0.1</v>
      </c>
      <c r="CB152" s="2092">
        <f t="shared" si="247"/>
        <v>0</v>
      </c>
      <c r="CC152" s="2091">
        <f t="shared" si="248"/>
        <v>0</v>
      </c>
      <c r="CD152" s="2091">
        <f t="shared" si="249"/>
        <v>0</v>
      </c>
      <c r="CF152" s="1207" t="s">
        <v>1177</v>
      </c>
      <c r="CG152" s="1201" t="s">
        <v>128</v>
      </c>
      <c r="CH152" s="1208" t="s">
        <v>1071</v>
      </c>
      <c r="CI152" s="1257">
        <v>0.1</v>
      </c>
      <c r="CJ152" s="1257">
        <v>0.1</v>
      </c>
      <c r="CK152" s="1257">
        <v>0.1</v>
      </c>
      <c r="CL152" s="1257">
        <v>0.1</v>
      </c>
      <c r="CM152" s="1257">
        <v>0.1</v>
      </c>
      <c r="CN152" s="1257">
        <v>0.1</v>
      </c>
      <c r="CO152" s="1257">
        <v>0.1</v>
      </c>
      <c r="CP152" s="1257">
        <v>0.1</v>
      </c>
      <c r="CQ152" s="1257">
        <v>0.1</v>
      </c>
      <c r="CR152" s="1257">
        <v>0.1</v>
      </c>
      <c r="CS152" s="1274"/>
      <c r="CT152" s="1272"/>
      <c r="CU152" s="1272"/>
      <c r="CW152" s="1207" t="s">
        <v>1177</v>
      </c>
      <c r="CX152" s="1201" t="s">
        <v>128</v>
      </c>
      <c r="CY152" s="1208" t="s">
        <v>1071</v>
      </c>
      <c r="CZ152" s="1257">
        <v>0.1</v>
      </c>
      <c r="DA152" s="1257">
        <v>0.1</v>
      </c>
      <c r="DB152" s="1257">
        <v>0.1</v>
      </c>
      <c r="DC152" s="1257">
        <v>0.1</v>
      </c>
      <c r="DD152" s="1257">
        <v>0.1</v>
      </c>
      <c r="DE152" s="1257">
        <v>0.1</v>
      </c>
      <c r="DF152" s="1257">
        <v>0.1</v>
      </c>
      <c r="DG152" s="1257">
        <v>0.1</v>
      </c>
      <c r="DH152" s="1257">
        <v>0.1</v>
      </c>
      <c r="DI152" s="1257">
        <v>0.1</v>
      </c>
      <c r="DJ152" s="1274"/>
      <c r="DK152" s="1272"/>
      <c r="DL152" s="1272"/>
      <c r="DN152" s="1207" t="s">
        <v>1177</v>
      </c>
      <c r="DO152" s="1201" t="s">
        <v>128</v>
      </c>
      <c r="DP152" s="1208" t="s">
        <v>1071</v>
      </c>
      <c r="DQ152" s="1257">
        <v>0.1</v>
      </c>
      <c r="DR152" s="1257">
        <v>0.1</v>
      </c>
      <c r="DS152" s="1257">
        <v>0.1</v>
      </c>
      <c r="DT152" s="1257">
        <v>0.1</v>
      </c>
      <c r="DU152" s="1257">
        <v>0.1</v>
      </c>
      <c r="DV152" s="1257">
        <v>0.1</v>
      </c>
      <c r="DW152" s="1257">
        <v>0.1</v>
      </c>
      <c r="DX152" s="1257">
        <v>0.1</v>
      </c>
      <c r="DY152" s="1257">
        <v>0.1</v>
      </c>
      <c r="DZ152" s="1257">
        <v>0.1</v>
      </c>
      <c r="EA152" s="1271"/>
      <c r="EB152" s="1272"/>
      <c r="EC152" s="1272"/>
      <c r="ED152" s="1473"/>
      <c r="EF152" s="1207" t="s">
        <v>1177</v>
      </c>
      <c r="EG152" s="1201" t="s">
        <v>128</v>
      </c>
      <c r="EH152" s="1208" t="s">
        <v>1071</v>
      </c>
      <c r="EI152" s="1681">
        <v>0</v>
      </c>
      <c r="EJ152" s="1681">
        <v>0</v>
      </c>
      <c r="EK152" s="1681">
        <v>0</v>
      </c>
      <c r="EL152" s="1681">
        <v>0</v>
      </c>
      <c r="EM152" s="1681">
        <v>0</v>
      </c>
      <c r="EN152" s="1681">
        <v>0</v>
      </c>
      <c r="EO152" s="1681">
        <v>0</v>
      </c>
      <c r="EP152" s="1681">
        <v>0</v>
      </c>
      <c r="EQ152" s="1681">
        <v>0</v>
      </c>
      <c r="ER152" s="1681">
        <v>0</v>
      </c>
      <c r="ES152" s="1712">
        <f t="shared" si="214"/>
        <v>0</v>
      </c>
      <c r="ET152" s="1713">
        <f t="shared" si="215"/>
        <v>0</v>
      </c>
      <c r="EU152" s="1713">
        <f t="shared" si="216"/>
        <v>0</v>
      </c>
      <c r="EW152" s="1207" t="s">
        <v>1177</v>
      </c>
      <c r="EX152" s="1201" t="s">
        <v>128</v>
      </c>
      <c r="EY152" s="1208" t="s">
        <v>1071</v>
      </c>
      <c r="EZ152" s="1824">
        <v>0</v>
      </c>
      <c r="FA152" s="1681"/>
      <c r="FB152" s="1681"/>
      <c r="FC152" s="1681"/>
      <c r="FD152" s="1681"/>
      <c r="FE152" s="1681"/>
      <c r="FF152" s="1681"/>
      <c r="FG152" s="1681"/>
      <c r="FH152" s="1681"/>
      <c r="FI152" s="1681"/>
      <c r="FJ152" s="1810"/>
      <c r="FK152" s="1811"/>
      <c r="FL152" s="1811"/>
    </row>
    <row r="153" spans="2:168">
      <c r="B153" s="2023" t="str">
        <f t="shared" si="210"/>
        <v>2.2</v>
      </c>
      <c r="C153" s="829" t="str">
        <f t="shared" si="230"/>
        <v>既存建築躯体等の継続使用</v>
      </c>
      <c r="D153" s="2022" t="e">
        <f t="shared" si="267"/>
        <v>#REF!</v>
      </c>
      <c r="E153" s="2021" t="e">
        <f t="shared" si="267"/>
        <v>#REF!</v>
      </c>
      <c r="G153" s="2021" t="e">
        <f t="shared" si="231"/>
        <v>#REF!</v>
      </c>
      <c r="H153" s="2021" t="e">
        <f t="shared" si="232"/>
        <v>#REF!</v>
      </c>
      <c r="I153" s="2021"/>
      <c r="J153" s="2021"/>
      <c r="K153" s="2021" t="e">
        <f>IF(#REF!=0,0,1)</f>
        <v>#REF!</v>
      </c>
      <c r="L153" s="2021" t="e">
        <f>IF(#REF!=0,0,1)</f>
        <v>#REF!</v>
      </c>
      <c r="M153" s="2021">
        <f t="shared" si="233"/>
        <v>0.2</v>
      </c>
      <c r="N153" s="2021">
        <f t="shared" ref="N153:N184" si="268">(CB$7*CB153)+(CC$7*CC153)+(CD$7*CD153)</f>
        <v>0</v>
      </c>
      <c r="P153" s="2102"/>
      <c r="Q153" s="2069">
        <v>2.2000000000000002</v>
      </c>
      <c r="R153" s="2034" t="s">
        <v>1072</v>
      </c>
      <c r="S153" s="1655"/>
      <c r="T153" s="2036"/>
      <c r="U153" s="2017"/>
      <c r="V153" s="2038">
        <f t="shared" si="263"/>
        <v>0</v>
      </c>
      <c r="W153" s="2037">
        <f t="shared" si="264"/>
        <v>0</v>
      </c>
      <c r="Y153" s="1">
        <f t="shared" si="250"/>
        <v>0</v>
      </c>
      <c r="Z153" s="1">
        <f t="shared" si="251"/>
        <v>0</v>
      </c>
      <c r="AA153" s="1">
        <f t="shared" si="252"/>
        <v>0</v>
      </c>
      <c r="AB153" s="1">
        <f t="shared" si="253"/>
        <v>0</v>
      </c>
      <c r="AC153" s="1">
        <f t="shared" si="254"/>
        <v>0</v>
      </c>
      <c r="AD153" s="1">
        <f t="shared" si="255"/>
        <v>0</v>
      </c>
      <c r="AE153" s="1">
        <f t="shared" si="256"/>
        <v>0</v>
      </c>
      <c r="AF153" s="1">
        <f t="shared" si="257"/>
        <v>0</v>
      </c>
      <c r="AG153" s="1">
        <f t="shared" si="258"/>
        <v>0</v>
      </c>
      <c r="AH153" s="1">
        <f t="shared" si="259"/>
        <v>0</v>
      </c>
      <c r="AI153" s="1">
        <f t="shared" si="260"/>
        <v>0</v>
      </c>
      <c r="AJ153" s="1">
        <f t="shared" si="261"/>
        <v>0</v>
      </c>
      <c r="AK153" s="1">
        <f t="shared" si="262"/>
        <v>0</v>
      </c>
      <c r="AM153" s="1828"/>
      <c r="AN153" s="1828"/>
      <c r="AO153" s="1828"/>
      <c r="AP153" s="1828"/>
      <c r="AQ153" s="1828"/>
      <c r="AR153" s="1828"/>
      <c r="AS153" s="1828"/>
      <c r="AT153" s="1828"/>
      <c r="AU153" s="1828"/>
      <c r="AV153" s="1828"/>
      <c r="AW153" s="1828"/>
      <c r="AX153" s="1828"/>
      <c r="AY153" s="1828"/>
      <c r="BA153" s="2014"/>
      <c r="BB153" s="2014" t="e">
        <f t="shared" si="228"/>
        <v>#REF!</v>
      </c>
      <c r="BC153" s="2014"/>
      <c r="BD153" s="2013" t="e">
        <f>BR153*#REF!</f>
        <v>#REF!</v>
      </c>
      <c r="BE153" s="2013" t="e">
        <f>BS153*#REF!</f>
        <v>#REF!</v>
      </c>
      <c r="BF153" s="2013" t="e">
        <f>BT153*#REF!</f>
        <v>#REF!</v>
      </c>
      <c r="BG153" s="2013" t="e">
        <f>BU153*#REF!</f>
        <v>#REF!</v>
      </c>
      <c r="BH153" s="2094" t="e">
        <f>BV153*#REF!</f>
        <v>#REF!</v>
      </c>
      <c r="BI153" s="2013" t="e">
        <f>BW153*#REF!</f>
        <v>#REF!</v>
      </c>
      <c r="BJ153" s="2013" t="e">
        <f>BX153*#REF!</f>
        <v>#REF!</v>
      </c>
      <c r="BK153" s="2013" t="e">
        <f>BY153*#REF!</f>
        <v>#REF!</v>
      </c>
      <c r="BL153" s="2013" t="e">
        <f>BZ153*#REF!</f>
        <v>#REF!</v>
      </c>
      <c r="BM153" s="2013" t="e">
        <f>CA153*#REF!</f>
        <v>#REF!</v>
      </c>
      <c r="BO153" s="2040" t="str">
        <f t="shared" si="234"/>
        <v>2.2</v>
      </c>
      <c r="BP153" s="2040" t="str">
        <f t="shared" si="235"/>
        <v>LR2 2</v>
      </c>
      <c r="BQ153" s="829" t="str">
        <f t="shared" si="236"/>
        <v>既存建築躯体等の継続使用</v>
      </c>
      <c r="BR153" s="2010">
        <f t="shared" si="237"/>
        <v>0.2</v>
      </c>
      <c r="BS153" s="2010">
        <f t="shared" si="238"/>
        <v>0.2</v>
      </c>
      <c r="BT153" s="2010">
        <f t="shared" si="239"/>
        <v>0.2</v>
      </c>
      <c r="BU153" s="2010">
        <f t="shared" si="240"/>
        <v>0.2</v>
      </c>
      <c r="BV153" s="2093">
        <f t="shared" si="241"/>
        <v>0.2</v>
      </c>
      <c r="BW153" s="2010">
        <f t="shared" si="242"/>
        <v>0.2</v>
      </c>
      <c r="BX153" s="2010">
        <f t="shared" si="243"/>
        <v>0.2</v>
      </c>
      <c r="BY153" s="2010">
        <f t="shared" si="244"/>
        <v>0.2</v>
      </c>
      <c r="BZ153" s="2010">
        <f t="shared" si="245"/>
        <v>0.2</v>
      </c>
      <c r="CA153" s="2010">
        <f t="shared" si="246"/>
        <v>0.2</v>
      </c>
      <c r="CB153" s="2092">
        <f t="shared" si="247"/>
        <v>0</v>
      </c>
      <c r="CC153" s="2091">
        <f t="shared" si="248"/>
        <v>0</v>
      </c>
      <c r="CD153" s="2091">
        <f t="shared" si="249"/>
        <v>0</v>
      </c>
      <c r="CF153" s="1207" t="s">
        <v>1178</v>
      </c>
      <c r="CG153" s="1211" t="s">
        <v>128</v>
      </c>
      <c r="CH153" s="1208" t="s">
        <v>1072</v>
      </c>
      <c r="CI153" s="1213">
        <v>0.2</v>
      </c>
      <c r="CJ153" s="1213">
        <v>0.2</v>
      </c>
      <c r="CK153" s="1213">
        <v>0.2</v>
      </c>
      <c r="CL153" s="1213">
        <v>0.2</v>
      </c>
      <c r="CM153" s="1213">
        <v>0.2</v>
      </c>
      <c r="CN153" s="1213">
        <v>0.2</v>
      </c>
      <c r="CO153" s="1213">
        <v>0.2</v>
      </c>
      <c r="CP153" s="1213">
        <v>0.2</v>
      </c>
      <c r="CQ153" s="1213">
        <v>0.2</v>
      </c>
      <c r="CR153" s="1213">
        <v>0.2</v>
      </c>
      <c r="CS153" s="1273"/>
      <c r="CT153" s="1225"/>
      <c r="CU153" s="1225"/>
      <c r="CW153" s="1207" t="s">
        <v>1178</v>
      </c>
      <c r="CX153" s="1211" t="s">
        <v>128</v>
      </c>
      <c r="CY153" s="1208" t="s">
        <v>1072</v>
      </c>
      <c r="CZ153" s="1213">
        <v>0.2</v>
      </c>
      <c r="DA153" s="1213">
        <v>0.2</v>
      </c>
      <c r="DB153" s="1213">
        <v>0.2</v>
      </c>
      <c r="DC153" s="1213">
        <v>0.2</v>
      </c>
      <c r="DD153" s="1213">
        <v>0.2</v>
      </c>
      <c r="DE153" s="1213">
        <v>0.2</v>
      </c>
      <c r="DF153" s="1213">
        <v>0.2</v>
      </c>
      <c r="DG153" s="1213">
        <v>0.2</v>
      </c>
      <c r="DH153" s="1213">
        <v>0.2</v>
      </c>
      <c r="DI153" s="1213">
        <v>0.2</v>
      </c>
      <c r="DJ153" s="1273"/>
      <c r="DK153" s="1225"/>
      <c r="DL153" s="1225"/>
      <c r="DN153" s="1207" t="s">
        <v>1178</v>
      </c>
      <c r="DO153" s="1211" t="s">
        <v>128</v>
      </c>
      <c r="DP153" s="1208" t="s">
        <v>1072</v>
      </c>
      <c r="DQ153" s="1213">
        <v>0.2</v>
      </c>
      <c r="DR153" s="1213">
        <v>0.2</v>
      </c>
      <c r="DS153" s="1213">
        <v>0.2</v>
      </c>
      <c r="DT153" s="1213">
        <v>0.2</v>
      </c>
      <c r="DU153" s="1213">
        <v>0.2</v>
      </c>
      <c r="DV153" s="1213">
        <v>0.2</v>
      </c>
      <c r="DW153" s="1213">
        <v>0.2</v>
      </c>
      <c r="DX153" s="1213">
        <v>0.2</v>
      </c>
      <c r="DY153" s="1213">
        <v>0.2</v>
      </c>
      <c r="DZ153" s="1213">
        <v>0.2</v>
      </c>
      <c r="EA153" s="1273"/>
      <c r="EB153" s="1225"/>
      <c r="EC153" s="1225"/>
      <c r="ED153" s="1463"/>
      <c r="EF153" s="1207" t="s">
        <v>1178</v>
      </c>
      <c r="EG153" s="1211" t="s">
        <v>128</v>
      </c>
      <c r="EH153" s="1208" t="s">
        <v>1072</v>
      </c>
      <c r="EI153" s="1678">
        <v>0</v>
      </c>
      <c r="EJ153" s="1678">
        <v>0</v>
      </c>
      <c r="EK153" s="1678">
        <v>0</v>
      </c>
      <c r="EL153" s="1678">
        <v>0</v>
      </c>
      <c r="EM153" s="1678">
        <v>0</v>
      </c>
      <c r="EN153" s="1678">
        <v>0</v>
      </c>
      <c r="EO153" s="1678">
        <v>0</v>
      </c>
      <c r="EP153" s="1678">
        <v>0</v>
      </c>
      <c r="EQ153" s="1678">
        <v>0</v>
      </c>
      <c r="ER153" s="1678">
        <v>0</v>
      </c>
      <c r="ES153" s="1714">
        <f t="shared" si="214"/>
        <v>0</v>
      </c>
      <c r="ET153" s="1695">
        <f t="shared" si="215"/>
        <v>0</v>
      </c>
      <c r="EU153" s="1695">
        <f t="shared" si="216"/>
        <v>0</v>
      </c>
      <c r="EW153" s="1207" t="s">
        <v>1178</v>
      </c>
      <c r="EX153" s="1211" t="s">
        <v>128</v>
      </c>
      <c r="EY153" s="1208" t="s">
        <v>1072</v>
      </c>
      <c r="EZ153" s="1824">
        <v>0</v>
      </c>
      <c r="FA153" s="1678"/>
      <c r="FB153" s="1678"/>
      <c r="FC153" s="1678"/>
      <c r="FD153" s="1678"/>
      <c r="FE153" s="1678"/>
      <c r="FF153" s="1678"/>
      <c r="FG153" s="1678"/>
      <c r="FH153" s="1678"/>
      <c r="FI153" s="1678"/>
      <c r="FJ153" s="1812"/>
      <c r="FK153" s="1798"/>
      <c r="FL153" s="1798"/>
    </row>
    <row r="154" spans="2:168">
      <c r="B154" s="2023" t="str">
        <f t="shared" si="210"/>
        <v>2.3</v>
      </c>
      <c r="C154" s="829" t="str">
        <f t="shared" si="230"/>
        <v>躯体材料におけるリサイクル材の使用</v>
      </c>
      <c r="D154" s="2022" t="e">
        <f t="shared" si="267"/>
        <v>#REF!</v>
      </c>
      <c r="E154" s="2021" t="e">
        <f t="shared" si="267"/>
        <v>#REF!</v>
      </c>
      <c r="G154" s="2021" t="e">
        <f t="shared" si="231"/>
        <v>#REF!</v>
      </c>
      <c r="H154" s="2021" t="e">
        <f t="shared" si="232"/>
        <v>#REF!</v>
      </c>
      <c r="I154" s="2021"/>
      <c r="J154" s="2021"/>
      <c r="K154" s="2021" t="e">
        <f>IF(#REF!=0,0,1)</f>
        <v>#REF!</v>
      </c>
      <c r="L154" s="2021" t="e">
        <f>IF(#REF!=0,0,1)</f>
        <v>#REF!</v>
      </c>
      <c r="M154" s="2021">
        <f t="shared" si="233"/>
        <v>0.2</v>
      </c>
      <c r="N154" s="2021">
        <f t="shared" si="268"/>
        <v>0</v>
      </c>
      <c r="P154" s="2123"/>
      <c r="Q154" s="2069">
        <v>2.2999999999999998</v>
      </c>
      <c r="R154" s="1655" t="s">
        <v>1073</v>
      </c>
      <c r="S154" s="1655"/>
      <c r="T154" s="2036"/>
      <c r="U154" s="2017"/>
      <c r="V154" s="2038">
        <f t="shared" si="263"/>
        <v>0</v>
      </c>
      <c r="W154" s="2037">
        <f t="shared" si="264"/>
        <v>0</v>
      </c>
      <c r="Y154" s="1">
        <f t="shared" si="250"/>
        <v>0</v>
      </c>
      <c r="Z154" s="1">
        <f t="shared" si="251"/>
        <v>0</v>
      </c>
      <c r="AA154" s="1">
        <f t="shared" si="252"/>
        <v>0</v>
      </c>
      <c r="AB154" s="1">
        <f t="shared" si="253"/>
        <v>0</v>
      </c>
      <c r="AC154" s="1">
        <f t="shared" si="254"/>
        <v>0</v>
      </c>
      <c r="AD154" s="1">
        <f t="shared" si="255"/>
        <v>0</v>
      </c>
      <c r="AE154" s="1">
        <f t="shared" si="256"/>
        <v>0</v>
      </c>
      <c r="AF154" s="1">
        <f t="shared" si="257"/>
        <v>0</v>
      </c>
      <c r="AG154" s="1">
        <f t="shared" si="258"/>
        <v>0</v>
      </c>
      <c r="AH154" s="1">
        <f t="shared" si="259"/>
        <v>0</v>
      </c>
      <c r="AI154" s="1">
        <f t="shared" si="260"/>
        <v>0</v>
      </c>
      <c r="AJ154" s="1">
        <f t="shared" si="261"/>
        <v>0</v>
      </c>
      <c r="AK154" s="1">
        <f t="shared" si="262"/>
        <v>0</v>
      </c>
      <c r="AM154" s="1828"/>
      <c r="AN154" s="1828"/>
      <c r="AO154" s="1828"/>
      <c r="AP154" s="1828"/>
      <c r="AQ154" s="1828"/>
      <c r="AR154" s="1828"/>
      <c r="AS154" s="1828"/>
      <c r="AT154" s="1828"/>
      <c r="AU154" s="1828"/>
      <c r="AV154" s="1828"/>
      <c r="AW154" s="1828"/>
      <c r="AX154" s="1828"/>
      <c r="AY154" s="1828"/>
      <c r="BA154" s="2014"/>
      <c r="BB154" s="2014" t="e">
        <f t="shared" si="228"/>
        <v>#REF!</v>
      </c>
      <c r="BC154" s="2014"/>
      <c r="BD154" s="2013" t="e">
        <f>BR154*#REF!</f>
        <v>#REF!</v>
      </c>
      <c r="BE154" s="2013" t="e">
        <f>BS154*#REF!</f>
        <v>#REF!</v>
      </c>
      <c r="BF154" s="2013" t="e">
        <f>BT154*#REF!</f>
        <v>#REF!</v>
      </c>
      <c r="BG154" s="2013" t="e">
        <f>BU154*#REF!</f>
        <v>#REF!</v>
      </c>
      <c r="BH154" s="2094" t="e">
        <f>BV154*#REF!</f>
        <v>#REF!</v>
      </c>
      <c r="BI154" s="2013" t="e">
        <f>BW154*#REF!</f>
        <v>#REF!</v>
      </c>
      <c r="BJ154" s="2013" t="e">
        <f>BX154*#REF!</f>
        <v>#REF!</v>
      </c>
      <c r="BK154" s="2013" t="e">
        <f>BY154*#REF!</f>
        <v>#REF!</v>
      </c>
      <c r="BL154" s="2013" t="e">
        <f>BZ154*#REF!</f>
        <v>#REF!</v>
      </c>
      <c r="BM154" s="2013" t="e">
        <f>CA154*#REF!</f>
        <v>#REF!</v>
      </c>
      <c r="BO154" s="2040" t="str">
        <f t="shared" si="234"/>
        <v>2.3</v>
      </c>
      <c r="BP154" s="2040" t="str">
        <f t="shared" si="235"/>
        <v>LR2 2</v>
      </c>
      <c r="BQ154" s="829" t="str">
        <f t="shared" si="236"/>
        <v>躯体材料におけるリサイクル材の使用</v>
      </c>
      <c r="BR154" s="2010">
        <f t="shared" si="237"/>
        <v>0.2</v>
      </c>
      <c r="BS154" s="2010">
        <f t="shared" si="238"/>
        <v>0.2</v>
      </c>
      <c r="BT154" s="2010">
        <f t="shared" si="239"/>
        <v>0.2</v>
      </c>
      <c r="BU154" s="2010">
        <f t="shared" si="240"/>
        <v>0.2</v>
      </c>
      <c r="BV154" s="2093">
        <f t="shared" si="241"/>
        <v>0.2</v>
      </c>
      <c r="BW154" s="2010">
        <f t="shared" si="242"/>
        <v>0.2</v>
      </c>
      <c r="BX154" s="2010">
        <f t="shared" si="243"/>
        <v>0.2</v>
      </c>
      <c r="BY154" s="2010">
        <f t="shared" si="244"/>
        <v>0.2</v>
      </c>
      <c r="BZ154" s="2010">
        <f t="shared" si="245"/>
        <v>0.2</v>
      </c>
      <c r="CA154" s="2010">
        <f t="shared" si="246"/>
        <v>0.2</v>
      </c>
      <c r="CB154" s="2092">
        <f t="shared" si="247"/>
        <v>0</v>
      </c>
      <c r="CC154" s="2091">
        <f t="shared" si="248"/>
        <v>0</v>
      </c>
      <c r="CD154" s="2091">
        <f t="shared" si="249"/>
        <v>0</v>
      </c>
      <c r="CF154" s="1207" t="s">
        <v>1417</v>
      </c>
      <c r="CG154" s="1211" t="s">
        <v>128</v>
      </c>
      <c r="CH154" s="1208" t="s">
        <v>1073</v>
      </c>
      <c r="CI154" s="1213">
        <v>0.2</v>
      </c>
      <c r="CJ154" s="1213">
        <v>0.2</v>
      </c>
      <c r="CK154" s="1213">
        <v>0.2</v>
      </c>
      <c r="CL154" s="1213">
        <v>0.2</v>
      </c>
      <c r="CM154" s="1213">
        <v>0.2</v>
      </c>
      <c r="CN154" s="1213">
        <v>0.2</v>
      </c>
      <c r="CO154" s="1213">
        <v>0.2</v>
      </c>
      <c r="CP154" s="1213">
        <v>0.2</v>
      </c>
      <c r="CQ154" s="1213">
        <v>0.2</v>
      </c>
      <c r="CR154" s="1213">
        <v>0.2</v>
      </c>
      <c r="CS154" s="1273"/>
      <c r="CT154" s="1225"/>
      <c r="CU154" s="1225"/>
      <c r="CW154" s="1207" t="s">
        <v>1417</v>
      </c>
      <c r="CX154" s="1211" t="s">
        <v>128</v>
      </c>
      <c r="CY154" s="1208" t="s">
        <v>1073</v>
      </c>
      <c r="CZ154" s="1213">
        <v>0.2</v>
      </c>
      <c r="DA154" s="1213">
        <v>0.2</v>
      </c>
      <c r="DB154" s="1213">
        <v>0.2</v>
      </c>
      <c r="DC154" s="1213">
        <v>0.2</v>
      </c>
      <c r="DD154" s="1213">
        <v>0.2</v>
      </c>
      <c r="DE154" s="1213">
        <v>0.2</v>
      </c>
      <c r="DF154" s="1213">
        <v>0.2</v>
      </c>
      <c r="DG154" s="1213">
        <v>0.2</v>
      </c>
      <c r="DH154" s="1213">
        <v>0.2</v>
      </c>
      <c r="DI154" s="1213">
        <v>0.2</v>
      </c>
      <c r="DJ154" s="1273"/>
      <c r="DK154" s="1225"/>
      <c r="DL154" s="1225"/>
      <c r="DN154" s="1207" t="s">
        <v>1417</v>
      </c>
      <c r="DO154" s="1211" t="s">
        <v>128</v>
      </c>
      <c r="DP154" s="1208" t="s">
        <v>1073</v>
      </c>
      <c r="DQ154" s="1213">
        <v>0.2</v>
      </c>
      <c r="DR154" s="1213">
        <v>0.2</v>
      </c>
      <c r="DS154" s="1213">
        <v>0.2</v>
      </c>
      <c r="DT154" s="1213">
        <v>0.2</v>
      </c>
      <c r="DU154" s="1213">
        <v>0.2</v>
      </c>
      <c r="DV154" s="1213">
        <v>0.2</v>
      </c>
      <c r="DW154" s="1213">
        <v>0.2</v>
      </c>
      <c r="DX154" s="1213">
        <v>0.2</v>
      </c>
      <c r="DY154" s="1213">
        <v>0.2</v>
      </c>
      <c r="DZ154" s="1213">
        <v>0.2</v>
      </c>
      <c r="EA154" s="1273"/>
      <c r="EB154" s="1225"/>
      <c r="EC154" s="1225"/>
      <c r="ED154" s="1463"/>
      <c r="EF154" s="1207" t="s">
        <v>1417</v>
      </c>
      <c r="EG154" s="1211" t="s">
        <v>128</v>
      </c>
      <c r="EH154" s="1208" t="s">
        <v>1073</v>
      </c>
      <c r="EI154" s="1678">
        <v>7.0000000000000007E-2</v>
      </c>
      <c r="EJ154" s="1678">
        <v>7.0000000000000007E-2</v>
      </c>
      <c r="EK154" s="1678">
        <v>7.0000000000000007E-2</v>
      </c>
      <c r="EL154" s="1678">
        <v>7.0000000000000007E-2</v>
      </c>
      <c r="EM154" s="1678">
        <v>7.0000000000000007E-2</v>
      </c>
      <c r="EN154" s="1678">
        <v>7.0000000000000007E-2</v>
      </c>
      <c r="EO154" s="1678">
        <v>7.0000000000000007E-2</v>
      </c>
      <c r="EP154" s="1678">
        <v>7.0000000000000007E-2</v>
      </c>
      <c r="EQ154" s="1678">
        <v>7.0000000000000007E-2</v>
      </c>
      <c r="ER154" s="1678">
        <v>7.0000000000000007E-2</v>
      </c>
      <c r="ES154" s="1714">
        <f t="shared" ref="ES154:ES181" si="269">EA154</f>
        <v>0</v>
      </c>
      <c r="ET154" s="1695">
        <f t="shared" ref="ET154:ET181" si="270">EB154</f>
        <v>0</v>
      </c>
      <c r="EU154" s="1695">
        <f t="shared" ref="EU154:EU181" si="271">EC154</f>
        <v>0</v>
      </c>
      <c r="EW154" s="1207" t="s">
        <v>1417</v>
      </c>
      <c r="EX154" s="1211" t="s">
        <v>128</v>
      </c>
      <c r="EY154" s="1208" t="s">
        <v>1073</v>
      </c>
      <c r="EZ154" s="1824">
        <v>0</v>
      </c>
      <c r="FA154" s="1678"/>
      <c r="FB154" s="1678"/>
      <c r="FC154" s="1678"/>
      <c r="FD154" s="1678"/>
      <c r="FE154" s="1678"/>
      <c r="FF154" s="1678"/>
      <c r="FG154" s="1678"/>
      <c r="FH154" s="1678"/>
      <c r="FI154" s="1678"/>
      <c r="FJ154" s="1812"/>
      <c r="FK154" s="1798"/>
      <c r="FL154" s="1798"/>
    </row>
    <row r="155" spans="2:168">
      <c r="B155" s="2023" t="str">
        <f t="shared" si="210"/>
        <v>2.4</v>
      </c>
      <c r="C155" s="829" t="str">
        <f t="shared" si="230"/>
        <v>躯体材料以外におけるリサイクル材の使用</v>
      </c>
      <c r="D155" s="2022" t="e">
        <f t="shared" si="267"/>
        <v>#REF!</v>
      </c>
      <c r="E155" s="2021" t="e">
        <f t="shared" si="267"/>
        <v>#REF!</v>
      </c>
      <c r="G155" s="2021" t="e">
        <f t="shared" si="231"/>
        <v>#REF!</v>
      </c>
      <c r="H155" s="2021" t="e">
        <f t="shared" si="232"/>
        <v>#REF!</v>
      </c>
      <c r="I155" s="2021"/>
      <c r="J155" s="2021"/>
      <c r="K155" s="2021" t="e">
        <f>IF(#REF!=0,0,1)</f>
        <v>#REF!</v>
      </c>
      <c r="L155" s="2021" t="e">
        <f>IF(#REF!=0,0,1)</f>
        <v>#REF!</v>
      </c>
      <c r="M155" s="2021">
        <f t="shared" si="233"/>
        <v>0.2</v>
      </c>
      <c r="N155" s="2021">
        <f t="shared" si="268"/>
        <v>0</v>
      </c>
      <c r="P155" s="2123"/>
      <c r="Q155" s="2069">
        <v>2.4</v>
      </c>
      <c r="R155" s="3116" t="s">
        <v>51</v>
      </c>
      <c r="S155" s="3117"/>
      <c r="T155" s="3117"/>
      <c r="U155" s="2017"/>
      <c r="V155" s="2038">
        <f t="shared" si="263"/>
        <v>0</v>
      </c>
      <c r="W155" s="2037">
        <f t="shared" si="264"/>
        <v>0</v>
      </c>
      <c r="Y155" s="1">
        <f t="shared" si="250"/>
        <v>0</v>
      </c>
      <c r="Z155" s="1">
        <f t="shared" si="251"/>
        <v>0</v>
      </c>
      <c r="AA155" s="1">
        <f t="shared" si="252"/>
        <v>0</v>
      </c>
      <c r="AB155" s="1">
        <f t="shared" si="253"/>
        <v>0</v>
      </c>
      <c r="AC155" s="1">
        <f t="shared" si="254"/>
        <v>0</v>
      </c>
      <c r="AD155" s="1">
        <f t="shared" si="255"/>
        <v>0</v>
      </c>
      <c r="AE155" s="1">
        <f t="shared" si="256"/>
        <v>0</v>
      </c>
      <c r="AF155" s="1">
        <f t="shared" si="257"/>
        <v>0</v>
      </c>
      <c r="AG155" s="1">
        <f t="shared" si="258"/>
        <v>0</v>
      </c>
      <c r="AH155" s="1">
        <f t="shared" si="259"/>
        <v>0</v>
      </c>
      <c r="AI155" s="1">
        <f t="shared" si="260"/>
        <v>0</v>
      </c>
      <c r="AJ155" s="1">
        <f t="shared" si="261"/>
        <v>0</v>
      </c>
      <c r="AK155" s="1">
        <f t="shared" si="262"/>
        <v>0</v>
      </c>
      <c r="AM155" s="1828"/>
      <c r="AN155" s="1828"/>
      <c r="AO155" s="1828"/>
      <c r="AP155" s="1828"/>
      <c r="AQ155" s="1828"/>
      <c r="AR155" s="1828"/>
      <c r="AS155" s="1828"/>
      <c r="AT155" s="1828"/>
      <c r="AU155" s="1828"/>
      <c r="AV155" s="1828"/>
      <c r="AW155" s="1828"/>
      <c r="AX155" s="1828"/>
      <c r="AY155" s="1828"/>
      <c r="BA155" s="2014"/>
      <c r="BB155" s="2014" t="e">
        <f t="shared" si="228"/>
        <v>#REF!</v>
      </c>
      <c r="BC155" s="2014"/>
      <c r="BD155" s="2013" t="e">
        <f>BR155*#REF!</f>
        <v>#REF!</v>
      </c>
      <c r="BE155" s="2013" t="e">
        <f>BS155*#REF!</f>
        <v>#REF!</v>
      </c>
      <c r="BF155" s="2013" t="e">
        <f>BT155*#REF!</f>
        <v>#REF!</v>
      </c>
      <c r="BG155" s="2013" t="e">
        <f>BU155*#REF!</f>
        <v>#REF!</v>
      </c>
      <c r="BH155" s="2094" t="e">
        <f>BV155*#REF!</f>
        <v>#REF!</v>
      </c>
      <c r="BI155" s="2013" t="e">
        <f>BW155*#REF!</f>
        <v>#REF!</v>
      </c>
      <c r="BJ155" s="2013" t="e">
        <f>BX155*#REF!</f>
        <v>#REF!</v>
      </c>
      <c r="BK155" s="2013" t="e">
        <f>BY155*#REF!</f>
        <v>#REF!</v>
      </c>
      <c r="BL155" s="2013" t="e">
        <f>BZ155*#REF!</f>
        <v>#REF!</v>
      </c>
      <c r="BM155" s="2013" t="e">
        <f>CA155*#REF!</f>
        <v>#REF!</v>
      </c>
      <c r="BO155" s="2040" t="str">
        <f t="shared" si="234"/>
        <v>2.4</v>
      </c>
      <c r="BP155" s="2040" t="str">
        <f t="shared" si="235"/>
        <v>LR2 2</v>
      </c>
      <c r="BQ155" s="829" t="str">
        <f t="shared" si="236"/>
        <v>躯体材料以外におけるリサイクル材の使用</v>
      </c>
      <c r="BR155" s="2010">
        <f t="shared" si="237"/>
        <v>0.2</v>
      </c>
      <c r="BS155" s="2010">
        <f t="shared" si="238"/>
        <v>0.2</v>
      </c>
      <c r="BT155" s="2010">
        <f t="shared" si="239"/>
        <v>0.2</v>
      </c>
      <c r="BU155" s="2010">
        <f t="shared" si="240"/>
        <v>0.2</v>
      </c>
      <c r="BV155" s="2093">
        <f t="shared" si="241"/>
        <v>0.2</v>
      </c>
      <c r="BW155" s="2010">
        <f t="shared" si="242"/>
        <v>0.2</v>
      </c>
      <c r="BX155" s="2010">
        <f t="shared" si="243"/>
        <v>0.2</v>
      </c>
      <c r="BY155" s="2010">
        <f t="shared" si="244"/>
        <v>0.2</v>
      </c>
      <c r="BZ155" s="2010">
        <f t="shared" si="245"/>
        <v>0.2</v>
      </c>
      <c r="CA155" s="2010">
        <f t="shared" si="246"/>
        <v>0.2</v>
      </c>
      <c r="CB155" s="2092">
        <f t="shared" si="247"/>
        <v>0</v>
      </c>
      <c r="CC155" s="2091">
        <f t="shared" si="248"/>
        <v>0</v>
      </c>
      <c r="CD155" s="2091">
        <f t="shared" si="249"/>
        <v>0</v>
      </c>
      <c r="CF155" s="1207" t="s">
        <v>2369</v>
      </c>
      <c r="CG155" s="1211" t="s">
        <v>128</v>
      </c>
      <c r="CH155" s="1208" t="s">
        <v>1344</v>
      </c>
      <c r="CI155" s="1213">
        <v>0.2</v>
      </c>
      <c r="CJ155" s="1213">
        <v>0.2</v>
      </c>
      <c r="CK155" s="1213">
        <v>0.2</v>
      </c>
      <c r="CL155" s="1213">
        <v>0.2</v>
      </c>
      <c r="CM155" s="1213">
        <v>0.2</v>
      </c>
      <c r="CN155" s="1213">
        <v>0.2</v>
      </c>
      <c r="CO155" s="1213">
        <v>0.2</v>
      </c>
      <c r="CP155" s="1213">
        <v>0.2</v>
      </c>
      <c r="CQ155" s="1213">
        <v>0.2</v>
      </c>
      <c r="CR155" s="1213">
        <v>0.2</v>
      </c>
      <c r="CS155" s="1273"/>
      <c r="CT155" s="1225"/>
      <c r="CU155" s="1225"/>
      <c r="CW155" s="1207" t="s">
        <v>2369</v>
      </c>
      <c r="CX155" s="1211" t="s">
        <v>128</v>
      </c>
      <c r="CY155" s="1208" t="s">
        <v>1344</v>
      </c>
      <c r="CZ155" s="1213">
        <v>0.2</v>
      </c>
      <c r="DA155" s="1213">
        <v>0.2</v>
      </c>
      <c r="DB155" s="1213">
        <v>0.2</v>
      </c>
      <c r="DC155" s="1213">
        <v>0.2</v>
      </c>
      <c r="DD155" s="1213">
        <v>0.2</v>
      </c>
      <c r="DE155" s="1213">
        <v>0.2</v>
      </c>
      <c r="DF155" s="1213">
        <v>0.2</v>
      </c>
      <c r="DG155" s="1213">
        <v>0.2</v>
      </c>
      <c r="DH155" s="1213">
        <v>0.2</v>
      </c>
      <c r="DI155" s="1213">
        <v>0.2</v>
      </c>
      <c r="DJ155" s="1273"/>
      <c r="DK155" s="1225"/>
      <c r="DL155" s="1225"/>
      <c r="DN155" s="1207" t="s">
        <v>2369</v>
      </c>
      <c r="DO155" s="1211" t="s">
        <v>128</v>
      </c>
      <c r="DP155" s="1208" t="s">
        <v>1344</v>
      </c>
      <c r="DQ155" s="1213">
        <v>0.2</v>
      </c>
      <c r="DR155" s="1213">
        <v>0.2</v>
      </c>
      <c r="DS155" s="1213">
        <v>0.2</v>
      </c>
      <c r="DT155" s="1213">
        <v>0.2</v>
      </c>
      <c r="DU155" s="1213">
        <v>0.2</v>
      </c>
      <c r="DV155" s="1213">
        <v>0.2</v>
      </c>
      <c r="DW155" s="1213">
        <v>0.2</v>
      </c>
      <c r="DX155" s="1213">
        <v>0.2</v>
      </c>
      <c r="DY155" s="1213">
        <v>0.2</v>
      </c>
      <c r="DZ155" s="1213">
        <v>0.2</v>
      </c>
      <c r="EA155" s="1273"/>
      <c r="EB155" s="1225"/>
      <c r="EC155" s="1225"/>
      <c r="ED155" s="1463"/>
      <c r="EF155" s="1207" t="s">
        <v>2369</v>
      </c>
      <c r="EG155" s="1211" t="s">
        <v>128</v>
      </c>
      <c r="EH155" s="1208" t="s">
        <v>1344</v>
      </c>
      <c r="EI155" s="1678">
        <v>0.04</v>
      </c>
      <c r="EJ155" s="1678">
        <v>0.04</v>
      </c>
      <c r="EK155" s="1678">
        <v>0.04</v>
      </c>
      <c r="EL155" s="1678">
        <v>0.04</v>
      </c>
      <c r="EM155" s="1678">
        <v>0.04</v>
      </c>
      <c r="EN155" s="1678">
        <v>0.04</v>
      </c>
      <c r="EO155" s="1678">
        <v>0.04</v>
      </c>
      <c r="EP155" s="1678">
        <v>0.04</v>
      </c>
      <c r="EQ155" s="1678">
        <v>0.04</v>
      </c>
      <c r="ER155" s="1678">
        <v>0.04</v>
      </c>
      <c r="ES155" s="1714">
        <f t="shared" si="269"/>
        <v>0</v>
      </c>
      <c r="ET155" s="1695">
        <f t="shared" si="270"/>
        <v>0</v>
      </c>
      <c r="EU155" s="1695">
        <f t="shared" si="271"/>
        <v>0</v>
      </c>
      <c r="EW155" s="1207" t="s">
        <v>2369</v>
      </c>
      <c r="EX155" s="1211" t="s">
        <v>128</v>
      </c>
      <c r="EY155" s="1208" t="s">
        <v>1344</v>
      </c>
      <c r="EZ155" s="1678">
        <f>DQ155</f>
        <v>0.2</v>
      </c>
      <c r="FA155" s="1678"/>
      <c r="FB155" s="1678"/>
      <c r="FC155" s="1678"/>
      <c r="FD155" s="1678"/>
      <c r="FE155" s="1678"/>
      <c r="FF155" s="1678"/>
      <c r="FG155" s="1678"/>
      <c r="FH155" s="1678"/>
      <c r="FI155" s="1678"/>
      <c r="FJ155" s="1812"/>
      <c r="FK155" s="1798"/>
      <c r="FL155" s="1798"/>
    </row>
    <row r="156" spans="2:168">
      <c r="B156" s="2023" t="str">
        <f t="shared" si="210"/>
        <v>2.5</v>
      </c>
      <c r="C156" s="829" t="str">
        <f t="shared" si="230"/>
        <v>持続可能な森林から産出された木材</v>
      </c>
      <c r="D156" s="2022" t="e">
        <f t="shared" si="267"/>
        <v>#REF!</v>
      </c>
      <c r="E156" s="2021" t="e">
        <f t="shared" si="267"/>
        <v>#REF!</v>
      </c>
      <c r="G156" s="2021" t="e">
        <f t="shared" si="231"/>
        <v>#REF!</v>
      </c>
      <c r="H156" s="2021" t="e">
        <f t="shared" si="232"/>
        <v>#REF!</v>
      </c>
      <c r="I156" s="2021"/>
      <c r="J156" s="2021"/>
      <c r="K156" s="2021" t="e">
        <f>IF(#REF!=0,0,1)</f>
        <v>#REF!</v>
      </c>
      <c r="L156" s="2021" t="e">
        <f>IF(#REF!=0,0,1)</f>
        <v>#REF!</v>
      </c>
      <c r="M156" s="2021">
        <f t="shared" si="233"/>
        <v>0.1</v>
      </c>
      <c r="N156" s="2021">
        <f t="shared" si="268"/>
        <v>0</v>
      </c>
      <c r="P156" s="2123"/>
      <c r="Q156" s="2069">
        <v>2.5</v>
      </c>
      <c r="R156" s="2034" t="s">
        <v>1074</v>
      </c>
      <c r="S156" s="1655"/>
      <c r="T156" s="2036"/>
      <c r="U156" s="2017"/>
      <c r="V156" s="2038">
        <f t="shared" si="263"/>
        <v>0</v>
      </c>
      <c r="W156" s="2037">
        <f t="shared" si="264"/>
        <v>0</v>
      </c>
      <c r="Y156" s="1">
        <f t="shared" si="250"/>
        <v>0</v>
      </c>
      <c r="Z156" s="1">
        <f t="shared" si="251"/>
        <v>0</v>
      </c>
      <c r="AA156" s="1">
        <f t="shared" si="252"/>
        <v>0</v>
      </c>
      <c r="AB156" s="1">
        <f t="shared" si="253"/>
        <v>0</v>
      </c>
      <c r="AC156" s="1">
        <f t="shared" si="254"/>
        <v>0</v>
      </c>
      <c r="AD156" s="1">
        <f t="shared" si="255"/>
        <v>0</v>
      </c>
      <c r="AE156" s="1">
        <f t="shared" si="256"/>
        <v>0</v>
      </c>
      <c r="AF156" s="1">
        <f t="shared" si="257"/>
        <v>0</v>
      </c>
      <c r="AG156" s="1">
        <f t="shared" si="258"/>
        <v>0</v>
      </c>
      <c r="AH156" s="1">
        <f t="shared" si="259"/>
        <v>0</v>
      </c>
      <c r="AI156" s="1">
        <f t="shared" si="260"/>
        <v>0</v>
      </c>
      <c r="AJ156" s="1">
        <f t="shared" si="261"/>
        <v>0</v>
      </c>
      <c r="AK156" s="1">
        <f t="shared" si="262"/>
        <v>0</v>
      </c>
      <c r="AM156" s="1828"/>
      <c r="AN156" s="1828"/>
      <c r="AO156" s="1828"/>
      <c r="AP156" s="1828"/>
      <c r="AQ156" s="1828"/>
      <c r="AR156" s="1828"/>
      <c r="AS156" s="1828"/>
      <c r="AT156" s="1828"/>
      <c r="AU156" s="1828"/>
      <c r="AV156" s="1828"/>
      <c r="AW156" s="1828"/>
      <c r="AX156" s="1828"/>
      <c r="AY156" s="1828"/>
      <c r="BA156" s="2014"/>
      <c r="BB156" s="2014" t="e">
        <f t="shared" si="228"/>
        <v>#REF!</v>
      </c>
      <c r="BC156" s="2014"/>
      <c r="BD156" s="2013" t="e">
        <f>BR156*#REF!</f>
        <v>#REF!</v>
      </c>
      <c r="BE156" s="2013" t="e">
        <f>BS156*#REF!</f>
        <v>#REF!</v>
      </c>
      <c r="BF156" s="2013" t="e">
        <f>BT156*#REF!</f>
        <v>#REF!</v>
      </c>
      <c r="BG156" s="2013" t="e">
        <f>BU156*#REF!</f>
        <v>#REF!</v>
      </c>
      <c r="BH156" s="2094" t="e">
        <f>BV156*#REF!</f>
        <v>#REF!</v>
      </c>
      <c r="BI156" s="2013" t="e">
        <f>BW156*#REF!</f>
        <v>#REF!</v>
      </c>
      <c r="BJ156" s="2013" t="e">
        <f>BX156*#REF!</f>
        <v>#REF!</v>
      </c>
      <c r="BK156" s="2013" t="e">
        <f>BY156*#REF!</f>
        <v>#REF!</v>
      </c>
      <c r="BL156" s="2013" t="e">
        <f>BZ156*#REF!</f>
        <v>#REF!</v>
      </c>
      <c r="BM156" s="2013" t="e">
        <f>CA156*#REF!</f>
        <v>#REF!</v>
      </c>
      <c r="BO156" s="2040" t="str">
        <f t="shared" si="234"/>
        <v>2.5</v>
      </c>
      <c r="BP156" s="2040" t="str">
        <f t="shared" si="235"/>
        <v>LR2 2</v>
      </c>
      <c r="BQ156" s="829" t="str">
        <f t="shared" si="236"/>
        <v>持続可能な森林から産出された木材</v>
      </c>
      <c r="BR156" s="2010">
        <f t="shared" si="237"/>
        <v>0.1</v>
      </c>
      <c r="BS156" s="2010">
        <f t="shared" si="238"/>
        <v>0.1</v>
      </c>
      <c r="BT156" s="2010">
        <f t="shared" si="239"/>
        <v>0.1</v>
      </c>
      <c r="BU156" s="2010">
        <f t="shared" si="240"/>
        <v>0.1</v>
      </c>
      <c r="BV156" s="2093">
        <f t="shared" si="241"/>
        <v>0.1</v>
      </c>
      <c r="BW156" s="2010">
        <f t="shared" si="242"/>
        <v>0.1</v>
      </c>
      <c r="BX156" s="2010">
        <f t="shared" si="243"/>
        <v>0.1</v>
      </c>
      <c r="BY156" s="2010">
        <f t="shared" si="244"/>
        <v>0.1</v>
      </c>
      <c r="BZ156" s="2010">
        <f t="shared" si="245"/>
        <v>0.1</v>
      </c>
      <c r="CA156" s="2010">
        <f t="shared" si="246"/>
        <v>0.1</v>
      </c>
      <c r="CB156" s="2092">
        <f t="shared" si="247"/>
        <v>0</v>
      </c>
      <c r="CC156" s="2091">
        <f t="shared" si="248"/>
        <v>0</v>
      </c>
      <c r="CD156" s="2091">
        <f t="shared" si="249"/>
        <v>0</v>
      </c>
      <c r="CF156" s="1207" t="s">
        <v>2371</v>
      </c>
      <c r="CG156" s="1211" t="s">
        <v>128</v>
      </c>
      <c r="CH156" s="1208" t="s">
        <v>2372</v>
      </c>
      <c r="CI156" s="1213">
        <v>0.1</v>
      </c>
      <c r="CJ156" s="1213">
        <v>0.1</v>
      </c>
      <c r="CK156" s="1213">
        <v>0.1</v>
      </c>
      <c r="CL156" s="1213">
        <v>0.1</v>
      </c>
      <c r="CM156" s="1213">
        <v>0.1</v>
      </c>
      <c r="CN156" s="1213">
        <v>0.1</v>
      </c>
      <c r="CO156" s="1213">
        <v>0.1</v>
      </c>
      <c r="CP156" s="1213">
        <v>0.1</v>
      </c>
      <c r="CQ156" s="1213">
        <v>0.1</v>
      </c>
      <c r="CR156" s="1213">
        <v>0.1</v>
      </c>
      <c r="CS156" s="1273"/>
      <c r="CT156" s="1225"/>
      <c r="CU156" s="1225"/>
      <c r="CW156" s="1207" t="s">
        <v>2371</v>
      </c>
      <c r="CX156" s="1211" t="s">
        <v>128</v>
      </c>
      <c r="CY156" s="1208" t="s">
        <v>2372</v>
      </c>
      <c r="CZ156" s="1213">
        <v>0.1</v>
      </c>
      <c r="DA156" s="1213">
        <v>0.1</v>
      </c>
      <c r="DB156" s="1213">
        <v>0.1</v>
      </c>
      <c r="DC156" s="1213">
        <v>0.1</v>
      </c>
      <c r="DD156" s="1213">
        <v>0.1</v>
      </c>
      <c r="DE156" s="1213">
        <v>0.1</v>
      </c>
      <c r="DF156" s="1213">
        <v>0.1</v>
      </c>
      <c r="DG156" s="1213">
        <v>0.1</v>
      </c>
      <c r="DH156" s="1213">
        <v>0.1</v>
      </c>
      <c r="DI156" s="1213">
        <v>0.1</v>
      </c>
      <c r="DJ156" s="1273"/>
      <c r="DK156" s="1225"/>
      <c r="DL156" s="1225"/>
      <c r="DN156" s="1207" t="s">
        <v>2371</v>
      </c>
      <c r="DO156" s="1211" t="s">
        <v>128</v>
      </c>
      <c r="DP156" s="1208" t="s">
        <v>2372</v>
      </c>
      <c r="DQ156" s="1213">
        <v>0.1</v>
      </c>
      <c r="DR156" s="1213">
        <v>0.1</v>
      </c>
      <c r="DS156" s="1213">
        <v>0.1</v>
      </c>
      <c r="DT156" s="1213">
        <v>0.1</v>
      </c>
      <c r="DU156" s="1213">
        <v>0.1</v>
      </c>
      <c r="DV156" s="1213">
        <v>0.1</v>
      </c>
      <c r="DW156" s="1213">
        <v>0.1</v>
      </c>
      <c r="DX156" s="1213">
        <v>0.1</v>
      </c>
      <c r="DY156" s="1213">
        <v>0.1</v>
      </c>
      <c r="DZ156" s="1213">
        <v>0.1</v>
      </c>
      <c r="EA156" s="1273"/>
      <c r="EB156" s="1225"/>
      <c r="EC156" s="1225"/>
      <c r="ED156" s="1463"/>
      <c r="EF156" s="1207" t="s">
        <v>2371</v>
      </c>
      <c r="EG156" s="1211" t="s">
        <v>128</v>
      </c>
      <c r="EH156" s="1208" t="s">
        <v>2372</v>
      </c>
      <c r="EI156" s="1678">
        <v>0.04</v>
      </c>
      <c r="EJ156" s="1678">
        <v>0.04</v>
      </c>
      <c r="EK156" s="1678">
        <v>0.04</v>
      </c>
      <c r="EL156" s="1678">
        <v>0.04</v>
      </c>
      <c r="EM156" s="1678">
        <v>0.04</v>
      </c>
      <c r="EN156" s="1678">
        <v>0.04</v>
      </c>
      <c r="EO156" s="1678">
        <v>0.04</v>
      </c>
      <c r="EP156" s="1678">
        <v>0.04</v>
      </c>
      <c r="EQ156" s="1678">
        <v>0.04</v>
      </c>
      <c r="ER156" s="1678">
        <v>0.04</v>
      </c>
      <c r="ES156" s="1714">
        <f t="shared" si="269"/>
        <v>0</v>
      </c>
      <c r="ET156" s="1695">
        <f t="shared" si="270"/>
        <v>0</v>
      </c>
      <c r="EU156" s="1695">
        <f t="shared" si="271"/>
        <v>0</v>
      </c>
      <c r="EW156" s="1207" t="s">
        <v>2371</v>
      </c>
      <c r="EX156" s="1211" t="s">
        <v>128</v>
      </c>
      <c r="EY156" s="1208" t="s">
        <v>2372</v>
      </c>
      <c r="EZ156" s="1814">
        <v>0.4</v>
      </c>
      <c r="FA156" s="1678"/>
      <c r="FB156" s="1678"/>
      <c r="FC156" s="1678"/>
      <c r="FD156" s="1678"/>
      <c r="FE156" s="1678"/>
      <c r="FF156" s="1678"/>
      <c r="FG156" s="1678"/>
      <c r="FH156" s="1678"/>
      <c r="FI156" s="1678"/>
      <c r="FJ156" s="1812"/>
      <c r="FK156" s="1798"/>
      <c r="FL156" s="1798"/>
    </row>
    <row r="157" spans="2:168" ht="14.25" thickBot="1">
      <c r="B157" s="2023" t="str">
        <f t="shared" si="210"/>
        <v>2.6</v>
      </c>
      <c r="C157" s="829" t="str">
        <f t="shared" si="230"/>
        <v>部材の再利用可能性向上への取組み</v>
      </c>
      <c r="D157" s="2022" t="e">
        <f t="shared" si="267"/>
        <v>#REF!</v>
      </c>
      <c r="E157" s="2021" t="e">
        <f t="shared" si="267"/>
        <v>#REF!</v>
      </c>
      <c r="G157" s="2021" t="e">
        <f t="shared" si="231"/>
        <v>#REF!</v>
      </c>
      <c r="H157" s="2021" t="e">
        <f t="shared" si="232"/>
        <v>#REF!</v>
      </c>
      <c r="I157" s="2021"/>
      <c r="J157" s="2021"/>
      <c r="K157" s="2021" t="e">
        <f>IF(#REF!=0,0,1)</f>
        <v>#REF!</v>
      </c>
      <c r="L157" s="2021" t="e">
        <f>IF(#REF!=0,0,1)</f>
        <v>#REF!</v>
      </c>
      <c r="M157" s="2021">
        <f t="shared" si="233"/>
        <v>0.2</v>
      </c>
      <c r="N157" s="2021">
        <f t="shared" si="268"/>
        <v>0</v>
      </c>
      <c r="P157" s="2123"/>
      <c r="Q157" s="2035">
        <v>2.6</v>
      </c>
      <c r="R157" s="2034" t="s">
        <v>1075</v>
      </c>
      <c r="S157" s="1655"/>
      <c r="T157" s="2036"/>
      <c r="U157" s="2017"/>
      <c r="V157" s="2016">
        <f t="shared" si="263"/>
        <v>0</v>
      </c>
      <c r="W157" s="2015">
        <f t="shared" si="264"/>
        <v>0</v>
      </c>
      <c r="Y157" s="1">
        <f t="shared" si="250"/>
        <v>0</v>
      </c>
      <c r="Z157" s="1">
        <f t="shared" si="251"/>
        <v>0</v>
      </c>
      <c r="AA157" s="1">
        <f t="shared" si="252"/>
        <v>0</v>
      </c>
      <c r="AB157" s="1">
        <f t="shared" si="253"/>
        <v>0</v>
      </c>
      <c r="AC157" s="1">
        <f t="shared" si="254"/>
        <v>0</v>
      </c>
      <c r="AD157" s="1">
        <f t="shared" si="255"/>
        <v>0</v>
      </c>
      <c r="AE157" s="1">
        <f t="shared" si="256"/>
        <v>0</v>
      </c>
      <c r="AF157" s="1">
        <f t="shared" si="257"/>
        <v>0</v>
      </c>
      <c r="AG157" s="1">
        <f t="shared" si="258"/>
        <v>0</v>
      </c>
      <c r="AH157" s="1">
        <f t="shared" si="259"/>
        <v>0</v>
      </c>
      <c r="AI157" s="1">
        <f t="shared" si="260"/>
        <v>0</v>
      </c>
      <c r="AJ157" s="1">
        <f t="shared" si="261"/>
        <v>0</v>
      </c>
      <c r="AK157" s="1">
        <f t="shared" si="262"/>
        <v>0</v>
      </c>
      <c r="AM157" s="1831"/>
      <c r="AN157" s="1831"/>
      <c r="AO157" s="1831"/>
      <c r="AP157" s="1831"/>
      <c r="AQ157" s="1831"/>
      <c r="AR157" s="1831"/>
      <c r="AS157" s="1831"/>
      <c r="AT157" s="1831"/>
      <c r="AU157" s="1831"/>
      <c r="AV157" s="1831"/>
      <c r="AW157" s="1831"/>
      <c r="AX157" s="1831"/>
      <c r="AY157" s="1831"/>
      <c r="BA157" s="2014"/>
      <c r="BB157" s="2014" t="e">
        <f t="shared" si="228"/>
        <v>#REF!</v>
      </c>
      <c r="BC157" s="2014"/>
      <c r="BD157" s="2013" t="e">
        <f>BR157*#REF!</f>
        <v>#REF!</v>
      </c>
      <c r="BE157" s="2013" t="e">
        <f>BS157*#REF!</f>
        <v>#REF!</v>
      </c>
      <c r="BF157" s="2013" t="e">
        <f>BT157*#REF!</f>
        <v>#REF!</v>
      </c>
      <c r="BG157" s="2013" t="e">
        <f>BU157*#REF!</f>
        <v>#REF!</v>
      </c>
      <c r="BH157" s="2094" t="e">
        <f>BV157*#REF!</f>
        <v>#REF!</v>
      </c>
      <c r="BI157" s="2013" t="e">
        <f>BW157*#REF!</f>
        <v>#REF!</v>
      </c>
      <c r="BJ157" s="2013" t="e">
        <f>BX157*#REF!</f>
        <v>#REF!</v>
      </c>
      <c r="BK157" s="2013" t="e">
        <f>BY157*#REF!</f>
        <v>#REF!</v>
      </c>
      <c r="BL157" s="2013" t="e">
        <f>BZ157*#REF!</f>
        <v>#REF!</v>
      </c>
      <c r="BM157" s="2013" t="e">
        <f>CA157*#REF!</f>
        <v>#REF!</v>
      </c>
      <c r="BO157" s="2040" t="str">
        <f t="shared" si="234"/>
        <v>2.6</v>
      </c>
      <c r="BP157" s="2040" t="str">
        <f t="shared" si="235"/>
        <v>LR2 2</v>
      </c>
      <c r="BQ157" s="829" t="str">
        <f t="shared" si="236"/>
        <v>部材の再利用可能性向上への取組み</v>
      </c>
      <c r="BR157" s="2010">
        <f t="shared" si="237"/>
        <v>0.2</v>
      </c>
      <c r="BS157" s="2010">
        <f t="shared" si="238"/>
        <v>0.2</v>
      </c>
      <c r="BT157" s="2010">
        <f t="shared" si="239"/>
        <v>0.2</v>
      </c>
      <c r="BU157" s="2010">
        <f t="shared" si="240"/>
        <v>0.2</v>
      </c>
      <c r="BV157" s="2093">
        <f t="shared" si="241"/>
        <v>0.2</v>
      </c>
      <c r="BW157" s="2010">
        <f t="shared" si="242"/>
        <v>0.2</v>
      </c>
      <c r="BX157" s="2010">
        <f t="shared" si="243"/>
        <v>0.2</v>
      </c>
      <c r="BY157" s="2010">
        <f t="shared" si="244"/>
        <v>0.2</v>
      </c>
      <c r="BZ157" s="2010">
        <f t="shared" si="245"/>
        <v>0.2</v>
      </c>
      <c r="CA157" s="2010">
        <f t="shared" si="246"/>
        <v>0.2</v>
      </c>
      <c r="CB157" s="2092">
        <f t="shared" si="247"/>
        <v>0</v>
      </c>
      <c r="CC157" s="2091">
        <f t="shared" si="248"/>
        <v>0</v>
      </c>
      <c r="CD157" s="2091">
        <f t="shared" si="249"/>
        <v>0</v>
      </c>
      <c r="CF157" s="1207" t="s">
        <v>1184</v>
      </c>
      <c r="CG157" s="1211" t="s">
        <v>128</v>
      </c>
      <c r="CH157" s="1208" t="s">
        <v>1075</v>
      </c>
      <c r="CI157" s="1213">
        <v>0.2</v>
      </c>
      <c r="CJ157" s="1213">
        <v>0.2</v>
      </c>
      <c r="CK157" s="1213">
        <v>0.2</v>
      </c>
      <c r="CL157" s="1213">
        <v>0.2</v>
      </c>
      <c r="CM157" s="1213">
        <v>0.2</v>
      </c>
      <c r="CN157" s="1213">
        <v>0.2</v>
      </c>
      <c r="CO157" s="1213">
        <v>0.2</v>
      </c>
      <c r="CP157" s="1213">
        <v>0.2</v>
      </c>
      <c r="CQ157" s="1213">
        <v>0.2</v>
      </c>
      <c r="CR157" s="1213">
        <v>0.2</v>
      </c>
      <c r="CS157" s="1273"/>
      <c r="CT157" s="1225"/>
      <c r="CU157" s="1225"/>
      <c r="CW157" s="1207" t="s">
        <v>1184</v>
      </c>
      <c r="CX157" s="1211" t="s">
        <v>128</v>
      </c>
      <c r="CY157" s="1208" t="s">
        <v>1075</v>
      </c>
      <c r="CZ157" s="1213">
        <v>0.2</v>
      </c>
      <c r="DA157" s="1213">
        <v>0.2</v>
      </c>
      <c r="DB157" s="1213">
        <v>0.2</v>
      </c>
      <c r="DC157" s="1213">
        <v>0.2</v>
      </c>
      <c r="DD157" s="1213">
        <v>0.2</v>
      </c>
      <c r="DE157" s="1213">
        <v>0.2</v>
      </c>
      <c r="DF157" s="1213">
        <v>0.2</v>
      </c>
      <c r="DG157" s="1213">
        <v>0.2</v>
      </c>
      <c r="DH157" s="1213">
        <v>0.2</v>
      </c>
      <c r="DI157" s="1213">
        <v>0.2</v>
      </c>
      <c r="DJ157" s="1273"/>
      <c r="DK157" s="1225"/>
      <c r="DL157" s="1225"/>
      <c r="DN157" s="1207" t="s">
        <v>1184</v>
      </c>
      <c r="DO157" s="1211" t="s">
        <v>128</v>
      </c>
      <c r="DP157" s="1208" t="s">
        <v>1075</v>
      </c>
      <c r="DQ157" s="1213">
        <v>0.2</v>
      </c>
      <c r="DR157" s="1213">
        <v>0.2</v>
      </c>
      <c r="DS157" s="1213">
        <v>0.2</v>
      </c>
      <c r="DT157" s="1213">
        <v>0.2</v>
      </c>
      <c r="DU157" s="1213">
        <v>0.2</v>
      </c>
      <c r="DV157" s="1213">
        <v>0.2</v>
      </c>
      <c r="DW157" s="1213">
        <v>0.2</v>
      </c>
      <c r="DX157" s="1213">
        <v>0.2</v>
      </c>
      <c r="DY157" s="1213">
        <v>0.2</v>
      </c>
      <c r="DZ157" s="1213">
        <v>0.2</v>
      </c>
      <c r="EA157" s="1273"/>
      <c r="EB157" s="1225"/>
      <c r="EC157" s="1225"/>
      <c r="ED157" s="1463"/>
      <c r="EF157" s="1207" t="s">
        <v>1184</v>
      </c>
      <c r="EG157" s="1211" t="s">
        <v>128</v>
      </c>
      <c r="EH157" s="1208"/>
      <c r="EI157" s="1678">
        <v>0</v>
      </c>
      <c r="EJ157" s="1678">
        <v>0</v>
      </c>
      <c r="EK157" s="1678">
        <v>0</v>
      </c>
      <c r="EL157" s="1678">
        <v>0</v>
      </c>
      <c r="EM157" s="1678">
        <v>0</v>
      </c>
      <c r="EN157" s="1678">
        <v>0</v>
      </c>
      <c r="EO157" s="1678">
        <v>0</v>
      </c>
      <c r="EP157" s="1678">
        <v>0</v>
      </c>
      <c r="EQ157" s="1678">
        <v>0</v>
      </c>
      <c r="ER157" s="1678">
        <v>0</v>
      </c>
      <c r="ES157" s="1714">
        <f t="shared" si="269"/>
        <v>0</v>
      </c>
      <c r="ET157" s="1695">
        <f t="shared" si="270"/>
        <v>0</v>
      </c>
      <c r="EU157" s="1695">
        <f t="shared" si="271"/>
        <v>0</v>
      </c>
      <c r="EW157" s="1207" t="s">
        <v>1184</v>
      </c>
      <c r="EX157" s="1211" t="s">
        <v>128</v>
      </c>
      <c r="EY157" s="1208" t="s">
        <v>1075</v>
      </c>
      <c r="EZ157" s="1814">
        <v>0.4</v>
      </c>
      <c r="FA157" s="1678"/>
      <c r="FB157" s="1678"/>
      <c r="FC157" s="1678"/>
      <c r="FD157" s="1678"/>
      <c r="FE157" s="1678"/>
      <c r="FF157" s="1678"/>
      <c r="FG157" s="1678"/>
      <c r="FH157" s="1678"/>
      <c r="FI157" s="1678"/>
      <c r="FJ157" s="1812"/>
      <c r="FK157" s="1798"/>
      <c r="FL157" s="1798"/>
    </row>
    <row r="158" spans="2:168" hidden="1">
      <c r="B158" s="2023" t="str">
        <f t="shared" si="210"/>
        <v>2.6</v>
      </c>
      <c r="C158" s="829">
        <f t="shared" si="230"/>
        <v>0</v>
      </c>
      <c r="D158" s="2022" t="e">
        <f t="shared" si="267"/>
        <v>#REF!</v>
      </c>
      <c r="E158" s="2022" t="e">
        <f t="shared" si="267"/>
        <v>#REF!</v>
      </c>
      <c r="G158" s="2021" t="e">
        <f t="shared" si="231"/>
        <v>#REF!</v>
      </c>
      <c r="H158" s="2021" t="e">
        <f t="shared" si="232"/>
        <v>#REF!</v>
      </c>
      <c r="I158" s="2021" t="e">
        <f>SUM(G159:G164)</f>
        <v>#REF!</v>
      </c>
      <c r="J158" s="2021" t="e">
        <f>SUM(H159:H164)</f>
        <v>#REF!</v>
      </c>
      <c r="K158" s="2021" t="e">
        <f>IF(#REF!=0,0,1)</f>
        <v>#REF!</v>
      </c>
      <c r="L158" s="2021" t="e">
        <f>IF(#REF!=0,0,1)</f>
        <v>#REF!</v>
      </c>
      <c r="M158" s="2021">
        <f t="shared" si="233"/>
        <v>0</v>
      </c>
      <c r="N158" s="2021">
        <f t="shared" si="268"/>
        <v>0</v>
      </c>
      <c r="P158" s="2123"/>
      <c r="Q158" s="2124">
        <v>2.6</v>
      </c>
      <c r="R158" s="2119" t="s">
        <v>1075</v>
      </c>
      <c r="S158" s="2118"/>
      <c r="T158" s="2117"/>
      <c r="U158" s="2017"/>
      <c r="V158" s="2038">
        <f t="shared" si="263"/>
        <v>0</v>
      </c>
      <c r="W158" s="2037">
        <f t="shared" si="264"/>
        <v>0</v>
      </c>
      <c r="Y158" s="1">
        <f t="shared" si="250"/>
        <v>0</v>
      </c>
      <c r="Z158" s="1">
        <f t="shared" si="251"/>
        <v>0</v>
      </c>
      <c r="AA158" s="1">
        <f t="shared" si="252"/>
        <v>0</v>
      </c>
      <c r="AB158" s="1">
        <f t="shared" si="253"/>
        <v>0</v>
      </c>
      <c r="AC158" s="1">
        <f t="shared" si="254"/>
        <v>0</v>
      </c>
      <c r="AD158" s="1">
        <f t="shared" si="255"/>
        <v>0</v>
      </c>
      <c r="AE158" s="1">
        <f t="shared" si="256"/>
        <v>0</v>
      </c>
      <c r="AF158" s="1">
        <f t="shared" si="257"/>
        <v>0</v>
      </c>
      <c r="AG158" s="1">
        <f t="shared" si="258"/>
        <v>0</v>
      </c>
      <c r="AH158" s="1">
        <f t="shared" si="259"/>
        <v>0</v>
      </c>
      <c r="AI158" s="1">
        <f t="shared" si="260"/>
        <v>0</v>
      </c>
      <c r="AJ158" s="1">
        <f t="shared" si="261"/>
        <v>0</v>
      </c>
      <c r="AK158" s="1">
        <f t="shared" si="262"/>
        <v>0</v>
      </c>
      <c r="AM158" s="2063"/>
      <c r="AN158" s="2063"/>
      <c r="AO158" s="2063"/>
      <c r="AP158" s="2063"/>
      <c r="AQ158" s="2063"/>
      <c r="AR158" s="2063"/>
      <c r="AS158" s="2063"/>
      <c r="AT158" s="2063"/>
      <c r="AU158" s="2063"/>
      <c r="AV158" s="2063"/>
      <c r="AW158" s="2063"/>
      <c r="AX158" s="2063"/>
      <c r="AY158" s="2063"/>
      <c r="BA158" s="2014"/>
      <c r="BB158" s="2014" t="e">
        <f t="shared" si="228"/>
        <v>#REF!</v>
      </c>
      <c r="BC158" s="2014"/>
      <c r="BD158" s="2013" t="e">
        <f>BR158*#REF!</f>
        <v>#REF!</v>
      </c>
      <c r="BE158" s="2013" t="e">
        <f>BS158*#REF!</f>
        <v>#REF!</v>
      </c>
      <c r="BF158" s="2013" t="e">
        <f>BT158*#REF!</f>
        <v>#REF!</v>
      </c>
      <c r="BG158" s="2013" t="e">
        <f>BU158*#REF!</f>
        <v>#REF!</v>
      </c>
      <c r="BH158" s="2094" t="e">
        <f>BV158*#REF!</f>
        <v>#REF!</v>
      </c>
      <c r="BI158" s="2013" t="e">
        <f>BW158*#REF!</f>
        <v>#REF!</v>
      </c>
      <c r="BJ158" s="2013" t="e">
        <f>BX158*#REF!</f>
        <v>#REF!</v>
      </c>
      <c r="BK158" s="2013" t="e">
        <f>BY158*#REF!</f>
        <v>#REF!</v>
      </c>
      <c r="BL158" s="2013" t="e">
        <f>BZ158*#REF!</f>
        <v>#REF!</v>
      </c>
      <c r="BM158" s="2013" t="e">
        <f>CA158*#REF!</f>
        <v>#REF!</v>
      </c>
      <c r="BO158" s="2040" t="str">
        <f t="shared" si="234"/>
        <v>2.6</v>
      </c>
      <c r="BP158" s="2040" t="str">
        <f t="shared" si="235"/>
        <v>LR2 2</v>
      </c>
      <c r="BQ158" s="829">
        <f t="shared" si="236"/>
        <v>0</v>
      </c>
      <c r="BR158" s="2010">
        <f t="shared" si="237"/>
        <v>0</v>
      </c>
      <c r="BS158" s="2010">
        <f t="shared" si="238"/>
        <v>0</v>
      </c>
      <c r="BT158" s="2010">
        <f t="shared" si="239"/>
        <v>0</v>
      </c>
      <c r="BU158" s="2010">
        <f t="shared" si="240"/>
        <v>0</v>
      </c>
      <c r="BV158" s="2093">
        <f t="shared" si="241"/>
        <v>0</v>
      </c>
      <c r="BW158" s="2010">
        <f t="shared" si="242"/>
        <v>0</v>
      </c>
      <c r="BX158" s="2010">
        <f t="shared" si="243"/>
        <v>0</v>
      </c>
      <c r="BY158" s="2010">
        <f t="shared" si="244"/>
        <v>0</v>
      </c>
      <c r="BZ158" s="2010">
        <f t="shared" si="245"/>
        <v>0</v>
      </c>
      <c r="CA158" s="2010">
        <f t="shared" si="246"/>
        <v>0</v>
      </c>
      <c r="CB158" s="2092">
        <f t="shared" si="247"/>
        <v>0</v>
      </c>
      <c r="CC158" s="2091">
        <f t="shared" si="248"/>
        <v>0</v>
      </c>
      <c r="CD158" s="2091">
        <f t="shared" si="249"/>
        <v>0</v>
      </c>
      <c r="CF158" s="1207"/>
      <c r="CG158" s="1211"/>
      <c r="CH158" s="1208"/>
      <c r="CI158" s="1213"/>
      <c r="CJ158" s="1213"/>
      <c r="CK158" s="1213"/>
      <c r="CL158" s="1213"/>
      <c r="CM158" s="1213"/>
      <c r="CN158" s="1213"/>
      <c r="CO158" s="1213"/>
      <c r="CP158" s="1213"/>
      <c r="CQ158" s="1213"/>
      <c r="CR158" s="1213"/>
      <c r="CS158" s="1273"/>
      <c r="CT158" s="1225"/>
      <c r="CU158" s="1225"/>
      <c r="CW158" s="1207"/>
      <c r="CX158" s="1211"/>
      <c r="CY158" s="1208"/>
      <c r="CZ158" s="1213"/>
      <c r="DA158" s="1213"/>
      <c r="DB158" s="1213"/>
      <c r="DC158" s="1213"/>
      <c r="DD158" s="1213"/>
      <c r="DE158" s="1213"/>
      <c r="DF158" s="1213"/>
      <c r="DG158" s="1213"/>
      <c r="DH158" s="1213"/>
      <c r="DI158" s="1213"/>
      <c r="DJ158" s="1273"/>
      <c r="DK158" s="1225"/>
      <c r="DL158" s="1225"/>
      <c r="DN158" s="1207" t="s">
        <v>1184</v>
      </c>
      <c r="DO158" s="1211" t="s">
        <v>128</v>
      </c>
      <c r="DP158" s="1208"/>
      <c r="DQ158" s="1213"/>
      <c r="DR158" s="1213"/>
      <c r="DS158" s="1213"/>
      <c r="DT158" s="1213"/>
      <c r="DU158" s="1213"/>
      <c r="DV158" s="1213"/>
      <c r="DW158" s="1213"/>
      <c r="DX158" s="1213"/>
      <c r="DY158" s="1213"/>
      <c r="DZ158" s="1213"/>
      <c r="EA158" s="1273"/>
      <c r="EB158" s="1225"/>
      <c r="EC158" s="1225"/>
      <c r="ED158" s="1463"/>
      <c r="EF158" s="1207" t="s">
        <v>1184</v>
      </c>
      <c r="EG158" s="1211" t="s">
        <v>128</v>
      </c>
      <c r="EH158" s="1208" t="s">
        <v>2796</v>
      </c>
      <c r="EI158" s="1678">
        <v>0.65</v>
      </c>
      <c r="EJ158" s="1678">
        <v>0.65</v>
      </c>
      <c r="EK158" s="1678">
        <v>0.65</v>
      </c>
      <c r="EL158" s="1678">
        <v>0.65</v>
      </c>
      <c r="EM158" s="1678">
        <v>0.65</v>
      </c>
      <c r="EN158" s="1678">
        <v>0.65</v>
      </c>
      <c r="EO158" s="1678">
        <v>0.65</v>
      </c>
      <c r="EP158" s="1678">
        <v>0.65</v>
      </c>
      <c r="EQ158" s="1678">
        <v>0.65</v>
      </c>
      <c r="ER158" s="1678">
        <v>0.65</v>
      </c>
      <c r="ES158" s="1714">
        <f t="shared" si="269"/>
        <v>0</v>
      </c>
      <c r="ET158" s="1695">
        <f t="shared" si="270"/>
        <v>0</v>
      </c>
      <c r="EU158" s="1695">
        <f t="shared" si="271"/>
        <v>0</v>
      </c>
      <c r="EW158" s="1207" t="s">
        <v>3142</v>
      </c>
      <c r="EX158" s="1211" t="s">
        <v>128</v>
      </c>
      <c r="EY158" s="1208"/>
      <c r="EZ158" s="1678">
        <f t="shared" ref="EZ158:EZ166" si="272">DQ158</f>
        <v>0</v>
      </c>
      <c r="FA158" s="1678"/>
      <c r="FB158" s="1678"/>
      <c r="FC158" s="1678"/>
      <c r="FD158" s="1678"/>
      <c r="FE158" s="1678"/>
      <c r="FF158" s="1678"/>
      <c r="FG158" s="1678"/>
      <c r="FH158" s="1678"/>
      <c r="FI158" s="1678"/>
      <c r="FJ158" s="1812"/>
      <c r="FK158" s="1798"/>
      <c r="FL158" s="1798"/>
    </row>
    <row r="159" spans="2:168" hidden="1">
      <c r="B159" s="2023" t="s">
        <v>3141</v>
      </c>
      <c r="C159" s="829">
        <f t="shared" si="230"/>
        <v>0</v>
      </c>
      <c r="D159" s="2100" t="e">
        <f t="shared" ref="D159:E164" si="273">IF(I$158&gt;0,G159/I$158,0)</f>
        <v>#REF!</v>
      </c>
      <c r="E159" s="2100" t="e">
        <f t="shared" si="273"/>
        <v>#REF!</v>
      </c>
      <c r="G159" s="2021" t="e">
        <f t="shared" si="231"/>
        <v>#REF!</v>
      </c>
      <c r="H159" s="2021" t="e">
        <f t="shared" si="232"/>
        <v>#REF!</v>
      </c>
      <c r="I159" s="2021"/>
      <c r="J159" s="2021"/>
      <c r="K159" s="2021" t="e">
        <f>IF(#REF!=0,0,1)</f>
        <v>#REF!</v>
      </c>
      <c r="L159" s="2021" t="e">
        <f>IF(#REF!=0,0,1)</f>
        <v>#REF!</v>
      </c>
      <c r="M159" s="2021">
        <f t="shared" si="233"/>
        <v>0</v>
      </c>
      <c r="N159" s="2021">
        <f t="shared" si="268"/>
        <v>0</v>
      </c>
      <c r="P159" s="2123"/>
      <c r="Q159" s="2122"/>
      <c r="R159" s="2121">
        <v>1</v>
      </c>
      <c r="S159" s="2118" t="s">
        <v>2799</v>
      </c>
      <c r="T159" s="2117"/>
      <c r="U159" s="2017"/>
      <c r="V159" s="2038">
        <f t="shared" si="263"/>
        <v>0</v>
      </c>
      <c r="W159" s="2037">
        <f t="shared" si="264"/>
        <v>0</v>
      </c>
      <c r="Y159" s="1">
        <f t="shared" si="250"/>
        <v>0</v>
      </c>
      <c r="Z159" s="1">
        <f t="shared" si="251"/>
        <v>0</v>
      </c>
      <c r="AA159" s="1">
        <f t="shared" si="252"/>
        <v>0</v>
      </c>
      <c r="AB159" s="1">
        <f t="shared" si="253"/>
        <v>0</v>
      </c>
      <c r="AC159" s="1">
        <f t="shared" si="254"/>
        <v>0</v>
      </c>
      <c r="AD159" s="1">
        <f t="shared" si="255"/>
        <v>0</v>
      </c>
      <c r="AE159" s="1">
        <f t="shared" si="256"/>
        <v>0</v>
      </c>
      <c r="AF159" s="1">
        <f t="shared" si="257"/>
        <v>0</v>
      </c>
      <c r="AG159" s="1">
        <f t="shared" si="258"/>
        <v>0</v>
      </c>
      <c r="AH159" s="1">
        <f t="shared" si="259"/>
        <v>0</v>
      </c>
      <c r="AI159" s="1">
        <f t="shared" si="260"/>
        <v>0</v>
      </c>
      <c r="AJ159" s="1">
        <f t="shared" si="261"/>
        <v>0</v>
      </c>
      <c r="AK159" s="1">
        <f t="shared" si="262"/>
        <v>0</v>
      </c>
      <c r="AM159" s="2063"/>
      <c r="AN159" s="2063"/>
      <c r="AO159" s="2063"/>
      <c r="AP159" s="2063"/>
      <c r="AQ159" s="2063"/>
      <c r="AR159" s="2063"/>
      <c r="AS159" s="2063"/>
      <c r="AT159" s="2063"/>
      <c r="AU159" s="2063"/>
      <c r="AV159" s="2063"/>
      <c r="AW159" s="2063"/>
      <c r="AX159" s="2063"/>
      <c r="AY159" s="2063"/>
      <c r="BA159" s="2014"/>
      <c r="BB159" s="2014" t="e">
        <f t="shared" si="228"/>
        <v>#REF!</v>
      </c>
      <c r="BC159" s="2014"/>
      <c r="BD159" s="2013" t="e">
        <f>BR159*#REF!</f>
        <v>#REF!</v>
      </c>
      <c r="BE159" s="2013" t="e">
        <f>BS159*#REF!</f>
        <v>#REF!</v>
      </c>
      <c r="BF159" s="2013" t="e">
        <f>BT159*#REF!</f>
        <v>#REF!</v>
      </c>
      <c r="BG159" s="2013" t="e">
        <f>BU159*#REF!</f>
        <v>#REF!</v>
      </c>
      <c r="BH159" s="2094" t="e">
        <f>BV159*#REF!</f>
        <v>#REF!</v>
      </c>
      <c r="BI159" s="2013" t="e">
        <f>BW159*#REF!</f>
        <v>#REF!</v>
      </c>
      <c r="BJ159" s="2013" t="e">
        <f>BX159*#REF!</f>
        <v>#REF!</v>
      </c>
      <c r="BK159" s="2013" t="e">
        <f>BY159*#REF!</f>
        <v>#REF!</v>
      </c>
      <c r="BL159" s="2013" t="e">
        <f>BZ159*#REF!</f>
        <v>#REF!</v>
      </c>
      <c r="BM159" s="2013" t="e">
        <f>CA159*#REF!</f>
        <v>#REF!</v>
      </c>
      <c r="BO159" s="2040" t="str">
        <f t="shared" si="234"/>
        <v>2.6.1</v>
      </c>
      <c r="BP159" s="2040" t="str">
        <f t="shared" si="235"/>
        <v>LR2 2.2</v>
      </c>
      <c r="BQ159" s="829">
        <f t="shared" si="236"/>
        <v>0</v>
      </c>
      <c r="BR159" s="2010">
        <f t="shared" si="237"/>
        <v>0</v>
      </c>
      <c r="BS159" s="2010">
        <f t="shared" si="238"/>
        <v>0</v>
      </c>
      <c r="BT159" s="2010">
        <f t="shared" si="239"/>
        <v>0</v>
      </c>
      <c r="BU159" s="2010">
        <f t="shared" si="240"/>
        <v>0</v>
      </c>
      <c r="BV159" s="2093">
        <f t="shared" si="241"/>
        <v>0</v>
      </c>
      <c r="BW159" s="2010">
        <f t="shared" si="242"/>
        <v>0</v>
      </c>
      <c r="BX159" s="2010">
        <f t="shared" si="243"/>
        <v>0</v>
      </c>
      <c r="BY159" s="2010">
        <f t="shared" si="244"/>
        <v>0</v>
      </c>
      <c r="BZ159" s="2010">
        <f t="shared" si="245"/>
        <v>0</v>
      </c>
      <c r="CA159" s="2010">
        <f t="shared" si="246"/>
        <v>0</v>
      </c>
      <c r="CB159" s="2092">
        <f t="shared" si="247"/>
        <v>0</v>
      </c>
      <c r="CC159" s="2091">
        <f t="shared" si="248"/>
        <v>0</v>
      </c>
      <c r="CD159" s="2091">
        <f t="shared" si="249"/>
        <v>0</v>
      </c>
      <c r="CF159" s="1207"/>
      <c r="CG159" s="1211"/>
      <c r="CH159" s="1208"/>
      <c r="CI159" s="1213"/>
      <c r="CJ159" s="1213"/>
      <c r="CK159" s="1213"/>
      <c r="CL159" s="1213"/>
      <c r="CM159" s="1213"/>
      <c r="CN159" s="1213"/>
      <c r="CO159" s="1213"/>
      <c r="CP159" s="1213"/>
      <c r="CQ159" s="1213"/>
      <c r="CR159" s="1213"/>
      <c r="CS159" s="1273"/>
      <c r="CT159" s="1225"/>
      <c r="CU159" s="1225"/>
      <c r="CW159" s="1207"/>
      <c r="CX159" s="1211"/>
      <c r="CY159" s="1208"/>
      <c r="CZ159" s="1213"/>
      <c r="DA159" s="1213"/>
      <c r="DB159" s="1213"/>
      <c r="DC159" s="1213"/>
      <c r="DD159" s="1213"/>
      <c r="DE159" s="1213"/>
      <c r="DF159" s="1213"/>
      <c r="DG159" s="1213"/>
      <c r="DH159" s="1213"/>
      <c r="DI159" s="1213"/>
      <c r="DJ159" s="1273"/>
      <c r="DK159" s="1225"/>
      <c r="DL159" s="1225"/>
      <c r="DN159" s="1207" t="s">
        <v>3141</v>
      </c>
      <c r="DO159" s="1211" t="s">
        <v>3140</v>
      </c>
      <c r="DP159" s="1208"/>
      <c r="DQ159" s="1213"/>
      <c r="DR159" s="1213"/>
      <c r="DS159" s="1213"/>
      <c r="DT159" s="1213"/>
      <c r="DU159" s="1213"/>
      <c r="DV159" s="1213"/>
      <c r="DW159" s="1213"/>
      <c r="DX159" s="1213"/>
      <c r="DY159" s="1213"/>
      <c r="DZ159" s="1213"/>
      <c r="EA159" s="1273"/>
      <c r="EB159" s="1225"/>
      <c r="EC159" s="1225"/>
      <c r="ED159" s="1463"/>
      <c r="EF159" s="1207" t="s">
        <v>2787</v>
      </c>
      <c r="EG159" s="1211" t="s">
        <v>2798</v>
      </c>
      <c r="EH159" s="1208" t="s">
        <v>2800</v>
      </c>
      <c r="EI159" s="1678">
        <v>0.25</v>
      </c>
      <c r="EJ159" s="1678">
        <v>0.25</v>
      </c>
      <c r="EK159" s="1678">
        <v>0.25</v>
      </c>
      <c r="EL159" s="1678">
        <v>0.25</v>
      </c>
      <c r="EM159" s="1678">
        <v>0.25</v>
      </c>
      <c r="EN159" s="1678">
        <v>0.25</v>
      </c>
      <c r="EO159" s="1678">
        <v>0.25</v>
      </c>
      <c r="EP159" s="1678">
        <v>0.25</v>
      </c>
      <c r="EQ159" s="1678">
        <v>0.25</v>
      </c>
      <c r="ER159" s="1678">
        <v>0.25</v>
      </c>
      <c r="ES159" s="1714">
        <f t="shared" si="269"/>
        <v>0</v>
      </c>
      <c r="ET159" s="1695">
        <f t="shared" si="270"/>
        <v>0</v>
      </c>
      <c r="EU159" s="1695">
        <f t="shared" si="271"/>
        <v>0</v>
      </c>
      <c r="EW159" s="1207" t="s">
        <v>2787</v>
      </c>
      <c r="EX159" s="1211" t="s">
        <v>2798</v>
      </c>
      <c r="EY159" s="1208"/>
      <c r="EZ159" s="1678">
        <f t="shared" si="272"/>
        <v>0</v>
      </c>
      <c r="FA159" s="1678"/>
      <c r="FB159" s="1678"/>
      <c r="FC159" s="1678"/>
      <c r="FD159" s="1678"/>
      <c r="FE159" s="1678"/>
      <c r="FF159" s="1678"/>
      <c r="FG159" s="1678"/>
      <c r="FH159" s="1678"/>
      <c r="FI159" s="1678"/>
      <c r="FJ159" s="1812"/>
      <c r="FK159" s="1798"/>
      <c r="FL159" s="1798"/>
    </row>
    <row r="160" spans="2:168" hidden="1">
      <c r="B160" s="2023" t="s">
        <v>2788</v>
      </c>
      <c r="C160" s="829">
        <f t="shared" si="230"/>
        <v>0</v>
      </c>
      <c r="D160" s="2100" t="e">
        <f t="shared" si="273"/>
        <v>#REF!</v>
      </c>
      <c r="E160" s="2100" t="e">
        <f t="shared" si="273"/>
        <v>#REF!</v>
      </c>
      <c r="G160" s="2021" t="e">
        <f t="shared" si="231"/>
        <v>#REF!</v>
      </c>
      <c r="H160" s="2021" t="e">
        <f t="shared" si="232"/>
        <v>#REF!</v>
      </c>
      <c r="I160" s="2021"/>
      <c r="J160" s="2021"/>
      <c r="K160" s="2021" t="e">
        <f>IF(#REF!=0,0,1)</f>
        <v>#REF!</v>
      </c>
      <c r="L160" s="2021" t="e">
        <f>IF(#REF!=0,0,1)</f>
        <v>#REF!</v>
      </c>
      <c r="M160" s="2021">
        <f t="shared" si="233"/>
        <v>0</v>
      </c>
      <c r="N160" s="2021">
        <f t="shared" si="268"/>
        <v>0</v>
      </c>
      <c r="P160" s="2123"/>
      <c r="Q160" s="2122"/>
      <c r="R160" s="2121">
        <v>2</v>
      </c>
      <c r="S160" s="2118" t="s">
        <v>2801</v>
      </c>
      <c r="T160" s="2117"/>
      <c r="U160" s="2017"/>
      <c r="V160" s="2038">
        <f t="shared" si="263"/>
        <v>0</v>
      </c>
      <c r="W160" s="2037">
        <f t="shared" si="264"/>
        <v>0</v>
      </c>
      <c r="Y160" s="1">
        <f t="shared" si="250"/>
        <v>0</v>
      </c>
      <c r="Z160" s="1">
        <f t="shared" si="251"/>
        <v>0</v>
      </c>
      <c r="AA160" s="1">
        <f t="shared" si="252"/>
        <v>0</v>
      </c>
      <c r="AB160" s="1">
        <f t="shared" si="253"/>
        <v>0</v>
      </c>
      <c r="AC160" s="1">
        <f t="shared" si="254"/>
        <v>0</v>
      </c>
      <c r="AD160" s="1">
        <f t="shared" si="255"/>
        <v>0</v>
      </c>
      <c r="AE160" s="1">
        <f t="shared" si="256"/>
        <v>0</v>
      </c>
      <c r="AF160" s="1">
        <f t="shared" si="257"/>
        <v>0</v>
      </c>
      <c r="AG160" s="1">
        <f t="shared" si="258"/>
        <v>0</v>
      </c>
      <c r="AH160" s="1">
        <f t="shared" si="259"/>
        <v>0</v>
      </c>
      <c r="AI160" s="1">
        <f t="shared" si="260"/>
        <v>0</v>
      </c>
      <c r="AJ160" s="1">
        <f t="shared" si="261"/>
        <v>0</v>
      </c>
      <c r="AK160" s="1">
        <f t="shared" si="262"/>
        <v>0</v>
      </c>
      <c r="AM160" s="2063"/>
      <c r="AN160" s="2063"/>
      <c r="AO160" s="2063"/>
      <c r="AP160" s="2063"/>
      <c r="AQ160" s="2063"/>
      <c r="AR160" s="2063"/>
      <c r="AS160" s="2063"/>
      <c r="AT160" s="2063"/>
      <c r="AU160" s="2063"/>
      <c r="AV160" s="2063"/>
      <c r="AW160" s="2063"/>
      <c r="AX160" s="2063"/>
      <c r="AY160" s="2063"/>
      <c r="BA160" s="2014"/>
      <c r="BB160" s="2014" t="e">
        <f t="shared" si="228"/>
        <v>#REF!</v>
      </c>
      <c r="BC160" s="2014"/>
      <c r="BD160" s="2013" t="e">
        <f>BR160*#REF!</f>
        <v>#REF!</v>
      </c>
      <c r="BE160" s="2013" t="e">
        <f>BS160*#REF!</f>
        <v>#REF!</v>
      </c>
      <c r="BF160" s="2013" t="e">
        <f>BT160*#REF!</f>
        <v>#REF!</v>
      </c>
      <c r="BG160" s="2013" t="e">
        <f>BU160*#REF!</f>
        <v>#REF!</v>
      </c>
      <c r="BH160" s="2094" t="e">
        <f>BV160*#REF!</f>
        <v>#REF!</v>
      </c>
      <c r="BI160" s="2013" t="e">
        <f>BW160*#REF!</f>
        <v>#REF!</v>
      </c>
      <c r="BJ160" s="2013" t="e">
        <f>BX160*#REF!</f>
        <v>#REF!</v>
      </c>
      <c r="BK160" s="2013" t="e">
        <f>BY160*#REF!</f>
        <v>#REF!</v>
      </c>
      <c r="BL160" s="2013" t="e">
        <f>BZ160*#REF!</f>
        <v>#REF!</v>
      </c>
      <c r="BM160" s="2013" t="e">
        <f>CA160*#REF!</f>
        <v>#REF!</v>
      </c>
      <c r="BO160" s="2040" t="str">
        <f t="shared" si="234"/>
        <v>2.6.2</v>
      </c>
      <c r="BP160" s="2040" t="str">
        <f t="shared" si="235"/>
        <v>LR2 2.2</v>
      </c>
      <c r="BQ160" s="829">
        <f t="shared" si="236"/>
        <v>0</v>
      </c>
      <c r="BR160" s="2010">
        <f t="shared" si="237"/>
        <v>0</v>
      </c>
      <c r="BS160" s="2010">
        <f t="shared" si="238"/>
        <v>0</v>
      </c>
      <c r="BT160" s="2010">
        <f t="shared" si="239"/>
        <v>0</v>
      </c>
      <c r="BU160" s="2010">
        <f t="shared" si="240"/>
        <v>0</v>
      </c>
      <c r="BV160" s="2093">
        <f t="shared" si="241"/>
        <v>0</v>
      </c>
      <c r="BW160" s="2010">
        <f t="shared" si="242"/>
        <v>0</v>
      </c>
      <c r="BX160" s="2010">
        <f t="shared" si="243"/>
        <v>0</v>
      </c>
      <c r="BY160" s="2010">
        <f t="shared" si="244"/>
        <v>0</v>
      </c>
      <c r="BZ160" s="2010">
        <f t="shared" si="245"/>
        <v>0</v>
      </c>
      <c r="CA160" s="2010">
        <f t="shared" si="246"/>
        <v>0</v>
      </c>
      <c r="CB160" s="2092">
        <f t="shared" si="247"/>
        <v>0</v>
      </c>
      <c r="CC160" s="2091">
        <f t="shared" si="248"/>
        <v>0</v>
      </c>
      <c r="CD160" s="2091">
        <f t="shared" si="249"/>
        <v>0</v>
      </c>
      <c r="CF160" s="1207"/>
      <c r="CG160" s="1211"/>
      <c r="CH160" s="1208"/>
      <c r="CI160" s="1213"/>
      <c r="CJ160" s="1213"/>
      <c r="CK160" s="1213"/>
      <c r="CL160" s="1213"/>
      <c r="CM160" s="1213"/>
      <c r="CN160" s="1213"/>
      <c r="CO160" s="1213"/>
      <c r="CP160" s="1213"/>
      <c r="CQ160" s="1213"/>
      <c r="CR160" s="1213"/>
      <c r="CS160" s="1273"/>
      <c r="CT160" s="1225"/>
      <c r="CU160" s="1225"/>
      <c r="CW160" s="1207"/>
      <c r="CX160" s="1211"/>
      <c r="CY160" s="1208"/>
      <c r="CZ160" s="1213"/>
      <c r="DA160" s="1213"/>
      <c r="DB160" s="1213"/>
      <c r="DC160" s="1213"/>
      <c r="DD160" s="1213"/>
      <c r="DE160" s="1213"/>
      <c r="DF160" s="1213"/>
      <c r="DG160" s="1213"/>
      <c r="DH160" s="1213"/>
      <c r="DI160" s="1213"/>
      <c r="DJ160" s="1273"/>
      <c r="DK160" s="1225"/>
      <c r="DL160" s="1225"/>
      <c r="DN160" s="1207" t="s">
        <v>2788</v>
      </c>
      <c r="DO160" s="1211" t="s">
        <v>2798</v>
      </c>
      <c r="DP160" s="1208"/>
      <c r="DQ160" s="1213"/>
      <c r="DR160" s="1213"/>
      <c r="DS160" s="1213"/>
      <c r="DT160" s="1213"/>
      <c r="DU160" s="1213"/>
      <c r="DV160" s="1213"/>
      <c r="DW160" s="1213"/>
      <c r="DX160" s="1213"/>
      <c r="DY160" s="1213"/>
      <c r="DZ160" s="1213"/>
      <c r="EA160" s="1273"/>
      <c r="EB160" s="1225"/>
      <c r="EC160" s="1225"/>
      <c r="ED160" s="1463"/>
      <c r="EF160" s="1207" t="s">
        <v>2788</v>
      </c>
      <c r="EG160" s="1211" t="s">
        <v>2798</v>
      </c>
      <c r="EH160" s="1208" t="s">
        <v>2802</v>
      </c>
      <c r="EI160" s="1678">
        <v>0.15</v>
      </c>
      <c r="EJ160" s="1678">
        <v>0.15</v>
      </c>
      <c r="EK160" s="1678">
        <v>0.15</v>
      </c>
      <c r="EL160" s="1678">
        <v>0.15</v>
      </c>
      <c r="EM160" s="1678">
        <v>0.15</v>
      </c>
      <c r="EN160" s="1678">
        <v>0.15</v>
      </c>
      <c r="EO160" s="1678">
        <v>0.15</v>
      </c>
      <c r="EP160" s="1678">
        <v>0.15</v>
      </c>
      <c r="EQ160" s="1678">
        <v>0.15</v>
      </c>
      <c r="ER160" s="1678">
        <v>0.15</v>
      </c>
      <c r="ES160" s="1714">
        <f t="shared" si="269"/>
        <v>0</v>
      </c>
      <c r="ET160" s="1695">
        <f t="shared" si="270"/>
        <v>0</v>
      </c>
      <c r="EU160" s="1695">
        <f t="shared" si="271"/>
        <v>0</v>
      </c>
      <c r="EW160" s="1207" t="s">
        <v>2788</v>
      </c>
      <c r="EX160" s="1211" t="s">
        <v>2798</v>
      </c>
      <c r="EY160" s="1208"/>
      <c r="EZ160" s="1678">
        <f t="shared" si="272"/>
        <v>0</v>
      </c>
      <c r="FA160" s="1678"/>
      <c r="FB160" s="1678"/>
      <c r="FC160" s="1678"/>
      <c r="FD160" s="1678"/>
      <c r="FE160" s="1678"/>
      <c r="FF160" s="1678"/>
      <c r="FG160" s="1678"/>
      <c r="FH160" s="1678"/>
      <c r="FI160" s="1678"/>
      <c r="FJ160" s="1812"/>
      <c r="FK160" s="1798"/>
      <c r="FL160" s="1798"/>
    </row>
    <row r="161" spans="2:168" hidden="1">
      <c r="B161" s="2023" t="s">
        <v>2789</v>
      </c>
      <c r="C161" s="829">
        <f t="shared" si="230"/>
        <v>0</v>
      </c>
      <c r="D161" s="2100" t="e">
        <f t="shared" si="273"/>
        <v>#REF!</v>
      </c>
      <c r="E161" s="2100" t="e">
        <f t="shared" si="273"/>
        <v>#REF!</v>
      </c>
      <c r="G161" s="2021" t="e">
        <f t="shared" si="231"/>
        <v>#REF!</v>
      </c>
      <c r="H161" s="2021" t="e">
        <f t="shared" si="232"/>
        <v>#REF!</v>
      </c>
      <c r="I161" s="2021"/>
      <c r="J161" s="2021"/>
      <c r="K161" s="2021" t="e">
        <f>IF(#REF!=0,0,1)</f>
        <v>#REF!</v>
      </c>
      <c r="L161" s="2021" t="e">
        <f>IF(#REF!=0,0,1)</f>
        <v>#REF!</v>
      </c>
      <c r="M161" s="2021">
        <f t="shared" si="233"/>
        <v>0</v>
      </c>
      <c r="N161" s="2021">
        <f t="shared" si="268"/>
        <v>0</v>
      </c>
      <c r="P161" s="2102"/>
      <c r="Q161" s="2122"/>
      <c r="R161" s="2121">
        <v>3</v>
      </c>
      <c r="S161" s="2118" t="s">
        <v>2803</v>
      </c>
      <c r="T161" s="2117"/>
      <c r="U161" s="2017"/>
      <c r="V161" s="2038">
        <f t="shared" si="263"/>
        <v>0</v>
      </c>
      <c r="W161" s="2037">
        <f t="shared" si="264"/>
        <v>0</v>
      </c>
      <c r="Y161" s="1">
        <f t="shared" si="250"/>
        <v>0</v>
      </c>
      <c r="Z161" s="1">
        <f t="shared" si="251"/>
        <v>0</v>
      </c>
      <c r="AA161" s="1">
        <f t="shared" si="252"/>
        <v>0</v>
      </c>
      <c r="AB161" s="1">
        <f t="shared" si="253"/>
        <v>0</v>
      </c>
      <c r="AC161" s="1">
        <f t="shared" si="254"/>
        <v>0</v>
      </c>
      <c r="AD161" s="1">
        <f t="shared" si="255"/>
        <v>0</v>
      </c>
      <c r="AE161" s="1">
        <f t="shared" si="256"/>
        <v>0</v>
      </c>
      <c r="AF161" s="1">
        <f t="shared" si="257"/>
        <v>0</v>
      </c>
      <c r="AG161" s="1">
        <f t="shared" si="258"/>
        <v>0</v>
      </c>
      <c r="AH161" s="1">
        <f t="shared" si="259"/>
        <v>0</v>
      </c>
      <c r="AI161" s="1">
        <f t="shared" si="260"/>
        <v>0</v>
      </c>
      <c r="AJ161" s="1">
        <f t="shared" si="261"/>
        <v>0</v>
      </c>
      <c r="AK161" s="1">
        <f t="shared" si="262"/>
        <v>0</v>
      </c>
      <c r="AM161" s="2063"/>
      <c r="AN161" s="2063"/>
      <c r="AO161" s="2063"/>
      <c r="AP161" s="2063"/>
      <c r="AQ161" s="2063"/>
      <c r="AR161" s="2063"/>
      <c r="AS161" s="2063"/>
      <c r="AT161" s="2063"/>
      <c r="AU161" s="2063"/>
      <c r="AV161" s="2063"/>
      <c r="AW161" s="2063"/>
      <c r="AX161" s="2063"/>
      <c r="AY161" s="2063"/>
      <c r="BA161" s="2014"/>
      <c r="BB161" s="2014" t="e">
        <f t="shared" si="228"/>
        <v>#REF!</v>
      </c>
      <c r="BC161" s="2014"/>
      <c r="BD161" s="2013" t="e">
        <f>BR161*#REF!</f>
        <v>#REF!</v>
      </c>
      <c r="BE161" s="2013" t="e">
        <f>BS161*#REF!</f>
        <v>#REF!</v>
      </c>
      <c r="BF161" s="2013" t="e">
        <f>BT161*#REF!</f>
        <v>#REF!</v>
      </c>
      <c r="BG161" s="2013" t="e">
        <f>BU161*#REF!</f>
        <v>#REF!</v>
      </c>
      <c r="BH161" s="2094" t="e">
        <f>BV161*#REF!</f>
        <v>#REF!</v>
      </c>
      <c r="BI161" s="2013" t="e">
        <f>BW161*#REF!</f>
        <v>#REF!</v>
      </c>
      <c r="BJ161" s="2013" t="e">
        <f>BX161*#REF!</f>
        <v>#REF!</v>
      </c>
      <c r="BK161" s="2013" t="e">
        <f>BY161*#REF!</f>
        <v>#REF!</v>
      </c>
      <c r="BL161" s="2013" t="e">
        <f>BZ161*#REF!</f>
        <v>#REF!</v>
      </c>
      <c r="BM161" s="2013" t="e">
        <f>CA161*#REF!</f>
        <v>#REF!</v>
      </c>
      <c r="BO161" s="2040" t="str">
        <f t="shared" si="234"/>
        <v>2.6.3</v>
      </c>
      <c r="BP161" s="2040" t="str">
        <f t="shared" si="235"/>
        <v>LR2 2.2</v>
      </c>
      <c r="BQ161" s="829">
        <f t="shared" si="236"/>
        <v>0</v>
      </c>
      <c r="BR161" s="2010">
        <f t="shared" si="237"/>
        <v>0</v>
      </c>
      <c r="BS161" s="2010">
        <f t="shared" si="238"/>
        <v>0</v>
      </c>
      <c r="BT161" s="2010">
        <f t="shared" si="239"/>
        <v>0</v>
      </c>
      <c r="BU161" s="2010">
        <f t="shared" si="240"/>
        <v>0</v>
      </c>
      <c r="BV161" s="2093">
        <f t="shared" si="241"/>
        <v>0</v>
      </c>
      <c r="BW161" s="2010">
        <f t="shared" si="242"/>
        <v>0</v>
      </c>
      <c r="BX161" s="2010">
        <f t="shared" si="243"/>
        <v>0</v>
      </c>
      <c r="BY161" s="2010">
        <f t="shared" si="244"/>
        <v>0</v>
      </c>
      <c r="BZ161" s="2010">
        <f t="shared" si="245"/>
        <v>0</v>
      </c>
      <c r="CA161" s="2010">
        <f t="shared" si="246"/>
        <v>0</v>
      </c>
      <c r="CB161" s="2092">
        <f t="shared" si="247"/>
        <v>0</v>
      </c>
      <c r="CC161" s="2091">
        <f t="shared" si="248"/>
        <v>0</v>
      </c>
      <c r="CD161" s="2091">
        <f t="shared" si="249"/>
        <v>0</v>
      </c>
      <c r="CF161" s="1207"/>
      <c r="CG161" s="1211"/>
      <c r="CH161" s="1208"/>
      <c r="CI161" s="1213"/>
      <c r="CJ161" s="1213"/>
      <c r="CK161" s="1213"/>
      <c r="CL161" s="1213"/>
      <c r="CM161" s="1213"/>
      <c r="CN161" s="1213"/>
      <c r="CO161" s="1213"/>
      <c r="CP161" s="1213"/>
      <c r="CQ161" s="1213"/>
      <c r="CR161" s="1213"/>
      <c r="CS161" s="1273"/>
      <c r="CT161" s="1225"/>
      <c r="CU161" s="1225"/>
      <c r="CW161" s="1207"/>
      <c r="CX161" s="1211"/>
      <c r="CY161" s="1208"/>
      <c r="CZ161" s="1213"/>
      <c r="DA161" s="1213"/>
      <c r="DB161" s="1213"/>
      <c r="DC161" s="1213"/>
      <c r="DD161" s="1213"/>
      <c r="DE161" s="1213"/>
      <c r="DF161" s="1213"/>
      <c r="DG161" s="1213"/>
      <c r="DH161" s="1213"/>
      <c r="DI161" s="1213"/>
      <c r="DJ161" s="1273"/>
      <c r="DK161" s="1225"/>
      <c r="DL161" s="1225"/>
      <c r="DN161" s="1207" t="s">
        <v>2789</v>
      </c>
      <c r="DO161" s="1211" t="s">
        <v>2798</v>
      </c>
      <c r="DP161" s="1208"/>
      <c r="DQ161" s="1213"/>
      <c r="DR161" s="1213"/>
      <c r="DS161" s="1213"/>
      <c r="DT161" s="1213"/>
      <c r="DU161" s="1213"/>
      <c r="DV161" s="1213"/>
      <c r="DW161" s="1213"/>
      <c r="DX161" s="1213"/>
      <c r="DY161" s="1213"/>
      <c r="DZ161" s="1213"/>
      <c r="EA161" s="1273"/>
      <c r="EB161" s="1225"/>
      <c r="EC161" s="1225"/>
      <c r="ED161" s="1463"/>
      <c r="EF161" s="1207" t="s">
        <v>2789</v>
      </c>
      <c r="EG161" s="1211" t="s">
        <v>2798</v>
      </c>
      <c r="EH161" s="1208" t="s">
        <v>2804</v>
      </c>
      <c r="EI161" s="1678">
        <v>0.15</v>
      </c>
      <c r="EJ161" s="1678">
        <v>0.15</v>
      </c>
      <c r="EK161" s="1678">
        <v>0.15</v>
      </c>
      <c r="EL161" s="1678">
        <v>0.15</v>
      </c>
      <c r="EM161" s="1678">
        <v>0.15</v>
      </c>
      <c r="EN161" s="1678">
        <v>0.15</v>
      </c>
      <c r="EO161" s="1678">
        <v>0.15</v>
      </c>
      <c r="EP161" s="1678">
        <v>0.15</v>
      </c>
      <c r="EQ161" s="1678">
        <v>0.15</v>
      </c>
      <c r="ER161" s="1678">
        <v>0.15</v>
      </c>
      <c r="ES161" s="1714">
        <f t="shared" si="269"/>
        <v>0</v>
      </c>
      <c r="ET161" s="1695">
        <f t="shared" si="270"/>
        <v>0</v>
      </c>
      <c r="EU161" s="1695">
        <f t="shared" si="271"/>
        <v>0</v>
      </c>
      <c r="EW161" s="1207" t="s">
        <v>2789</v>
      </c>
      <c r="EX161" s="1211" t="s">
        <v>2798</v>
      </c>
      <c r="EY161" s="1208"/>
      <c r="EZ161" s="1678">
        <f t="shared" si="272"/>
        <v>0</v>
      </c>
      <c r="FA161" s="1678"/>
      <c r="FB161" s="1678"/>
      <c r="FC161" s="1678"/>
      <c r="FD161" s="1678"/>
      <c r="FE161" s="1678"/>
      <c r="FF161" s="1678"/>
      <c r="FG161" s="1678"/>
      <c r="FH161" s="1678"/>
      <c r="FI161" s="1678"/>
      <c r="FJ161" s="1812"/>
      <c r="FK161" s="1798"/>
      <c r="FL161" s="1798"/>
    </row>
    <row r="162" spans="2:168" hidden="1">
      <c r="B162" s="2023" t="s">
        <v>2790</v>
      </c>
      <c r="C162" s="829">
        <f t="shared" si="230"/>
        <v>0</v>
      </c>
      <c r="D162" s="2100" t="e">
        <f t="shared" si="273"/>
        <v>#REF!</v>
      </c>
      <c r="E162" s="2100" t="e">
        <f t="shared" si="273"/>
        <v>#REF!</v>
      </c>
      <c r="G162" s="2021" t="e">
        <f t="shared" si="231"/>
        <v>#REF!</v>
      </c>
      <c r="H162" s="2021" t="e">
        <f t="shared" si="232"/>
        <v>#REF!</v>
      </c>
      <c r="I162" s="2021"/>
      <c r="J162" s="2021"/>
      <c r="K162" s="2021" t="e">
        <f>IF(#REF!=0,0,1)</f>
        <v>#REF!</v>
      </c>
      <c r="L162" s="2021" t="e">
        <f>IF(#REF!=0,0,1)</f>
        <v>#REF!</v>
      </c>
      <c r="M162" s="2021">
        <f t="shared" si="233"/>
        <v>0</v>
      </c>
      <c r="N162" s="2021">
        <f t="shared" si="268"/>
        <v>0</v>
      </c>
      <c r="P162" s="2102"/>
      <c r="Q162" s="2122"/>
      <c r="R162" s="2121">
        <v>4</v>
      </c>
      <c r="S162" s="2118" t="s">
        <v>2805</v>
      </c>
      <c r="T162" s="2117"/>
      <c r="U162" s="2017"/>
      <c r="V162" s="2038">
        <f t="shared" si="263"/>
        <v>0</v>
      </c>
      <c r="W162" s="2037">
        <f t="shared" si="264"/>
        <v>0</v>
      </c>
      <c r="Y162" s="1">
        <f t="shared" si="250"/>
        <v>0</v>
      </c>
      <c r="Z162" s="1">
        <f t="shared" si="251"/>
        <v>0</v>
      </c>
      <c r="AA162" s="1">
        <f t="shared" si="252"/>
        <v>0</v>
      </c>
      <c r="AB162" s="1">
        <f t="shared" si="253"/>
        <v>0</v>
      </c>
      <c r="AC162" s="1">
        <f t="shared" si="254"/>
        <v>0</v>
      </c>
      <c r="AD162" s="1">
        <f t="shared" si="255"/>
        <v>0</v>
      </c>
      <c r="AE162" s="1">
        <f t="shared" si="256"/>
        <v>0</v>
      </c>
      <c r="AF162" s="1">
        <f t="shared" si="257"/>
        <v>0</v>
      </c>
      <c r="AG162" s="1">
        <f t="shared" si="258"/>
        <v>0</v>
      </c>
      <c r="AH162" s="1">
        <f t="shared" si="259"/>
        <v>0</v>
      </c>
      <c r="AI162" s="1">
        <f t="shared" si="260"/>
        <v>0</v>
      </c>
      <c r="AJ162" s="1">
        <f t="shared" si="261"/>
        <v>0</v>
      </c>
      <c r="AK162" s="1">
        <f t="shared" si="262"/>
        <v>0</v>
      </c>
      <c r="AM162" s="2063"/>
      <c r="AN162" s="2063"/>
      <c r="AO162" s="2063"/>
      <c r="AP162" s="2063"/>
      <c r="AQ162" s="2063"/>
      <c r="AR162" s="2063"/>
      <c r="AS162" s="2063"/>
      <c r="AT162" s="2063"/>
      <c r="AU162" s="2063"/>
      <c r="AV162" s="2063"/>
      <c r="AW162" s="2063"/>
      <c r="AX162" s="2063"/>
      <c r="AY162" s="2063"/>
      <c r="BA162" s="2014"/>
      <c r="BB162" s="2014" t="e">
        <f t="shared" si="228"/>
        <v>#REF!</v>
      </c>
      <c r="BC162" s="2014"/>
      <c r="BD162" s="2013" t="e">
        <f>BR162*#REF!</f>
        <v>#REF!</v>
      </c>
      <c r="BE162" s="2013" t="e">
        <f>BS162*#REF!</f>
        <v>#REF!</v>
      </c>
      <c r="BF162" s="2013" t="e">
        <f>BT162*#REF!</f>
        <v>#REF!</v>
      </c>
      <c r="BG162" s="2013" t="e">
        <f>BU162*#REF!</f>
        <v>#REF!</v>
      </c>
      <c r="BH162" s="2094" t="e">
        <f>BV162*#REF!</f>
        <v>#REF!</v>
      </c>
      <c r="BI162" s="2013" t="e">
        <f>BW162*#REF!</f>
        <v>#REF!</v>
      </c>
      <c r="BJ162" s="2013" t="e">
        <f>BX162*#REF!</f>
        <v>#REF!</v>
      </c>
      <c r="BK162" s="2013" t="e">
        <f>BY162*#REF!</f>
        <v>#REF!</v>
      </c>
      <c r="BL162" s="2013" t="e">
        <f>BZ162*#REF!</f>
        <v>#REF!</v>
      </c>
      <c r="BM162" s="2013" t="e">
        <f>CA162*#REF!</f>
        <v>#REF!</v>
      </c>
      <c r="BO162" s="2040" t="str">
        <f t="shared" si="234"/>
        <v>2.6.4</v>
      </c>
      <c r="BP162" s="2040" t="str">
        <f t="shared" si="235"/>
        <v>LR2 2.2</v>
      </c>
      <c r="BQ162" s="829">
        <f t="shared" si="236"/>
        <v>0</v>
      </c>
      <c r="BR162" s="2010">
        <f t="shared" si="237"/>
        <v>0</v>
      </c>
      <c r="BS162" s="2010">
        <f t="shared" si="238"/>
        <v>0</v>
      </c>
      <c r="BT162" s="2010">
        <f t="shared" si="239"/>
        <v>0</v>
      </c>
      <c r="BU162" s="2010">
        <f t="shared" si="240"/>
        <v>0</v>
      </c>
      <c r="BV162" s="2093">
        <f t="shared" si="241"/>
        <v>0</v>
      </c>
      <c r="BW162" s="2010">
        <f t="shared" si="242"/>
        <v>0</v>
      </c>
      <c r="BX162" s="2010">
        <f t="shared" si="243"/>
        <v>0</v>
      </c>
      <c r="BY162" s="2010">
        <f t="shared" si="244"/>
        <v>0</v>
      </c>
      <c r="BZ162" s="2010">
        <f t="shared" si="245"/>
        <v>0</v>
      </c>
      <c r="CA162" s="2010">
        <f t="shared" si="246"/>
        <v>0</v>
      </c>
      <c r="CB162" s="2092">
        <f t="shared" si="247"/>
        <v>0</v>
      </c>
      <c r="CC162" s="2091">
        <f t="shared" si="248"/>
        <v>0</v>
      </c>
      <c r="CD162" s="2091">
        <f t="shared" si="249"/>
        <v>0</v>
      </c>
      <c r="CF162" s="1207"/>
      <c r="CG162" s="1211"/>
      <c r="CH162" s="1208"/>
      <c r="CI162" s="1213"/>
      <c r="CJ162" s="1213"/>
      <c r="CK162" s="1213"/>
      <c r="CL162" s="1213"/>
      <c r="CM162" s="1213"/>
      <c r="CN162" s="1213"/>
      <c r="CO162" s="1213"/>
      <c r="CP162" s="1213"/>
      <c r="CQ162" s="1213"/>
      <c r="CR162" s="1213"/>
      <c r="CS162" s="1273"/>
      <c r="CT162" s="1225"/>
      <c r="CU162" s="1225"/>
      <c r="CW162" s="1207"/>
      <c r="CX162" s="1211"/>
      <c r="CY162" s="1208"/>
      <c r="CZ162" s="1213"/>
      <c r="DA162" s="1213"/>
      <c r="DB162" s="1213"/>
      <c r="DC162" s="1213"/>
      <c r="DD162" s="1213"/>
      <c r="DE162" s="1213"/>
      <c r="DF162" s="1213"/>
      <c r="DG162" s="1213"/>
      <c r="DH162" s="1213"/>
      <c r="DI162" s="1213"/>
      <c r="DJ162" s="1273"/>
      <c r="DK162" s="1225"/>
      <c r="DL162" s="1225"/>
      <c r="DN162" s="1207" t="s">
        <v>2790</v>
      </c>
      <c r="DO162" s="1211" t="s">
        <v>2798</v>
      </c>
      <c r="DP162" s="1208"/>
      <c r="DQ162" s="1213"/>
      <c r="DR162" s="1213"/>
      <c r="DS162" s="1213"/>
      <c r="DT162" s="1213"/>
      <c r="DU162" s="1213"/>
      <c r="DV162" s="1213"/>
      <c r="DW162" s="1213"/>
      <c r="DX162" s="1213"/>
      <c r="DY162" s="1213"/>
      <c r="DZ162" s="1213"/>
      <c r="EA162" s="1273"/>
      <c r="EB162" s="1225"/>
      <c r="EC162" s="1225"/>
      <c r="ED162" s="1463"/>
      <c r="EF162" s="1207" t="s">
        <v>2790</v>
      </c>
      <c r="EG162" s="1211" t="s">
        <v>2798</v>
      </c>
      <c r="EH162" s="1208" t="s">
        <v>2806</v>
      </c>
      <c r="EI162" s="1678">
        <v>0.15</v>
      </c>
      <c r="EJ162" s="1678">
        <v>0.15</v>
      </c>
      <c r="EK162" s="1678">
        <v>0.15</v>
      </c>
      <c r="EL162" s="1678">
        <v>0.15</v>
      </c>
      <c r="EM162" s="1678">
        <v>0.15</v>
      </c>
      <c r="EN162" s="1678">
        <v>0.15</v>
      </c>
      <c r="EO162" s="1678">
        <v>0.15</v>
      </c>
      <c r="EP162" s="1678">
        <v>0.15</v>
      </c>
      <c r="EQ162" s="1678">
        <v>0.15</v>
      </c>
      <c r="ER162" s="1678">
        <v>0.15</v>
      </c>
      <c r="ES162" s="1714">
        <f t="shared" si="269"/>
        <v>0</v>
      </c>
      <c r="ET162" s="1695">
        <f t="shared" si="270"/>
        <v>0</v>
      </c>
      <c r="EU162" s="1695">
        <f t="shared" si="271"/>
        <v>0</v>
      </c>
      <c r="EW162" s="1207" t="s">
        <v>2790</v>
      </c>
      <c r="EX162" s="1211" t="s">
        <v>2798</v>
      </c>
      <c r="EY162" s="1208"/>
      <c r="EZ162" s="1678">
        <f t="shared" si="272"/>
        <v>0</v>
      </c>
      <c r="FA162" s="1678"/>
      <c r="FB162" s="1678"/>
      <c r="FC162" s="1678"/>
      <c r="FD162" s="1678"/>
      <c r="FE162" s="1678"/>
      <c r="FF162" s="1678"/>
      <c r="FG162" s="1678"/>
      <c r="FH162" s="1678"/>
      <c r="FI162" s="1678"/>
      <c r="FJ162" s="1812"/>
      <c r="FK162" s="1798"/>
      <c r="FL162" s="1798"/>
    </row>
    <row r="163" spans="2:168" hidden="1">
      <c r="B163" s="2023" t="s">
        <v>2791</v>
      </c>
      <c r="C163" s="829">
        <f t="shared" si="230"/>
        <v>0</v>
      </c>
      <c r="D163" s="2100" t="e">
        <f t="shared" si="273"/>
        <v>#REF!</v>
      </c>
      <c r="E163" s="2100" t="e">
        <f t="shared" si="273"/>
        <v>#REF!</v>
      </c>
      <c r="G163" s="2021" t="e">
        <f t="shared" si="231"/>
        <v>#REF!</v>
      </c>
      <c r="H163" s="2021" t="e">
        <f t="shared" si="232"/>
        <v>#REF!</v>
      </c>
      <c r="I163" s="2021"/>
      <c r="J163" s="2021"/>
      <c r="K163" s="2021" t="e">
        <f>IF(#REF!=0,0,1)</f>
        <v>#REF!</v>
      </c>
      <c r="L163" s="2021" t="e">
        <f>IF(#REF!=0,0,1)</f>
        <v>#REF!</v>
      </c>
      <c r="M163" s="2021">
        <f t="shared" si="233"/>
        <v>0</v>
      </c>
      <c r="N163" s="2021">
        <f t="shared" si="268"/>
        <v>0</v>
      </c>
      <c r="P163" s="2102"/>
      <c r="Q163" s="2122"/>
      <c r="R163" s="2121">
        <v>5</v>
      </c>
      <c r="S163" s="2118" t="s">
        <v>2807</v>
      </c>
      <c r="T163" s="2117"/>
      <c r="U163" s="2017"/>
      <c r="V163" s="2038">
        <f t="shared" si="263"/>
        <v>0</v>
      </c>
      <c r="W163" s="2037">
        <f t="shared" si="264"/>
        <v>0</v>
      </c>
      <c r="Y163" s="1">
        <f t="shared" si="250"/>
        <v>0</v>
      </c>
      <c r="Z163" s="1">
        <f t="shared" si="251"/>
        <v>0</v>
      </c>
      <c r="AA163" s="1">
        <f t="shared" si="252"/>
        <v>0</v>
      </c>
      <c r="AB163" s="1">
        <f t="shared" si="253"/>
        <v>0</v>
      </c>
      <c r="AC163" s="1">
        <f t="shared" si="254"/>
        <v>0</v>
      </c>
      <c r="AD163" s="1">
        <f t="shared" si="255"/>
        <v>0</v>
      </c>
      <c r="AE163" s="1">
        <f t="shared" si="256"/>
        <v>0</v>
      </c>
      <c r="AF163" s="1">
        <f t="shared" si="257"/>
        <v>0</v>
      </c>
      <c r="AG163" s="1">
        <f t="shared" si="258"/>
        <v>0</v>
      </c>
      <c r="AH163" s="1">
        <f t="shared" si="259"/>
        <v>0</v>
      </c>
      <c r="AI163" s="1">
        <f t="shared" si="260"/>
        <v>0</v>
      </c>
      <c r="AJ163" s="1">
        <f t="shared" si="261"/>
        <v>0</v>
      </c>
      <c r="AK163" s="1">
        <f t="shared" si="262"/>
        <v>0</v>
      </c>
      <c r="AM163" s="2063"/>
      <c r="AN163" s="2063"/>
      <c r="AO163" s="2063"/>
      <c r="AP163" s="2063"/>
      <c r="AQ163" s="2063"/>
      <c r="AR163" s="2063"/>
      <c r="AS163" s="2063"/>
      <c r="AT163" s="2063"/>
      <c r="AU163" s="2063"/>
      <c r="AV163" s="2063"/>
      <c r="AW163" s="2063"/>
      <c r="AX163" s="2063"/>
      <c r="AY163" s="2063"/>
      <c r="BA163" s="2014"/>
      <c r="BB163" s="2014" t="e">
        <f t="shared" si="228"/>
        <v>#REF!</v>
      </c>
      <c r="BC163" s="2014"/>
      <c r="BD163" s="2013" t="e">
        <f>BR163*#REF!</f>
        <v>#REF!</v>
      </c>
      <c r="BE163" s="2013" t="e">
        <f>BS163*#REF!</f>
        <v>#REF!</v>
      </c>
      <c r="BF163" s="2013" t="e">
        <f>BT163*#REF!</f>
        <v>#REF!</v>
      </c>
      <c r="BG163" s="2013" t="e">
        <f>BU163*#REF!</f>
        <v>#REF!</v>
      </c>
      <c r="BH163" s="2094" t="e">
        <f>BV163*#REF!</f>
        <v>#REF!</v>
      </c>
      <c r="BI163" s="2013" t="e">
        <f>BW163*#REF!</f>
        <v>#REF!</v>
      </c>
      <c r="BJ163" s="2013" t="e">
        <f>BX163*#REF!</f>
        <v>#REF!</v>
      </c>
      <c r="BK163" s="2013" t="e">
        <f>BY163*#REF!</f>
        <v>#REF!</v>
      </c>
      <c r="BL163" s="2013" t="e">
        <f>BZ163*#REF!</f>
        <v>#REF!</v>
      </c>
      <c r="BM163" s="2013" t="e">
        <f>CA163*#REF!</f>
        <v>#REF!</v>
      </c>
      <c r="BO163" s="2040" t="str">
        <f t="shared" si="234"/>
        <v>2.6.5</v>
      </c>
      <c r="BP163" s="2040" t="str">
        <f t="shared" si="235"/>
        <v>LR2 2.2</v>
      </c>
      <c r="BQ163" s="829">
        <f t="shared" si="236"/>
        <v>0</v>
      </c>
      <c r="BR163" s="2010">
        <f t="shared" si="237"/>
        <v>0</v>
      </c>
      <c r="BS163" s="2010">
        <f t="shared" si="238"/>
        <v>0</v>
      </c>
      <c r="BT163" s="2010">
        <f t="shared" si="239"/>
        <v>0</v>
      </c>
      <c r="BU163" s="2010">
        <f t="shared" si="240"/>
        <v>0</v>
      </c>
      <c r="BV163" s="2093">
        <f t="shared" si="241"/>
        <v>0</v>
      </c>
      <c r="BW163" s="2010">
        <f t="shared" si="242"/>
        <v>0</v>
      </c>
      <c r="BX163" s="2010">
        <f t="shared" si="243"/>
        <v>0</v>
      </c>
      <c r="BY163" s="2010">
        <f t="shared" si="244"/>
        <v>0</v>
      </c>
      <c r="BZ163" s="2010">
        <f t="shared" si="245"/>
        <v>0</v>
      </c>
      <c r="CA163" s="2010">
        <f t="shared" si="246"/>
        <v>0</v>
      </c>
      <c r="CB163" s="2092">
        <f t="shared" si="247"/>
        <v>0</v>
      </c>
      <c r="CC163" s="2091">
        <f t="shared" si="248"/>
        <v>0</v>
      </c>
      <c r="CD163" s="2091">
        <f t="shared" si="249"/>
        <v>0</v>
      </c>
      <c r="CF163" s="1207"/>
      <c r="CG163" s="1211"/>
      <c r="CH163" s="1208"/>
      <c r="CI163" s="1213"/>
      <c r="CJ163" s="1213"/>
      <c r="CK163" s="1213"/>
      <c r="CL163" s="1213"/>
      <c r="CM163" s="1213"/>
      <c r="CN163" s="1213"/>
      <c r="CO163" s="1213"/>
      <c r="CP163" s="1213"/>
      <c r="CQ163" s="1213"/>
      <c r="CR163" s="1213"/>
      <c r="CS163" s="1273"/>
      <c r="CT163" s="1225"/>
      <c r="CU163" s="1225"/>
      <c r="CW163" s="1207"/>
      <c r="CX163" s="1211"/>
      <c r="CY163" s="1208"/>
      <c r="CZ163" s="1213"/>
      <c r="DA163" s="1213"/>
      <c r="DB163" s="1213"/>
      <c r="DC163" s="1213"/>
      <c r="DD163" s="1213"/>
      <c r="DE163" s="1213"/>
      <c r="DF163" s="1213"/>
      <c r="DG163" s="1213"/>
      <c r="DH163" s="1213"/>
      <c r="DI163" s="1213"/>
      <c r="DJ163" s="1273"/>
      <c r="DK163" s="1225"/>
      <c r="DL163" s="1225"/>
      <c r="DN163" s="1207" t="s">
        <v>2791</v>
      </c>
      <c r="DO163" s="1211" t="s">
        <v>2798</v>
      </c>
      <c r="DP163" s="1208"/>
      <c r="DQ163" s="1213"/>
      <c r="DR163" s="1213"/>
      <c r="DS163" s="1213"/>
      <c r="DT163" s="1213"/>
      <c r="DU163" s="1213"/>
      <c r="DV163" s="1213"/>
      <c r="DW163" s="1213"/>
      <c r="DX163" s="1213"/>
      <c r="DY163" s="1213"/>
      <c r="DZ163" s="1213"/>
      <c r="EA163" s="1273"/>
      <c r="EB163" s="1225"/>
      <c r="EC163" s="1225"/>
      <c r="ED163" s="1463"/>
      <c r="EF163" s="1207" t="s">
        <v>2791</v>
      </c>
      <c r="EG163" s="1211" t="s">
        <v>2798</v>
      </c>
      <c r="EH163" s="1208" t="s">
        <v>2808</v>
      </c>
      <c r="EI163" s="1678">
        <v>0.15</v>
      </c>
      <c r="EJ163" s="1678">
        <v>0.15</v>
      </c>
      <c r="EK163" s="1678">
        <v>0.15</v>
      </c>
      <c r="EL163" s="1678">
        <v>0.15</v>
      </c>
      <c r="EM163" s="1678">
        <v>0.15</v>
      </c>
      <c r="EN163" s="1678">
        <v>0.15</v>
      </c>
      <c r="EO163" s="1678">
        <v>0.15</v>
      </c>
      <c r="EP163" s="1678">
        <v>0.15</v>
      </c>
      <c r="EQ163" s="1678">
        <v>0.15</v>
      </c>
      <c r="ER163" s="1678">
        <v>0.15</v>
      </c>
      <c r="ES163" s="1714">
        <f t="shared" si="269"/>
        <v>0</v>
      </c>
      <c r="ET163" s="1695">
        <f t="shared" si="270"/>
        <v>0</v>
      </c>
      <c r="EU163" s="1695">
        <f t="shared" si="271"/>
        <v>0</v>
      </c>
      <c r="EW163" s="1207" t="s">
        <v>2791</v>
      </c>
      <c r="EX163" s="1211" t="s">
        <v>2798</v>
      </c>
      <c r="EY163" s="1208"/>
      <c r="EZ163" s="1678">
        <f t="shared" si="272"/>
        <v>0</v>
      </c>
      <c r="FA163" s="1678"/>
      <c r="FB163" s="1678"/>
      <c r="FC163" s="1678"/>
      <c r="FD163" s="1678"/>
      <c r="FE163" s="1678"/>
      <c r="FF163" s="1678"/>
      <c r="FG163" s="1678"/>
      <c r="FH163" s="1678"/>
      <c r="FI163" s="1678"/>
      <c r="FJ163" s="1812"/>
      <c r="FK163" s="1798"/>
      <c r="FL163" s="1798"/>
    </row>
    <row r="164" spans="2:168" hidden="1">
      <c r="B164" s="2023" t="s">
        <v>2792</v>
      </c>
      <c r="C164" s="829">
        <f t="shared" si="230"/>
        <v>0</v>
      </c>
      <c r="D164" s="2100" t="e">
        <f t="shared" si="273"/>
        <v>#REF!</v>
      </c>
      <c r="E164" s="2100" t="e">
        <f t="shared" si="273"/>
        <v>#REF!</v>
      </c>
      <c r="G164" s="2021" t="e">
        <f t="shared" si="231"/>
        <v>#REF!</v>
      </c>
      <c r="H164" s="2021" t="e">
        <f t="shared" si="232"/>
        <v>#REF!</v>
      </c>
      <c r="I164" s="2021"/>
      <c r="J164" s="2021"/>
      <c r="K164" s="2021" t="e">
        <f>IF(#REF!=0,0,1)</f>
        <v>#REF!</v>
      </c>
      <c r="L164" s="2021" t="e">
        <f>IF(#REF!=0,0,1)</f>
        <v>#REF!</v>
      </c>
      <c r="M164" s="2021">
        <f t="shared" si="233"/>
        <v>0</v>
      </c>
      <c r="N164" s="2021">
        <f t="shared" si="268"/>
        <v>0</v>
      </c>
      <c r="P164" s="2102"/>
      <c r="Q164" s="2122"/>
      <c r="R164" s="2121">
        <v>6</v>
      </c>
      <c r="S164" s="2118" t="s">
        <v>2809</v>
      </c>
      <c r="T164" s="2117"/>
      <c r="U164" s="2017"/>
      <c r="V164" s="2038">
        <f t="shared" si="263"/>
        <v>0</v>
      </c>
      <c r="W164" s="2037">
        <f t="shared" si="264"/>
        <v>0</v>
      </c>
      <c r="Y164" s="1">
        <f t="shared" si="250"/>
        <v>0</v>
      </c>
      <c r="Z164" s="1">
        <f t="shared" si="251"/>
        <v>0</v>
      </c>
      <c r="AA164" s="1">
        <f t="shared" si="252"/>
        <v>0</v>
      </c>
      <c r="AB164" s="1">
        <f t="shared" si="253"/>
        <v>0</v>
      </c>
      <c r="AC164" s="1">
        <f t="shared" si="254"/>
        <v>0</v>
      </c>
      <c r="AD164" s="1">
        <f t="shared" si="255"/>
        <v>0</v>
      </c>
      <c r="AE164" s="1">
        <f t="shared" si="256"/>
        <v>0</v>
      </c>
      <c r="AF164" s="1">
        <f t="shared" si="257"/>
        <v>0</v>
      </c>
      <c r="AG164" s="1">
        <f t="shared" si="258"/>
        <v>0</v>
      </c>
      <c r="AH164" s="1">
        <f t="shared" si="259"/>
        <v>0</v>
      </c>
      <c r="AI164" s="1">
        <f t="shared" si="260"/>
        <v>0</v>
      </c>
      <c r="AJ164" s="1">
        <f t="shared" si="261"/>
        <v>0</v>
      </c>
      <c r="AK164" s="1">
        <f t="shared" si="262"/>
        <v>0</v>
      </c>
      <c r="AM164" s="2063"/>
      <c r="AN164" s="2063"/>
      <c r="AO164" s="2063"/>
      <c r="AP164" s="2063"/>
      <c r="AQ164" s="2063"/>
      <c r="AR164" s="2063"/>
      <c r="AS164" s="2063"/>
      <c r="AT164" s="2063"/>
      <c r="AU164" s="2063"/>
      <c r="AV164" s="2063"/>
      <c r="AW164" s="2063"/>
      <c r="AX164" s="2063"/>
      <c r="AY164" s="2063"/>
      <c r="BA164" s="2014"/>
      <c r="BB164" s="2014" t="e">
        <f t="shared" si="228"/>
        <v>#REF!</v>
      </c>
      <c r="BC164" s="2014"/>
      <c r="BD164" s="2013" t="e">
        <f>BR164*#REF!</f>
        <v>#REF!</v>
      </c>
      <c r="BE164" s="2013" t="e">
        <f>BS164*#REF!</f>
        <v>#REF!</v>
      </c>
      <c r="BF164" s="2013" t="e">
        <f>BT164*#REF!</f>
        <v>#REF!</v>
      </c>
      <c r="BG164" s="2013" t="e">
        <f>BU164*#REF!</f>
        <v>#REF!</v>
      </c>
      <c r="BH164" s="2094" t="e">
        <f>BV164*#REF!</f>
        <v>#REF!</v>
      </c>
      <c r="BI164" s="2013" t="e">
        <f>BW164*#REF!</f>
        <v>#REF!</v>
      </c>
      <c r="BJ164" s="2013" t="e">
        <f>BX164*#REF!</f>
        <v>#REF!</v>
      </c>
      <c r="BK164" s="2013" t="e">
        <f>BY164*#REF!</f>
        <v>#REF!</v>
      </c>
      <c r="BL164" s="2013" t="e">
        <f>BZ164*#REF!</f>
        <v>#REF!</v>
      </c>
      <c r="BM164" s="2013" t="e">
        <f>CA164*#REF!</f>
        <v>#REF!</v>
      </c>
      <c r="BO164" s="2040" t="str">
        <f t="shared" si="234"/>
        <v>2.6.6</v>
      </c>
      <c r="BP164" s="2040" t="str">
        <f t="shared" si="235"/>
        <v>LR2 2.2</v>
      </c>
      <c r="BQ164" s="829">
        <f t="shared" si="236"/>
        <v>0</v>
      </c>
      <c r="BR164" s="2010">
        <f t="shared" si="237"/>
        <v>0</v>
      </c>
      <c r="BS164" s="2010">
        <f t="shared" si="238"/>
        <v>0</v>
      </c>
      <c r="BT164" s="2010">
        <f t="shared" si="239"/>
        <v>0</v>
      </c>
      <c r="BU164" s="2010">
        <f t="shared" si="240"/>
        <v>0</v>
      </c>
      <c r="BV164" s="2093">
        <f t="shared" si="241"/>
        <v>0</v>
      </c>
      <c r="BW164" s="2010">
        <f t="shared" si="242"/>
        <v>0</v>
      </c>
      <c r="BX164" s="2010">
        <f t="shared" si="243"/>
        <v>0</v>
      </c>
      <c r="BY164" s="2010">
        <f t="shared" si="244"/>
        <v>0</v>
      </c>
      <c r="BZ164" s="2010">
        <f t="shared" si="245"/>
        <v>0</v>
      </c>
      <c r="CA164" s="2010">
        <f t="shared" si="246"/>
        <v>0</v>
      </c>
      <c r="CB164" s="2092">
        <f t="shared" si="247"/>
        <v>0</v>
      </c>
      <c r="CC164" s="2091">
        <f t="shared" si="248"/>
        <v>0</v>
      </c>
      <c r="CD164" s="2091">
        <f t="shared" si="249"/>
        <v>0</v>
      </c>
      <c r="CF164" s="1207"/>
      <c r="CG164" s="1211"/>
      <c r="CH164" s="1208"/>
      <c r="CI164" s="1213"/>
      <c r="CJ164" s="1213"/>
      <c r="CK164" s="1213"/>
      <c r="CL164" s="1213"/>
      <c r="CM164" s="1213"/>
      <c r="CN164" s="1213"/>
      <c r="CO164" s="1213"/>
      <c r="CP164" s="1213"/>
      <c r="CQ164" s="1213"/>
      <c r="CR164" s="1213"/>
      <c r="CS164" s="1273"/>
      <c r="CT164" s="1225"/>
      <c r="CU164" s="1225"/>
      <c r="CW164" s="1207"/>
      <c r="CX164" s="1211"/>
      <c r="CY164" s="1208"/>
      <c r="CZ164" s="1213"/>
      <c r="DA164" s="1213"/>
      <c r="DB164" s="1213"/>
      <c r="DC164" s="1213"/>
      <c r="DD164" s="1213"/>
      <c r="DE164" s="1213"/>
      <c r="DF164" s="1213"/>
      <c r="DG164" s="1213"/>
      <c r="DH164" s="1213"/>
      <c r="DI164" s="1213"/>
      <c r="DJ164" s="1273"/>
      <c r="DK164" s="1225"/>
      <c r="DL164" s="1225"/>
      <c r="DN164" s="1207" t="s">
        <v>2792</v>
      </c>
      <c r="DO164" s="1211" t="s">
        <v>2798</v>
      </c>
      <c r="DP164" s="1208"/>
      <c r="DQ164" s="1213"/>
      <c r="DR164" s="1213"/>
      <c r="DS164" s="1213"/>
      <c r="DT164" s="1213"/>
      <c r="DU164" s="1213"/>
      <c r="DV164" s="1213"/>
      <c r="DW164" s="1213"/>
      <c r="DX164" s="1213"/>
      <c r="DY164" s="1213"/>
      <c r="DZ164" s="1213"/>
      <c r="EA164" s="1273"/>
      <c r="EB164" s="1225"/>
      <c r="EC164" s="1225"/>
      <c r="ED164" s="1463"/>
      <c r="EF164" s="1207" t="s">
        <v>2792</v>
      </c>
      <c r="EG164" s="1211" t="s">
        <v>2798</v>
      </c>
      <c r="EH164" s="1208" t="s">
        <v>2810</v>
      </c>
      <c r="EI164" s="1678">
        <v>0.15</v>
      </c>
      <c r="EJ164" s="1678">
        <v>0.15</v>
      </c>
      <c r="EK164" s="1678">
        <v>0.15</v>
      </c>
      <c r="EL164" s="1678">
        <v>0.15</v>
      </c>
      <c r="EM164" s="1678">
        <v>0.15</v>
      </c>
      <c r="EN164" s="1678">
        <v>0.15</v>
      </c>
      <c r="EO164" s="1678">
        <v>0.15</v>
      </c>
      <c r="EP164" s="1678">
        <v>0.15</v>
      </c>
      <c r="EQ164" s="1678">
        <v>0.15</v>
      </c>
      <c r="ER164" s="1678">
        <v>0.15</v>
      </c>
      <c r="ES164" s="1714">
        <f t="shared" si="269"/>
        <v>0</v>
      </c>
      <c r="ET164" s="1695">
        <f t="shared" si="270"/>
        <v>0</v>
      </c>
      <c r="EU164" s="1695">
        <f t="shared" si="271"/>
        <v>0</v>
      </c>
      <c r="EW164" s="1207" t="s">
        <v>2792</v>
      </c>
      <c r="EX164" s="1211" t="s">
        <v>2798</v>
      </c>
      <c r="EY164" s="1208"/>
      <c r="EZ164" s="1678">
        <f t="shared" si="272"/>
        <v>0</v>
      </c>
      <c r="FA164" s="1678"/>
      <c r="FB164" s="1678"/>
      <c r="FC164" s="1678"/>
      <c r="FD164" s="1678"/>
      <c r="FE164" s="1678"/>
      <c r="FF164" s="1678"/>
      <c r="FG164" s="1678"/>
      <c r="FH164" s="1678"/>
      <c r="FI164" s="1678"/>
      <c r="FJ164" s="1812"/>
      <c r="FK164" s="1798"/>
      <c r="FL164" s="1798"/>
    </row>
    <row r="165" spans="2:168" hidden="1">
      <c r="B165" s="2023">
        <v>2.7</v>
      </c>
      <c r="C165" s="829">
        <f t="shared" si="230"/>
        <v>0</v>
      </c>
      <c r="D165" s="2022" t="e">
        <f>IF(I$151=0,0,G165/I$151)</f>
        <v>#REF!</v>
      </c>
      <c r="E165" s="2021" t="e">
        <f>IF(J$151=0,0,H165/J$151)</f>
        <v>#REF!</v>
      </c>
      <c r="G165" s="2021" t="e">
        <f t="shared" si="231"/>
        <v>#REF!</v>
      </c>
      <c r="H165" s="2021" t="e">
        <f t="shared" si="232"/>
        <v>#REF!</v>
      </c>
      <c r="I165" s="2021"/>
      <c r="J165" s="2021"/>
      <c r="K165" s="2021" t="e">
        <f>IF(#REF!=0,0,1)</f>
        <v>#REF!</v>
      </c>
      <c r="L165" s="2021" t="e">
        <f>IF(#REF!=0,0,1)</f>
        <v>#REF!</v>
      </c>
      <c r="M165" s="2021">
        <f t="shared" si="233"/>
        <v>0</v>
      </c>
      <c r="N165" s="2021">
        <f t="shared" si="268"/>
        <v>0</v>
      </c>
      <c r="P165" s="2102"/>
      <c r="Q165" s="2120">
        <v>2.7</v>
      </c>
      <c r="R165" s="2119" t="s">
        <v>2781</v>
      </c>
      <c r="S165" s="2118"/>
      <c r="T165" s="2117"/>
      <c r="U165" s="2017"/>
      <c r="V165" s="2038">
        <f t="shared" si="263"/>
        <v>0</v>
      </c>
      <c r="W165" s="2037">
        <f t="shared" si="264"/>
        <v>0</v>
      </c>
      <c r="Y165" s="1">
        <f t="shared" si="250"/>
        <v>0</v>
      </c>
      <c r="Z165" s="1">
        <f t="shared" si="251"/>
        <v>0</v>
      </c>
      <c r="AA165" s="1">
        <f t="shared" si="252"/>
        <v>0</v>
      </c>
      <c r="AB165" s="1">
        <f t="shared" si="253"/>
        <v>0</v>
      </c>
      <c r="AC165" s="1">
        <f t="shared" si="254"/>
        <v>0</v>
      </c>
      <c r="AD165" s="1">
        <f t="shared" si="255"/>
        <v>0</v>
      </c>
      <c r="AE165" s="1">
        <f t="shared" si="256"/>
        <v>0</v>
      </c>
      <c r="AF165" s="1">
        <f t="shared" si="257"/>
        <v>0</v>
      </c>
      <c r="AG165" s="1">
        <f t="shared" si="258"/>
        <v>0</v>
      </c>
      <c r="AH165" s="1">
        <f t="shared" si="259"/>
        <v>0</v>
      </c>
      <c r="AI165" s="1">
        <f t="shared" si="260"/>
        <v>0</v>
      </c>
      <c r="AJ165" s="1">
        <f t="shared" si="261"/>
        <v>0</v>
      </c>
      <c r="AK165" s="1">
        <f t="shared" si="262"/>
        <v>0</v>
      </c>
      <c r="AM165" s="2063"/>
      <c r="AN165" s="2063"/>
      <c r="AO165" s="2063"/>
      <c r="AP165" s="2063"/>
      <c r="AQ165" s="2063"/>
      <c r="AR165" s="2063"/>
      <c r="AS165" s="2063"/>
      <c r="AT165" s="2063"/>
      <c r="AU165" s="2063"/>
      <c r="AV165" s="2063"/>
      <c r="AW165" s="2063"/>
      <c r="AX165" s="2063"/>
      <c r="AY165" s="2063"/>
      <c r="BA165" s="2014"/>
      <c r="BB165" s="2014" t="e">
        <f t="shared" si="228"/>
        <v>#REF!</v>
      </c>
      <c r="BC165" s="2014"/>
      <c r="BD165" s="2013" t="e">
        <f>BR165*#REF!</f>
        <v>#REF!</v>
      </c>
      <c r="BE165" s="2013" t="e">
        <f>BS165*#REF!</f>
        <v>#REF!</v>
      </c>
      <c r="BF165" s="2013" t="e">
        <f>BT165*#REF!</f>
        <v>#REF!</v>
      </c>
      <c r="BG165" s="2013" t="e">
        <f>BU165*#REF!</f>
        <v>#REF!</v>
      </c>
      <c r="BH165" s="2094" t="e">
        <f>BV165*#REF!</f>
        <v>#REF!</v>
      </c>
      <c r="BI165" s="2013" t="e">
        <f>BW165*#REF!</f>
        <v>#REF!</v>
      </c>
      <c r="BJ165" s="2013" t="e">
        <f>BX165*#REF!</f>
        <v>#REF!</v>
      </c>
      <c r="BK165" s="2013" t="e">
        <f>BY165*#REF!</f>
        <v>#REF!</v>
      </c>
      <c r="BL165" s="2013" t="e">
        <f>BZ165*#REF!</f>
        <v>#REF!</v>
      </c>
      <c r="BM165" s="2013" t="e">
        <f>CA165*#REF!</f>
        <v>#REF!</v>
      </c>
      <c r="BO165" s="2040">
        <f t="shared" si="234"/>
        <v>2.7</v>
      </c>
      <c r="BP165" s="2040" t="str">
        <f t="shared" si="235"/>
        <v>LR2 2</v>
      </c>
      <c r="BQ165" s="829">
        <f t="shared" si="236"/>
        <v>0</v>
      </c>
      <c r="BR165" s="2010">
        <f t="shared" si="237"/>
        <v>0</v>
      </c>
      <c r="BS165" s="2010">
        <f t="shared" si="238"/>
        <v>0</v>
      </c>
      <c r="BT165" s="2010">
        <f t="shared" si="239"/>
        <v>0</v>
      </c>
      <c r="BU165" s="2010">
        <f t="shared" si="240"/>
        <v>0</v>
      </c>
      <c r="BV165" s="2093">
        <f t="shared" si="241"/>
        <v>0</v>
      </c>
      <c r="BW165" s="2010">
        <f t="shared" si="242"/>
        <v>0</v>
      </c>
      <c r="BX165" s="2010">
        <f t="shared" si="243"/>
        <v>0</v>
      </c>
      <c r="BY165" s="2010">
        <f t="shared" si="244"/>
        <v>0</v>
      </c>
      <c r="BZ165" s="2010">
        <f t="shared" si="245"/>
        <v>0</v>
      </c>
      <c r="CA165" s="2010">
        <f t="shared" si="246"/>
        <v>0</v>
      </c>
      <c r="CB165" s="2092">
        <f t="shared" si="247"/>
        <v>0</v>
      </c>
      <c r="CC165" s="2091">
        <f t="shared" si="248"/>
        <v>0</v>
      </c>
      <c r="CD165" s="2091">
        <f t="shared" si="249"/>
        <v>0</v>
      </c>
      <c r="CF165" s="1207"/>
      <c r="CG165" s="1211"/>
      <c r="CH165" s="1208"/>
      <c r="CI165" s="1213"/>
      <c r="CJ165" s="1213"/>
      <c r="CK165" s="1213"/>
      <c r="CL165" s="1213"/>
      <c r="CM165" s="1213"/>
      <c r="CN165" s="1213"/>
      <c r="CO165" s="1213"/>
      <c r="CP165" s="1213"/>
      <c r="CQ165" s="1213"/>
      <c r="CR165" s="1213"/>
      <c r="CS165" s="1273"/>
      <c r="CT165" s="1225"/>
      <c r="CU165" s="1225"/>
      <c r="CW165" s="1207"/>
      <c r="CX165" s="1211"/>
      <c r="CY165" s="1208"/>
      <c r="CZ165" s="1213"/>
      <c r="DA165" s="1213"/>
      <c r="DB165" s="1213"/>
      <c r="DC165" s="1213"/>
      <c r="DD165" s="1213"/>
      <c r="DE165" s="1213"/>
      <c r="DF165" s="1213"/>
      <c r="DG165" s="1213"/>
      <c r="DH165" s="1213"/>
      <c r="DI165" s="1213"/>
      <c r="DJ165" s="1273"/>
      <c r="DK165" s="1225"/>
      <c r="DL165" s="1225"/>
      <c r="DN165" s="1207">
        <v>2.7</v>
      </c>
      <c r="DO165" s="1211" t="s">
        <v>2812</v>
      </c>
      <c r="DP165" s="1208"/>
      <c r="DQ165" s="1213"/>
      <c r="DR165" s="1213"/>
      <c r="DS165" s="1213"/>
      <c r="DT165" s="1213"/>
      <c r="DU165" s="1213"/>
      <c r="DV165" s="1213"/>
      <c r="DW165" s="1213"/>
      <c r="DX165" s="1213"/>
      <c r="DY165" s="1213"/>
      <c r="DZ165" s="1213"/>
      <c r="EA165" s="1273"/>
      <c r="EB165" s="1225"/>
      <c r="EC165" s="1225"/>
      <c r="ED165" s="1463"/>
      <c r="EF165" s="1207">
        <v>2.7</v>
      </c>
      <c r="EG165" s="1211" t="s">
        <v>2812</v>
      </c>
      <c r="EH165" s="1208" t="s">
        <v>2781</v>
      </c>
      <c r="EI165" s="1678">
        <v>0.2</v>
      </c>
      <c r="EJ165" s="1678">
        <v>0.2</v>
      </c>
      <c r="EK165" s="1678">
        <v>0.2</v>
      </c>
      <c r="EL165" s="1678">
        <v>0.2</v>
      </c>
      <c r="EM165" s="1678">
        <v>0.2</v>
      </c>
      <c r="EN165" s="1678">
        <v>0.2</v>
      </c>
      <c r="EO165" s="1678">
        <v>0.2</v>
      </c>
      <c r="EP165" s="1678">
        <v>0.2</v>
      </c>
      <c r="EQ165" s="1678">
        <v>0.2</v>
      </c>
      <c r="ER165" s="1678">
        <v>0.2</v>
      </c>
      <c r="ES165" s="1714">
        <f t="shared" si="269"/>
        <v>0</v>
      </c>
      <c r="ET165" s="1695">
        <f t="shared" si="270"/>
        <v>0</v>
      </c>
      <c r="EU165" s="1695">
        <f t="shared" si="271"/>
        <v>0</v>
      </c>
      <c r="EW165" s="1207">
        <v>2.7</v>
      </c>
      <c r="EX165" s="1211" t="s">
        <v>2812</v>
      </c>
      <c r="EY165" s="1208"/>
      <c r="EZ165" s="1678">
        <f t="shared" si="272"/>
        <v>0</v>
      </c>
      <c r="FA165" s="1678"/>
      <c r="FB165" s="1678"/>
      <c r="FC165" s="1678"/>
      <c r="FD165" s="1678"/>
      <c r="FE165" s="1678"/>
      <c r="FF165" s="1678"/>
      <c r="FG165" s="1678"/>
      <c r="FH165" s="1678"/>
      <c r="FI165" s="1678"/>
      <c r="FJ165" s="1812"/>
      <c r="FK165" s="1798"/>
      <c r="FL165" s="1798"/>
    </row>
    <row r="166" spans="2:168" ht="14.25" thickBot="1">
      <c r="B166" s="2023">
        <f t="shared" ref="B166:B194" si="274">BO166</f>
        <v>3</v>
      </c>
      <c r="C166" s="2050" t="str">
        <f t="shared" si="230"/>
        <v>汚染物質含有材料の使用回避</v>
      </c>
      <c r="D166" s="2061" t="e">
        <f>IF(I$145=0,0,G166/I$145)</f>
        <v>#REF!</v>
      </c>
      <c r="E166" s="2060" t="e">
        <f>IF(J$145=0,0,H166/J$145)</f>
        <v>#REF!</v>
      </c>
      <c r="G166" s="2060" t="e">
        <f t="shared" si="231"/>
        <v>#REF!</v>
      </c>
      <c r="H166" s="2060" t="e">
        <f t="shared" si="232"/>
        <v>#REF!</v>
      </c>
      <c r="I166" s="2060" t="e">
        <f>G167+G168</f>
        <v>#REF!</v>
      </c>
      <c r="J166" s="2060" t="e">
        <f>H167+H168</f>
        <v>#REF!</v>
      </c>
      <c r="K166" s="2060" t="e">
        <f>IF(#REF!=0,0,1)</f>
        <v>#REF!</v>
      </c>
      <c r="L166" s="2060" t="e">
        <f>IF(#REF!=0,0,1)</f>
        <v>#REF!</v>
      </c>
      <c r="M166" s="2060">
        <f t="shared" si="233"/>
        <v>0.2</v>
      </c>
      <c r="N166" s="2060">
        <f t="shared" si="268"/>
        <v>0</v>
      </c>
      <c r="P166" s="2059">
        <v>3</v>
      </c>
      <c r="Q166" s="2116" t="s">
        <v>1076</v>
      </c>
      <c r="R166" s="2034"/>
      <c r="S166" s="1655"/>
      <c r="T166" s="2036"/>
      <c r="U166" s="2017"/>
      <c r="V166" s="2105">
        <f t="shared" si="263"/>
        <v>0</v>
      </c>
      <c r="W166" s="2104">
        <f t="shared" si="264"/>
        <v>0</v>
      </c>
      <c r="Y166" s="1">
        <f t="shared" si="250"/>
        <v>0</v>
      </c>
      <c r="Z166" s="1">
        <f t="shared" si="251"/>
        <v>0</v>
      </c>
      <c r="AA166" s="1">
        <f t="shared" si="252"/>
        <v>0</v>
      </c>
      <c r="AB166" s="1">
        <f t="shared" si="253"/>
        <v>0</v>
      </c>
      <c r="AC166" s="1">
        <f t="shared" si="254"/>
        <v>0</v>
      </c>
      <c r="AD166" s="1">
        <f t="shared" si="255"/>
        <v>0</v>
      </c>
      <c r="AE166" s="1">
        <f t="shared" si="256"/>
        <v>0</v>
      </c>
      <c r="AF166" s="1">
        <f t="shared" si="257"/>
        <v>0</v>
      </c>
      <c r="AG166" s="1">
        <f t="shared" si="258"/>
        <v>0</v>
      </c>
      <c r="AH166" s="1">
        <f t="shared" si="259"/>
        <v>0</v>
      </c>
      <c r="AI166" s="1">
        <f t="shared" si="260"/>
        <v>0</v>
      </c>
      <c r="AJ166" s="1">
        <f t="shared" si="261"/>
        <v>0</v>
      </c>
      <c r="AK166" s="1">
        <f t="shared" si="262"/>
        <v>0</v>
      </c>
      <c r="AM166" s="2103" t="s">
        <v>177</v>
      </c>
      <c r="AN166" s="2103" t="s">
        <v>177</v>
      </c>
      <c r="AO166" s="2103" t="s">
        <v>177</v>
      </c>
      <c r="AP166" s="2103" t="s">
        <v>177</v>
      </c>
      <c r="AQ166" s="2103" t="s">
        <v>177</v>
      </c>
      <c r="AR166" s="2103" t="s">
        <v>177</v>
      </c>
      <c r="AS166" s="2103" t="s">
        <v>177</v>
      </c>
      <c r="AT166" s="2103" t="s">
        <v>177</v>
      </c>
      <c r="AU166" s="2103" t="s">
        <v>177</v>
      </c>
      <c r="AV166" s="2103" t="s">
        <v>177</v>
      </c>
      <c r="AW166" s="2103" t="s">
        <v>177</v>
      </c>
      <c r="AX166" s="2103" t="s">
        <v>177</v>
      </c>
      <c r="AY166" s="2103" t="s">
        <v>177</v>
      </c>
      <c r="BA166" s="2054" t="e">
        <f>BB166/$BC$145</f>
        <v>#REF!</v>
      </c>
      <c r="BB166" s="2054" t="e">
        <f t="shared" si="228"/>
        <v>#REF!</v>
      </c>
      <c r="BC166" s="2054"/>
      <c r="BD166" s="2053" t="e">
        <f>BR166*#REF!</f>
        <v>#REF!</v>
      </c>
      <c r="BE166" s="2053" t="e">
        <f>BS166*#REF!</f>
        <v>#REF!</v>
      </c>
      <c r="BF166" s="2053" t="e">
        <f>BT166*#REF!</f>
        <v>#REF!</v>
      </c>
      <c r="BG166" s="2053" t="e">
        <f>BU166*#REF!</f>
        <v>#REF!</v>
      </c>
      <c r="BH166" s="2115" t="e">
        <f>BV166*#REF!</f>
        <v>#REF!</v>
      </c>
      <c r="BI166" s="2053" t="e">
        <f>BW166*#REF!</f>
        <v>#REF!</v>
      </c>
      <c r="BJ166" s="2053" t="e">
        <f>BX166*#REF!</f>
        <v>#REF!</v>
      </c>
      <c r="BK166" s="2053" t="e">
        <f>BY166*#REF!</f>
        <v>#REF!</v>
      </c>
      <c r="BL166" s="2053" t="e">
        <f>BZ166*#REF!</f>
        <v>#REF!</v>
      </c>
      <c r="BM166" s="2053" t="e">
        <f>CA166*#REF!</f>
        <v>#REF!</v>
      </c>
      <c r="BO166" s="2114">
        <f t="shared" si="234"/>
        <v>3</v>
      </c>
      <c r="BP166" s="2114" t="str">
        <f t="shared" si="235"/>
        <v>LR2</v>
      </c>
      <c r="BQ166" s="2050" t="str">
        <f t="shared" si="236"/>
        <v>汚染物質含有材料の使用回避</v>
      </c>
      <c r="BR166" s="2048">
        <f t="shared" si="237"/>
        <v>0.2</v>
      </c>
      <c r="BS166" s="2048">
        <f t="shared" si="238"/>
        <v>0.2</v>
      </c>
      <c r="BT166" s="2048">
        <f t="shared" si="239"/>
        <v>0.2</v>
      </c>
      <c r="BU166" s="2048">
        <f t="shared" si="240"/>
        <v>0.2</v>
      </c>
      <c r="BV166" s="2113">
        <f t="shared" si="241"/>
        <v>0.2</v>
      </c>
      <c r="BW166" s="2048">
        <f t="shared" si="242"/>
        <v>0.2</v>
      </c>
      <c r="BX166" s="2048">
        <f t="shared" si="243"/>
        <v>0.2</v>
      </c>
      <c r="BY166" s="2048">
        <f t="shared" si="244"/>
        <v>0.2</v>
      </c>
      <c r="BZ166" s="2048">
        <f t="shared" si="245"/>
        <v>0.2</v>
      </c>
      <c r="CA166" s="2048">
        <f t="shared" si="246"/>
        <v>0.2</v>
      </c>
      <c r="CB166" s="2112">
        <f t="shared" si="247"/>
        <v>0</v>
      </c>
      <c r="CC166" s="2111">
        <f t="shared" si="248"/>
        <v>0</v>
      </c>
      <c r="CD166" s="2111">
        <f t="shared" si="249"/>
        <v>0</v>
      </c>
      <c r="CF166" s="1197">
        <v>3</v>
      </c>
      <c r="CG166" s="1201" t="s">
        <v>1321</v>
      </c>
      <c r="CH166" s="1198" t="s">
        <v>1076</v>
      </c>
      <c r="CI166" s="1202">
        <v>0.2</v>
      </c>
      <c r="CJ166" s="1202">
        <v>0.2</v>
      </c>
      <c r="CK166" s="1202">
        <v>0.2</v>
      </c>
      <c r="CL166" s="1202">
        <v>0.2</v>
      </c>
      <c r="CM166" s="1202">
        <v>0.2</v>
      </c>
      <c r="CN166" s="1202">
        <v>0.2</v>
      </c>
      <c r="CO166" s="1202">
        <v>0.2</v>
      </c>
      <c r="CP166" s="1202">
        <v>0.2</v>
      </c>
      <c r="CQ166" s="1202">
        <v>0.2</v>
      </c>
      <c r="CR166" s="1202">
        <v>0.2</v>
      </c>
      <c r="CS166" s="1271">
        <v>0</v>
      </c>
      <c r="CT166" s="1272">
        <v>0</v>
      </c>
      <c r="CU166" s="1272">
        <v>0</v>
      </c>
      <c r="CW166" s="1197">
        <v>3</v>
      </c>
      <c r="CX166" s="1201" t="s">
        <v>1321</v>
      </c>
      <c r="CY166" s="1198" t="s">
        <v>1076</v>
      </c>
      <c r="CZ166" s="1202">
        <v>0.2</v>
      </c>
      <c r="DA166" s="1202">
        <v>0.2</v>
      </c>
      <c r="DB166" s="1202">
        <v>0.2</v>
      </c>
      <c r="DC166" s="1202">
        <v>0.2</v>
      </c>
      <c r="DD166" s="1202">
        <v>0.2</v>
      </c>
      <c r="DE166" s="1202">
        <v>0.2</v>
      </c>
      <c r="DF166" s="1202">
        <v>0.2</v>
      </c>
      <c r="DG166" s="1202">
        <v>0.2</v>
      </c>
      <c r="DH166" s="1202">
        <v>0.2</v>
      </c>
      <c r="DI166" s="1202">
        <v>0.2</v>
      </c>
      <c r="DJ166" s="1271"/>
      <c r="DK166" s="1272"/>
      <c r="DL166" s="1272"/>
      <c r="DN166" s="1197">
        <v>3</v>
      </c>
      <c r="DO166" s="1201" t="s">
        <v>1321</v>
      </c>
      <c r="DP166" s="1198" t="s">
        <v>1076</v>
      </c>
      <c r="DQ166" s="1202">
        <v>0.2</v>
      </c>
      <c r="DR166" s="1202">
        <v>0.2</v>
      </c>
      <c r="DS166" s="1202">
        <v>0.2</v>
      </c>
      <c r="DT166" s="1202">
        <v>0.2</v>
      </c>
      <c r="DU166" s="1202">
        <v>0.2</v>
      </c>
      <c r="DV166" s="1202">
        <v>0.2</v>
      </c>
      <c r="DW166" s="1202">
        <v>0.2</v>
      </c>
      <c r="DX166" s="1202">
        <v>0.2</v>
      </c>
      <c r="DY166" s="1202">
        <v>0.2</v>
      </c>
      <c r="DZ166" s="1202">
        <v>0.2</v>
      </c>
      <c r="EA166" s="1271"/>
      <c r="EB166" s="1272"/>
      <c r="EC166" s="1272"/>
      <c r="ED166" s="1473"/>
      <c r="EF166" s="1197">
        <v>3</v>
      </c>
      <c r="EG166" s="1201" t="s">
        <v>1321</v>
      </c>
      <c r="EH166" s="1198" t="s">
        <v>1076</v>
      </c>
      <c r="EI166" s="1676">
        <v>0.05</v>
      </c>
      <c r="EJ166" s="1676">
        <v>0.05</v>
      </c>
      <c r="EK166" s="1676">
        <v>0.05</v>
      </c>
      <c r="EL166" s="1676">
        <v>0.05</v>
      </c>
      <c r="EM166" s="1676">
        <v>0.05</v>
      </c>
      <c r="EN166" s="1676">
        <v>0.05</v>
      </c>
      <c r="EO166" s="1676">
        <v>0.05</v>
      </c>
      <c r="EP166" s="1676">
        <v>0.05</v>
      </c>
      <c r="EQ166" s="1676">
        <v>0.05</v>
      </c>
      <c r="ER166" s="1676">
        <v>0.05</v>
      </c>
      <c r="ES166" s="1712">
        <f t="shared" si="269"/>
        <v>0</v>
      </c>
      <c r="ET166" s="1713">
        <f t="shared" si="270"/>
        <v>0</v>
      </c>
      <c r="EU166" s="1713">
        <f t="shared" si="271"/>
        <v>0</v>
      </c>
      <c r="EW166" s="1197">
        <v>3</v>
      </c>
      <c r="EX166" s="1201" t="s">
        <v>1321</v>
      </c>
      <c r="EY166" s="1198" t="s">
        <v>1076</v>
      </c>
      <c r="EZ166" s="1821">
        <f t="shared" si="272"/>
        <v>0.2</v>
      </c>
      <c r="FA166" s="1676"/>
      <c r="FB166" s="1676"/>
      <c r="FC166" s="1676"/>
      <c r="FD166" s="1676"/>
      <c r="FE166" s="1676"/>
      <c r="FF166" s="1676"/>
      <c r="FG166" s="1676"/>
      <c r="FH166" s="1676"/>
      <c r="FI166" s="1676"/>
      <c r="FJ166" s="1810"/>
      <c r="FK166" s="1811"/>
      <c r="FL166" s="1811"/>
    </row>
    <row r="167" spans="2:168" ht="14.25" thickBot="1">
      <c r="B167" s="2023" t="str">
        <f t="shared" si="274"/>
        <v>3.1</v>
      </c>
      <c r="C167" s="829" t="str">
        <f t="shared" si="230"/>
        <v>有害物質を含まない材料の使用</v>
      </c>
      <c r="D167" s="2022" t="e">
        <f>IF(I$166=0,0,G167/I$166)</f>
        <v>#REF!</v>
      </c>
      <c r="E167" s="2021" t="e">
        <f>IF(J$166=0,0,H167/J$166)</f>
        <v>#REF!</v>
      </c>
      <c r="G167" s="2021" t="e">
        <f t="shared" si="231"/>
        <v>#REF!</v>
      </c>
      <c r="H167" s="2021" t="e">
        <f t="shared" si="232"/>
        <v>#REF!</v>
      </c>
      <c r="I167" s="2021"/>
      <c r="J167" s="2021"/>
      <c r="K167" s="2021" t="e">
        <f>IF(#REF!=0,0,1)</f>
        <v>#REF!</v>
      </c>
      <c r="L167" s="2021" t="e">
        <f>IF(#REF!=0,0,1)</f>
        <v>#REF!</v>
      </c>
      <c r="M167" s="2021">
        <f t="shared" si="233"/>
        <v>0.3</v>
      </c>
      <c r="N167" s="2021">
        <f t="shared" si="268"/>
        <v>0</v>
      </c>
      <c r="P167" s="2102"/>
      <c r="Q167" s="2069">
        <v>3.1</v>
      </c>
      <c r="R167" s="2034" t="s">
        <v>1077</v>
      </c>
      <c r="S167" s="1655"/>
      <c r="T167" s="2036"/>
      <c r="U167" s="2017"/>
      <c r="V167" s="2110">
        <f t="shared" si="263"/>
        <v>0</v>
      </c>
      <c r="W167" s="2109">
        <f t="shared" si="264"/>
        <v>0</v>
      </c>
      <c r="Y167" s="1">
        <f t="shared" si="250"/>
        <v>0</v>
      </c>
      <c r="Z167" s="1">
        <f t="shared" si="251"/>
        <v>0</v>
      </c>
      <c r="AA167" s="1">
        <f t="shared" si="252"/>
        <v>0</v>
      </c>
      <c r="AB167" s="1">
        <f t="shared" si="253"/>
        <v>0</v>
      </c>
      <c r="AC167" s="1">
        <f t="shared" si="254"/>
        <v>0</v>
      </c>
      <c r="AD167" s="1">
        <f t="shared" si="255"/>
        <v>0</v>
      </c>
      <c r="AE167" s="1">
        <f t="shared" si="256"/>
        <v>0</v>
      </c>
      <c r="AF167" s="1">
        <f t="shared" si="257"/>
        <v>0</v>
      </c>
      <c r="AG167" s="1">
        <f t="shared" si="258"/>
        <v>0</v>
      </c>
      <c r="AH167" s="1">
        <f t="shared" si="259"/>
        <v>0</v>
      </c>
      <c r="AI167" s="1">
        <f t="shared" si="260"/>
        <v>0</v>
      </c>
      <c r="AJ167" s="1">
        <f t="shared" si="261"/>
        <v>0</v>
      </c>
      <c r="AK167" s="1">
        <f t="shared" si="262"/>
        <v>0</v>
      </c>
      <c r="AM167" s="2108"/>
      <c r="AN167" s="2108"/>
      <c r="AO167" s="2108"/>
      <c r="AP167" s="2108"/>
      <c r="AQ167" s="2108"/>
      <c r="AR167" s="2108"/>
      <c r="AS167" s="2108"/>
      <c r="AT167" s="2108"/>
      <c r="AU167" s="2108"/>
      <c r="AV167" s="2108"/>
      <c r="AW167" s="2108"/>
      <c r="AX167" s="2108"/>
      <c r="AY167" s="2108"/>
      <c r="BA167" s="2014"/>
      <c r="BB167" s="2014" t="e">
        <f t="shared" si="228"/>
        <v>#REF!</v>
      </c>
      <c r="BC167" s="2014"/>
      <c r="BD167" s="2013" t="e">
        <f>BR167*#REF!</f>
        <v>#REF!</v>
      </c>
      <c r="BE167" s="2013" t="e">
        <f>BS167*#REF!</f>
        <v>#REF!</v>
      </c>
      <c r="BF167" s="2013" t="e">
        <f>BT167*#REF!</f>
        <v>#REF!</v>
      </c>
      <c r="BG167" s="2013" t="e">
        <f>BU167*#REF!</f>
        <v>#REF!</v>
      </c>
      <c r="BH167" s="2094" t="e">
        <f>BV167*#REF!</f>
        <v>#REF!</v>
      </c>
      <c r="BI167" s="2013" t="e">
        <f>BW167*#REF!</f>
        <v>#REF!</v>
      </c>
      <c r="BJ167" s="2013" t="e">
        <f>BX167*#REF!</f>
        <v>#REF!</v>
      </c>
      <c r="BK167" s="2013" t="e">
        <f>BY167*#REF!</f>
        <v>#REF!</v>
      </c>
      <c r="BL167" s="2013" t="e">
        <f>BZ167*#REF!</f>
        <v>#REF!</v>
      </c>
      <c r="BM167" s="2013" t="e">
        <f>CA167*#REF!</f>
        <v>#REF!</v>
      </c>
      <c r="BO167" s="2040" t="str">
        <f t="shared" si="234"/>
        <v>3.1</v>
      </c>
      <c r="BP167" s="2040" t="str">
        <f t="shared" si="235"/>
        <v>LR2 3</v>
      </c>
      <c r="BQ167" s="829" t="str">
        <f t="shared" si="236"/>
        <v>有害物質を含まない材料の使用</v>
      </c>
      <c r="BR167" s="2010">
        <f t="shared" si="237"/>
        <v>0.3</v>
      </c>
      <c r="BS167" s="2010">
        <f t="shared" si="238"/>
        <v>0.3</v>
      </c>
      <c r="BT167" s="2010">
        <f t="shared" si="239"/>
        <v>0.3</v>
      </c>
      <c r="BU167" s="2010">
        <f t="shared" si="240"/>
        <v>0.3</v>
      </c>
      <c r="BV167" s="2093">
        <f t="shared" si="241"/>
        <v>0.3</v>
      </c>
      <c r="BW167" s="2010">
        <f t="shared" si="242"/>
        <v>0.3</v>
      </c>
      <c r="BX167" s="2010">
        <f t="shared" si="243"/>
        <v>0.3</v>
      </c>
      <c r="BY167" s="2010">
        <f t="shared" si="244"/>
        <v>0.3</v>
      </c>
      <c r="BZ167" s="2010">
        <f t="shared" si="245"/>
        <v>0.3</v>
      </c>
      <c r="CA167" s="2010">
        <f t="shared" si="246"/>
        <v>0.3</v>
      </c>
      <c r="CB167" s="2092">
        <f t="shared" si="247"/>
        <v>0</v>
      </c>
      <c r="CC167" s="2091">
        <f t="shared" si="248"/>
        <v>0</v>
      </c>
      <c r="CD167" s="2091">
        <f t="shared" si="249"/>
        <v>0</v>
      </c>
      <c r="CF167" s="1207" t="s">
        <v>1168</v>
      </c>
      <c r="CG167" s="1211" t="s">
        <v>129</v>
      </c>
      <c r="CH167" s="1208" t="s">
        <v>1077</v>
      </c>
      <c r="CI167" s="1213">
        <v>0.3</v>
      </c>
      <c r="CJ167" s="1213">
        <v>0.3</v>
      </c>
      <c r="CK167" s="1213">
        <v>0.3</v>
      </c>
      <c r="CL167" s="1213">
        <v>0.3</v>
      </c>
      <c r="CM167" s="1213">
        <v>0.3</v>
      </c>
      <c r="CN167" s="1213">
        <v>0.3</v>
      </c>
      <c r="CO167" s="1213">
        <v>0.3</v>
      </c>
      <c r="CP167" s="1213">
        <v>0.3</v>
      </c>
      <c r="CQ167" s="1213">
        <v>0.3</v>
      </c>
      <c r="CR167" s="1213">
        <v>0.3</v>
      </c>
      <c r="CS167" s="1273">
        <v>0</v>
      </c>
      <c r="CT167" s="1225">
        <v>0</v>
      </c>
      <c r="CU167" s="1225">
        <v>0</v>
      </c>
      <c r="CW167" s="1207" t="s">
        <v>3139</v>
      </c>
      <c r="CX167" s="1211" t="s">
        <v>129</v>
      </c>
      <c r="CY167" s="1208" t="s">
        <v>1077</v>
      </c>
      <c r="CZ167" s="1213">
        <v>0.3</v>
      </c>
      <c r="DA167" s="1213">
        <v>0.3</v>
      </c>
      <c r="DB167" s="1213">
        <v>0.3</v>
      </c>
      <c r="DC167" s="1213">
        <v>0.3</v>
      </c>
      <c r="DD167" s="1213">
        <v>0.3</v>
      </c>
      <c r="DE167" s="1213">
        <v>0.3</v>
      </c>
      <c r="DF167" s="1213">
        <v>0.3</v>
      </c>
      <c r="DG167" s="1213">
        <v>0.3</v>
      </c>
      <c r="DH167" s="1213">
        <v>0.3</v>
      </c>
      <c r="DI167" s="1213">
        <v>0.3</v>
      </c>
      <c r="DJ167" s="1273"/>
      <c r="DK167" s="1225"/>
      <c r="DL167" s="1225"/>
      <c r="DN167" s="1207" t="s">
        <v>1168</v>
      </c>
      <c r="DO167" s="1211" t="s">
        <v>129</v>
      </c>
      <c r="DP167" s="1208" t="s">
        <v>1077</v>
      </c>
      <c r="DQ167" s="1213">
        <v>0.3</v>
      </c>
      <c r="DR167" s="1213">
        <v>0.3</v>
      </c>
      <c r="DS167" s="1213">
        <v>0.3</v>
      </c>
      <c r="DT167" s="1213">
        <v>0.3</v>
      </c>
      <c r="DU167" s="1213">
        <v>0.3</v>
      </c>
      <c r="DV167" s="1213">
        <v>0.3</v>
      </c>
      <c r="DW167" s="1213">
        <v>0.3</v>
      </c>
      <c r="DX167" s="1213">
        <v>0.3</v>
      </c>
      <c r="DY167" s="1213">
        <v>0.3</v>
      </c>
      <c r="DZ167" s="1213">
        <v>0.3</v>
      </c>
      <c r="EA167" s="1273"/>
      <c r="EB167" s="1225"/>
      <c r="EC167" s="1225"/>
      <c r="ED167" s="1463"/>
      <c r="EF167" s="1207" t="s">
        <v>3138</v>
      </c>
      <c r="EG167" s="1211" t="s">
        <v>129</v>
      </c>
      <c r="EH167" s="1208" t="s">
        <v>1077</v>
      </c>
      <c r="EI167" s="1689">
        <f t="shared" ref="EI167:EI181" si="275">DQ167</f>
        <v>0.3</v>
      </c>
      <c r="EJ167" s="1689">
        <f t="shared" ref="EJ167:EJ181" si="276">DR167</f>
        <v>0.3</v>
      </c>
      <c r="EK167" s="1689">
        <f t="shared" ref="EK167:EK181" si="277">DS167</f>
        <v>0.3</v>
      </c>
      <c r="EL167" s="1689">
        <f t="shared" ref="EL167:EL181" si="278">DT167</f>
        <v>0.3</v>
      </c>
      <c r="EM167" s="1689">
        <f t="shared" ref="EM167:EM181" si="279">DU167</f>
        <v>0.3</v>
      </c>
      <c r="EN167" s="1689">
        <f t="shared" ref="EN167:EN181" si="280">DV167</f>
        <v>0.3</v>
      </c>
      <c r="EO167" s="1689">
        <f t="shared" ref="EO167:EO181" si="281">DW167</f>
        <v>0.3</v>
      </c>
      <c r="EP167" s="1689">
        <f t="shared" ref="EP167:EP181" si="282">DX167</f>
        <v>0.3</v>
      </c>
      <c r="EQ167" s="1689">
        <f t="shared" ref="EQ167:EQ181" si="283">DY167</f>
        <v>0.3</v>
      </c>
      <c r="ER167" s="1689">
        <f t="shared" ref="ER167:ER181" si="284">DZ167</f>
        <v>0.3</v>
      </c>
      <c r="ES167" s="1714">
        <f t="shared" si="269"/>
        <v>0</v>
      </c>
      <c r="ET167" s="1695">
        <f t="shared" si="270"/>
        <v>0</v>
      </c>
      <c r="EU167" s="1695">
        <f t="shared" si="271"/>
        <v>0</v>
      </c>
      <c r="EW167" s="1207" t="s">
        <v>1168</v>
      </c>
      <c r="EX167" s="1211" t="s">
        <v>129</v>
      </c>
      <c r="EY167" s="1208" t="s">
        <v>1077</v>
      </c>
      <c r="EZ167" s="1814">
        <v>0.6</v>
      </c>
      <c r="FA167" s="1678"/>
      <c r="FB167" s="1678"/>
      <c r="FC167" s="1678"/>
      <c r="FD167" s="1678"/>
      <c r="FE167" s="1678"/>
      <c r="FF167" s="1678"/>
      <c r="FG167" s="1678"/>
      <c r="FH167" s="1678"/>
      <c r="FI167" s="1678"/>
      <c r="FJ167" s="1812"/>
      <c r="FK167" s="1798"/>
      <c r="FL167" s="1798"/>
    </row>
    <row r="168" spans="2:168" ht="14.25" thickBot="1">
      <c r="B168" s="2023" t="str">
        <f t="shared" si="274"/>
        <v>3.2</v>
      </c>
      <c r="C168" s="829" t="str">
        <f t="shared" si="230"/>
        <v>フロン・ハロンの回避</v>
      </c>
      <c r="D168" s="2022" t="e">
        <f>IF(I$166=0,0,G168/I$166)</f>
        <v>#REF!</v>
      </c>
      <c r="E168" s="2021" t="e">
        <f>IF(J$166=0,0,H168/J$166)</f>
        <v>#REF!</v>
      </c>
      <c r="G168" s="2021" t="e">
        <f t="shared" si="231"/>
        <v>#REF!</v>
      </c>
      <c r="H168" s="2021" t="e">
        <f t="shared" si="232"/>
        <v>#REF!</v>
      </c>
      <c r="I168" s="2021" t="e">
        <f>SUM(G169:G171)</f>
        <v>#REF!</v>
      </c>
      <c r="J168" s="2021" t="e">
        <f>SUM(H169:H171)</f>
        <v>#REF!</v>
      </c>
      <c r="K168" s="2021" t="e">
        <f>IF(#REF!=0,0,1)</f>
        <v>#REF!</v>
      </c>
      <c r="L168" s="2021" t="e">
        <f>IF(#REF!=0,0,1)</f>
        <v>#REF!</v>
      </c>
      <c r="M168" s="2021">
        <f t="shared" si="233"/>
        <v>0.7</v>
      </c>
      <c r="N168" s="2021">
        <f t="shared" si="268"/>
        <v>0</v>
      </c>
      <c r="P168" s="2102"/>
      <c r="Q168" s="2035">
        <v>3.2</v>
      </c>
      <c r="R168" s="2034" t="s">
        <v>1078</v>
      </c>
      <c r="S168" s="2107"/>
      <c r="T168" s="2106"/>
      <c r="U168" s="2017"/>
      <c r="V168" s="2105">
        <f t="shared" si="263"/>
        <v>0</v>
      </c>
      <c r="W168" s="2104">
        <f t="shared" si="264"/>
        <v>0</v>
      </c>
      <c r="Y168" s="1">
        <f t="shared" si="250"/>
        <v>0</v>
      </c>
      <c r="Z168" s="1">
        <f t="shared" si="251"/>
        <v>0</v>
      </c>
      <c r="AA168" s="1">
        <f t="shared" si="252"/>
        <v>0</v>
      </c>
      <c r="AB168" s="1">
        <f t="shared" si="253"/>
        <v>0</v>
      </c>
      <c r="AC168" s="1">
        <f t="shared" si="254"/>
        <v>0</v>
      </c>
      <c r="AD168" s="1">
        <f t="shared" si="255"/>
        <v>0</v>
      </c>
      <c r="AE168" s="1">
        <f t="shared" si="256"/>
        <v>0</v>
      </c>
      <c r="AF168" s="1">
        <f t="shared" si="257"/>
        <v>0</v>
      </c>
      <c r="AG168" s="1">
        <f t="shared" si="258"/>
        <v>0</v>
      </c>
      <c r="AH168" s="1">
        <f t="shared" si="259"/>
        <v>0</v>
      </c>
      <c r="AI168" s="1">
        <f t="shared" si="260"/>
        <v>0</v>
      </c>
      <c r="AJ168" s="1">
        <f t="shared" si="261"/>
        <v>0</v>
      </c>
      <c r="AK168" s="1">
        <f t="shared" si="262"/>
        <v>0</v>
      </c>
      <c r="AM168" s="2103" t="s">
        <v>3137</v>
      </c>
      <c r="AN168" s="2103" t="s">
        <v>3137</v>
      </c>
      <c r="AO168" s="2103" t="s">
        <v>3137</v>
      </c>
      <c r="AP168" s="2103" t="s">
        <v>3137</v>
      </c>
      <c r="AQ168" s="2103" t="s">
        <v>3137</v>
      </c>
      <c r="AR168" s="2103" t="s">
        <v>3137</v>
      </c>
      <c r="AS168" s="2103" t="s">
        <v>3137</v>
      </c>
      <c r="AT168" s="2103" t="s">
        <v>3137</v>
      </c>
      <c r="AU168" s="2103" t="s">
        <v>3137</v>
      </c>
      <c r="AV168" s="2103" t="s">
        <v>3137</v>
      </c>
      <c r="AW168" s="2103" t="s">
        <v>3137</v>
      </c>
      <c r="AX168" s="2103" t="s">
        <v>3137</v>
      </c>
      <c r="AY168" s="2103" t="s">
        <v>3137</v>
      </c>
      <c r="BA168" s="2014"/>
      <c r="BB168" s="2014" t="e">
        <f t="shared" si="228"/>
        <v>#REF!</v>
      </c>
      <c r="BC168" s="2014"/>
      <c r="BD168" s="2013" t="e">
        <f>BR168*#REF!</f>
        <v>#REF!</v>
      </c>
      <c r="BE168" s="2013" t="e">
        <f>BS168*#REF!</f>
        <v>#REF!</v>
      </c>
      <c r="BF168" s="2013" t="e">
        <f>BT168*#REF!</f>
        <v>#REF!</v>
      </c>
      <c r="BG168" s="2013" t="e">
        <f>BU168*#REF!</f>
        <v>#REF!</v>
      </c>
      <c r="BH168" s="2094" t="e">
        <f>BV168*#REF!</f>
        <v>#REF!</v>
      </c>
      <c r="BI168" s="2013" t="e">
        <f>BW168*#REF!</f>
        <v>#REF!</v>
      </c>
      <c r="BJ168" s="2013" t="e">
        <f>BX168*#REF!</f>
        <v>#REF!</v>
      </c>
      <c r="BK168" s="2013" t="e">
        <f>BY168*#REF!</f>
        <v>#REF!</v>
      </c>
      <c r="BL168" s="2013" t="e">
        <f>BZ168*#REF!</f>
        <v>#REF!</v>
      </c>
      <c r="BM168" s="2013" t="e">
        <f>CA168*#REF!</f>
        <v>#REF!</v>
      </c>
      <c r="BO168" s="2040" t="str">
        <f t="shared" si="234"/>
        <v>3.2</v>
      </c>
      <c r="BP168" s="2040" t="str">
        <f t="shared" si="235"/>
        <v>LR2 3</v>
      </c>
      <c r="BQ168" s="829" t="str">
        <f t="shared" si="236"/>
        <v>フロン・ハロンの回避</v>
      </c>
      <c r="BR168" s="2010">
        <f t="shared" si="237"/>
        <v>0.7</v>
      </c>
      <c r="BS168" s="2010">
        <f t="shared" si="238"/>
        <v>0.7</v>
      </c>
      <c r="BT168" s="2010">
        <f t="shared" si="239"/>
        <v>0.7</v>
      </c>
      <c r="BU168" s="2010">
        <f t="shared" si="240"/>
        <v>0.7</v>
      </c>
      <c r="BV168" s="2093">
        <f t="shared" si="241"/>
        <v>0.7</v>
      </c>
      <c r="BW168" s="2010">
        <f t="shared" si="242"/>
        <v>0.7</v>
      </c>
      <c r="BX168" s="2010">
        <f t="shared" si="243"/>
        <v>0.7</v>
      </c>
      <c r="BY168" s="2010">
        <f t="shared" si="244"/>
        <v>0.7</v>
      </c>
      <c r="BZ168" s="2010">
        <f t="shared" si="245"/>
        <v>0.7</v>
      </c>
      <c r="CA168" s="2010">
        <f t="shared" si="246"/>
        <v>0.7</v>
      </c>
      <c r="CB168" s="2092">
        <f t="shared" si="247"/>
        <v>0</v>
      </c>
      <c r="CC168" s="2091">
        <f t="shared" si="248"/>
        <v>0</v>
      </c>
      <c r="CD168" s="2091">
        <f t="shared" si="249"/>
        <v>0</v>
      </c>
      <c r="CF168" s="1207" t="s">
        <v>3136</v>
      </c>
      <c r="CG168" s="1211" t="s">
        <v>129</v>
      </c>
      <c r="CH168" s="1208" t="s">
        <v>130</v>
      </c>
      <c r="CI168" s="1213">
        <v>0.7</v>
      </c>
      <c r="CJ168" s="1213">
        <v>0.7</v>
      </c>
      <c r="CK168" s="1213">
        <v>0.7</v>
      </c>
      <c r="CL168" s="1213">
        <v>0.7</v>
      </c>
      <c r="CM168" s="1213">
        <v>0.7</v>
      </c>
      <c r="CN168" s="1213">
        <v>0.7</v>
      </c>
      <c r="CO168" s="1213">
        <v>0.7</v>
      </c>
      <c r="CP168" s="1213">
        <v>0.7</v>
      </c>
      <c r="CQ168" s="1213">
        <v>0.7</v>
      </c>
      <c r="CR168" s="1213">
        <v>0.7</v>
      </c>
      <c r="CS168" s="1273">
        <v>0</v>
      </c>
      <c r="CT168" s="1225">
        <v>0</v>
      </c>
      <c r="CU168" s="1225">
        <v>0</v>
      </c>
      <c r="CW168" s="1207" t="s">
        <v>3136</v>
      </c>
      <c r="CX168" s="1211" t="s">
        <v>129</v>
      </c>
      <c r="CY168" s="1208" t="s">
        <v>130</v>
      </c>
      <c r="CZ168" s="1213">
        <v>0.7</v>
      </c>
      <c r="DA168" s="1213">
        <v>0.7</v>
      </c>
      <c r="DB168" s="1213">
        <v>0.7</v>
      </c>
      <c r="DC168" s="1213">
        <v>0.7</v>
      </c>
      <c r="DD168" s="1213">
        <v>0.7</v>
      </c>
      <c r="DE168" s="1213">
        <v>0.7</v>
      </c>
      <c r="DF168" s="1213">
        <v>0.7</v>
      </c>
      <c r="DG168" s="1213">
        <v>0.7</v>
      </c>
      <c r="DH168" s="1213">
        <v>0.7</v>
      </c>
      <c r="DI168" s="1213">
        <v>0.7</v>
      </c>
      <c r="DJ168" s="1273"/>
      <c r="DK168" s="1225"/>
      <c r="DL168" s="1225"/>
      <c r="DN168" s="1207" t="s">
        <v>3136</v>
      </c>
      <c r="DO168" s="1211" t="s">
        <v>129</v>
      </c>
      <c r="DP168" s="1208" t="s">
        <v>130</v>
      </c>
      <c r="DQ168" s="1213">
        <v>0.7</v>
      </c>
      <c r="DR168" s="1213">
        <v>0.7</v>
      </c>
      <c r="DS168" s="1213">
        <v>0.7</v>
      </c>
      <c r="DT168" s="1213">
        <v>0.7</v>
      </c>
      <c r="DU168" s="1213">
        <v>0.7</v>
      </c>
      <c r="DV168" s="1213">
        <v>0.7</v>
      </c>
      <c r="DW168" s="1213">
        <v>0.7</v>
      </c>
      <c r="DX168" s="1213">
        <v>0.7</v>
      </c>
      <c r="DY168" s="1213">
        <v>0.7</v>
      </c>
      <c r="DZ168" s="1213">
        <v>0.7</v>
      </c>
      <c r="EA168" s="1273"/>
      <c r="EB168" s="1225"/>
      <c r="EC168" s="1225"/>
      <c r="ED168" s="1463"/>
      <c r="EF168" s="1207" t="s">
        <v>3136</v>
      </c>
      <c r="EG168" s="1211" t="s">
        <v>129</v>
      </c>
      <c r="EH168" s="1208" t="s">
        <v>130</v>
      </c>
      <c r="EI168" s="1689">
        <f t="shared" si="275"/>
        <v>0.7</v>
      </c>
      <c r="EJ168" s="1689">
        <f t="shared" si="276"/>
        <v>0.7</v>
      </c>
      <c r="EK168" s="1689">
        <f t="shared" si="277"/>
        <v>0.7</v>
      </c>
      <c r="EL168" s="1689">
        <f t="shared" si="278"/>
        <v>0.7</v>
      </c>
      <c r="EM168" s="1689">
        <f t="shared" si="279"/>
        <v>0.7</v>
      </c>
      <c r="EN168" s="1689">
        <f t="shared" si="280"/>
        <v>0.7</v>
      </c>
      <c r="EO168" s="1689">
        <f t="shared" si="281"/>
        <v>0.7</v>
      </c>
      <c r="EP168" s="1689">
        <f t="shared" si="282"/>
        <v>0.7</v>
      </c>
      <c r="EQ168" s="1689">
        <f t="shared" si="283"/>
        <v>0.7</v>
      </c>
      <c r="ER168" s="1689">
        <f t="shared" si="284"/>
        <v>0.7</v>
      </c>
      <c r="ES168" s="1714">
        <f t="shared" si="269"/>
        <v>0</v>
      </c>
      <c r="ET168" s="1695">
        <f t="shared" si="270"/>
        <v>0</v>
      </c>
      <c r="EU168" s="1695">
        <f t="shared" si="271"/>
        <v>0</v>
      </c>
      <c r="EW168" s="1207" t="s">
        <v>1170</v>
      </c>
      <c r="EX168" s="1211" t="s">
        <v>129</v>
      </c>
      <c r="EY168" s="1208" t="s">
        <v>130</v>
      </c>
      <c r="EZ168" s="1814">
        <v>0.4</v>
      </c>
      <c r="FA168" s="1678"/>
      <c r="FB168" s="1678"/>
      <c r="FC168" s="1678"/>
      <c r="FD168" s="1678"/>
      <c r="FE168" s="1678"/>
      <c r="FF168" s="1678"/>
      <c r="FG168" s="1678"/>
      <c r="FH168" s="1678"/>
      <c r="FI168" s="1678"/>
      <c r="FJ168" s="1812"/>
      <c r="FK168" s="1798"/>
      <c r="FL168" s="1798"/>
    </row>
    <row r="169" spans="2:168">
      <c r="B169" s="2023" t="str">
        <f t="shared" si="274"/>
        <v>3.2.1</v>
      </c>
      <c r="C169" s="829" t="str">
        <f t="shared" ref="C169:C194" si="285">BQ169</f>
        <v>消火剤</v>
      </c>
      <c r="D169" s="2100" t="e">
        <f t="shared" ref="D169:E171" si="286">IF(I$168&gt;0,G169/I$168,0)</f>
        <v>#REF!</v>
      </c>
      <c r="E169" s="2021" t="e">
        <f t="shared" si="286"/>
        <v>#REF!</v>
      </c>
      <c r="G169" s="2021" t="e">
        <f t="shared" ref="G169:G194" si="287">K169*M169</f>
        <v>#REF!</v>
      </c>
      <c r="H169" s="2021" t="e">
        <f t="shared" ref="H169:H194" si="288">L169*N169</f>
        <v>#REF!</v>
      </c>
      <c r="I169" s="2021"/>
      <c r="J169" s="2021"/>
      <c r="K169" s="2021" t="e">
        <f>IF(#REF!=0,0,1)</f>
        <v>#REF!</v>
      </c>
      <c r="L169" s="2021" t="e">
        <f>IF(#REF!=0,0,1)</f>
        <v>#REF!</v>
      </c>
      <c r="M169" s="2021">
        <f t="shared" ref="M169:M194" si="289">SUMPRODUCT($BR$7:$CA$7,BR169:CA169)</f>
        <v>0.33333333333333331</v>
      </c>
      <c r="N169" s="2021">
        <f t="shared" si="268"/>
        <v>0</v>
      </c>
      <c r="P169" s="2102"/>
      <c r="Q169" s="2101"/>
      <c r="R169" s="993">
        <v>1</v>
      </c>
      <c r="S169" s="1655" t="s">
        <v>100</v>
      </c>
      <c r="T169" s="2036"/>
      <c r="U169" s="2017"/>
      <c r="V169" s="2025">
        <f t="shared" si="263"/>
        <v>0</v>
      </c>
      <c r="W169" s="2024">
        <f t="shared" si="264"/>
        <v>0</v>
      </c>
      <c r="Y169" s="1">
        <f t="shared" si="250"/>
        <v>0</v>
      </c>
      <c r="Z169" s="1">
        <f t="shared" si="251"/>
        <v>0</v>
      </c>
      <c r="AA169" s="1">
        <f t="shared" si="252"/>
        <v>0</v>
      </c>
      <c r="AB169" s="1">
        <f t="shared" si="253"/>
        <v>0</v>
      </c>
      <c r="AC169" s="1">
        <f t="shared" si="254"/>
        <v>0</v>
      </c>
      <c r="AD169" s="1">
        <f t="shared" si="255"/>
        <v>0</v>
      </c>
      <c r="AE169" s="1">
        <f t="shared" si="256"/>
        <v>0</v>
      </c>
      <c r="AF169" s="1">
        <f t="shared" si="257"/>
        <v>0</v>
      </c>
      <c r="AG169" s="1">
        <f t="shared" si="258"/>
        <v>0</v>
      </c>
      <c r="AH169" s="1">
        <f t="shared" si="259"/>
        <v>0</v>
      </c>
      <c r="AI169" s="1">
        <f t="shared" si="260"/>
        <v>0</v>
      </c>
      <c r="AJ169" s="1">
        <f t="shared" si="261"/>
        <v>0</v>
      </c>
      <c r="AK169" s="1">
        <f t="shared" si="262"/>
        <v>0</v>
      </c>
      <c r="AM169" s="1827"/>
      <c r="AN169" s="1827"/>
      <c r="AO169" s="1827"/>
      <c r="AP169" s="1827"/>
      <c r="AQ169" s="1827"/>
      <c r="AR169" s="1827"/>
      <c r="AS169" s="1827"/>
      <c r="AT169" s="1827"/>
      <c r="AU169" s="1827"/>
      <c r="AV169" s="1827"/>
      <c r="AW169" s="1827"/>
      <c r="AX169" s="1827"/>
      <c r="AY169" s="1827"/>
      <c r="BA169" s="2014"/>
      <c r="BB169" s="2014" t="e">
        <f t="shared" si="228"/>
        <v>#REF!</v>
      </c>
      <c r="BC169" s="2014"/>
      <c r="BD169" s="2013" t="e">
        <f>BR169*#REF!</f>
        <v>#REF!</v>
      </c>
      <c r="BE169" s="2013" t="e">
        <f>BS169*#REF!</f>
        <v>#REF!</v>
      </c>
      <c r="BF169" s="2013" t="e">
        <f>BT169*#REF!</f>
        <v>#REF!</v>
      </c>
      <c r="BG169" s="2013" t="e">
        <f>BU169*#REF!</f>
        <v>#REF!</v>
      </c>
      <c r="BH169" s="2094" t="e">
        <f>BV169*#REF!</f>
        <v>#REF!</v>
      </c>
      <c r="BI169" s="2013" t="e">
        <f>BW169*#REF!</f>
        <v>#REF!</v>
      </c>
      <c r="BJ169" s="2013" t="e">
        <f>BX169*#REF!</f>
        <v>#REF!</v>
      </c>
      <c r="BK169" s="2013" t="e">
        <f>BY169*#REF!</f>
        <v>#REF!</v>
      </c>
      <c r="BL169" s="2013" t="e">
        <f>BZ169*#REF!</f>
        <v>#REF!</v>
      </c>
      <c r="BM169" s="2013" t="e">
        <f>CA169*#REF!</f>
        <v>#REF!</v>
      </c>
      <c r="BO169" s="2040" t="str">
        <f t="shared" ref="BO169:BO194" si="290">IF($BO$3=1,CW169,IF($BO$3=2,DN169,IF($BO$3=3,EF169,IF($BO$3=4,EW169,CF169))))</f>
        <v>3.2.1</v>
      </c>
      <c r="BP169" s="2040" t="str">
        <f t="shared" ref="BP169:BP194" si="291">IF($BO$3=1,CX169,IF($BO$3=2,DO169,IF($BO$3=3,EG169,IF($BO$3=4,EX169,CG169))))</f>
        <v>LR2 3.2</v>
      </c>
      <c r="BQ169" s="829" t="str">
        <f t="shared" ref="BQ169:BQ194" si="292">IF($BO$3=1,CY169,IF($BO$3=2,DP169,IF($BO$3=3,EH169,IF($BO$3=4,EY169,CH169))))</f>
        <v>消火剤</v>
      </c>
      <c r="BR169" s="2010">
        <f t="shared" ref="BR169:BR194" si="293">IF($BO$3=1,CZ169,IF($BO$3=2,DQ169,IF($BO$3=3,EI169,IF($BO$3=4,EZ169,CI169))))</f>
        <v>0.33333333333333331</v>
      </c>
      <c r="BS169" s="2010">
        <f t="shared" ref="BS169:BS194" si="294">IF($BO$3=1,DA169,IF($BO$3=2,DR169,IF($BO$3=3,EJ169,IF($BO$3=4,FA169,CJ169))))</f>
        <v>0.33333333333333331</v>
      </c>
      <c r="BT169" s="2010">
        <f t="shared" ref="BT169:BT194" si="295">IF($BO$3=1,DB169,IF($BO$3=2,DS169,IF($BO$3=3,EK169,IF($BO$3=4,FB169,CK169))))</f>
        <v>0.33333333333333331</v>
      </c>
      <c r="BU169" s="2010">
        <f t="shared" ref="BU169:BU194" si="296">IF($BO$3=1,DC169,IF($BO$3=2,DT169,IF($BO$3=3,EL169,IF($BO$3=4,FC169,CL169))))</f>
        <v>0.33333333333333331</v>
      </c>
      <c r="BV169" s="2093">
        <f t="shared" ref="BV169:BV194" si="297">IF($BO$3=1,DD169,IF($BO$3=2,DU169,IF($BO$3=3,EM169,IF($BO$3=4,FD169,CM169))))</f>
        <v>0.33333333333333331</v>
      </c>
      <c r="BW169" s="2010">
        <f t="shared" ref="BW169:BW194" si="298">IF($BO$3=1,DE169,IF($BO$3=2,DV169,IF($BO$3=3,EN169,IF($BO$3=4,FE169,CN169))))</f>
        <v>0.33333333333333331</v>
      </c>
      <c r="BX169" s="2010">
        <f t="shared" ref="BX169:BX194" si="299">IF($BO$3=1,DF169,IF($BO$3=2,DW169,IF($BO$3=3,EO169,IF($BO$3=4,FF169,CO169))))</f>
        <v>0.33333333333333331</v>
      </c>
      <c r="BY169" s="2010">
        <f t="shared" ref="BY169:BY194" si="300">IF($BO$3=1,DG169,IF($BO$3=2,DX169,IF($BO$3=3,EP169,IF($BO$3=4,FG169,CP169))))</f>
        <v>0.33333333333333331</v>
      </c>
      <c r="BZ169" s="2010">
        <f t="shared" ref="BZ169:BZ194" si="301">IF($BO$3=1,DH169,IF($BO$3=2,DY169,IF($BO$3=3,EQ169,IF($BO$3=4,FH169,CQ169))))</f>
        <v>0.33333333333333331</v>
      </c>
      <c r="CA169" s="2010">
        <f t="shared" ref="CA169:CA194" si="302">IF($BO$3=1,DI169,IF($BO$3=2,DZ169,IF($BO$3=3,ER169,IF($BO$3=4,FI169,CR169))))</f>
        <v>0.33333333333333331</v>
      </c>
      <c r="CB169" s="2092">
        <f t="shared" ref="CB169:CB194" si="303">IF($BO$3=1,DJ169,IF($BO$3=2,EA169,IF($BO$3=3,ES169,IF($BO$3=4,FJ169,CS169))))</f>
        <v>0</v>
      </c>
      <c r="CC169" s="2091">
        <f t="shared" ref="CC169:CC194" si="304">IF($BO$3=1,DK169,IF($BO$3=2,EB169,IF($BO$3=3,ET169,IF($BO$3=4,FK169,CT169))))</f>
        <v>0</v>
      </c>
      <c r="CD169" s="2091">
        <f t="shared" ref="CD169:CD194" si="305">IF($BO$3=1,DL169,IF($BO$3=2,EC169,IF($BO$3=3,EU169,IF($BO$3=4,FL169,CU169))))</f>
        <v>0</v>
      </c>
      <c r="CF169" s="1207" t="s">
        <v>945</v>
      </c>
      <c r="CG169" s="1211" t="s">
        <v>2109</v>
      </c>
      <c r="CH169" s="1208" t="s">
        <v>3135</v>
      </c>
      <c r="CI169" s="1213">
        <v>0.33333333333333331</v>
      </c>
      <c r="CJ169" s="1213">
        <v>0.33333333333333331</v>
      </c>
      <c r="CK169" s="1213">
        <v>0.33333333333333331</v>
      </c>
      <c r="CL169" s="1213">
        <v>0.33333333333333331</v>
      </c>
      <c r="CM169" s="1213">
        <v>0.33333333333333331</v>
      </c>
      <c r="CN169" s="1213">
        <v>0.33333333333333331</v>
      </c>
      <c r="CO169" s="1213">
        <v>0.33333333333333331</v>
      </c>
      <c r="CP169" s="1213">
        <v>0.33333333333333331</v>
      </c>
      <c r="CQ169" s="1213">
        <v>0.33333333333333331</v>
      </c>
      <c r="CR169" s="1213">
        <v>0.33333333333333331</v>
      </c>
      <c r="CS169" s="1273">
        <v>0</v>
      </c>
      <c r="CT169" s="1225">
        <v>0</v>
      </c>
      <c r="CU169" s="1225">
        <v>0</v>
      </c>
      <c r="CW169" s="1207" t="s">
        <v>945</v>
      </c>
      <c r="CX169" s="1211" t="s">
        <v>2109</v>
      </c>
      <c r="CY169" s="1208" t="s">
        <v>1189</v>
      </c>
      <c r="CZ169" s="1213">
        <v>0.33333333333333331</v>
      </c>
      <c r="DA169" s="1213">
        <v>0.33333333333333331</v>
      </c>
      <c r="DB169" s="1213">
        <v>0.33333333333333331</v>
      </c>
      <c r="DC169" s="1213">
        <v>0.33333333333333331</v>
      </c>
      <c r="DD169" s="1213">
        <v>0.33333333333333331</v>
      </c>
      <c r="DE169" s="1213">
        <v>0.33333333333333331</v>
      </c>
      <c r="DF169" s="1213">
        <v>0.33333333333333331</v>
      </c>
      <c r="DG169" s="1213">
        <v>0.33333333333333331</v>
      </c>
      <c r="DH169" s="1213">
        <v>0.33333333333333331</v>
      </c>
      <c r="DI169" s="1213">
        <v>0.33333333333333331</v>
      </c>
      <c r="DJ169" s="1273"/>
      <c r="DK169" s="1225"/>
      <c r="DL169" s="1225"/>
      <c r="DN169" s="1207" t="s">
        <v>945</v>
      </c>
      <c r="DO169" s="1211" t="s">
        <v>2109</v>
      </c>
      <c r="DP169" s="1208" t="s">
        <v>1189</v>
      </c>
      <c r="DQ169" s="1213">
        <v>0.33333333333333331</v>
      </c>
      <c r="DR169" s="1213">
        <v>0.33333333333333331</v>
      </c>
      <c r="DS169" s="1213">
        <v>0.33333333333333331</v>
      </c>
      <c r="DT169" s="1213">
        <v>0.33333333333333331</v>
      </c>
      <c r="DU169" s="1213">
        <v>0.33333333333333331</v>
      </c>
      <c r="DV169" s="1213">
        <v>0.33333333333333331</v>
      </c>
      <c r="DW169" s="1213">
        <v>0.33333333333333331</v>
      </c>
      <c r="DX169" s="1213">
        <v>0.33333333333333331</v>
      </c>
      <c r="DY169" s="1213">
        <v>0.33333333333333331</v>
      </c>
      <c r="DZ169" s="1213">
        <v>0.33333333333333331</v>
      </c>
      <c r="EA169" s="1273"/>
      <c r="EB169" s="1225"/>
      <c r="EC169" s="1225"/>
      <c r="ED169" s="1463"/>
      <c r="EF169" s="1207" t="s">
        <v>3134</v>
      </c>
      <c r="EG169" s="1211" t="s">
        <v>2109</v>
      </c>
      <c r="EH169" s="1208" t="s">
        <v>1189</v>
      </c>
      <c r="EI169" s="1689">
        <f t="shared" si="275"/>
        <v>0.33333333333333331</v>
      </c>
      <c r="EJ169" s="1689">
        <f t="shared" si="276"/>
        <v>0.33333333333333331</v>
      </c>
      <c r="EK169" s="1689">
        <f t="shared" si="277"/>
        <v>0.33333333333333331</v>
      </c>
      <c r="EL169" s="1689">
        <f t="shared" si="278"/>
        <v>0.33333333333333331</v>
      </c>
      <c r="EM169" s="1689">
        <f t="shared" si="279"/>
        <v>0.33333333333333331</v>
      </c>
      <c r="EN169" s="1689">
        <f t="shared" si="280"/>
        <v>0.33333333333333331</v>
      </c>
      <c r="EO169" s="1689">
        <f t="shared" si="281"/>
        <v>0.33333333333333331</v>
      </c>
      <c r="EP169" s="1689">
        <f t="shared" si="282"/>
        <v>0.33333333333333331</v>
      </c>
      <c r="EQ169" s="1689">
        <f t="shared" si="283"/>
        <v>0.33333333333333331</v>
      </c>
      <c r="ER169" s="1689">
        <f t="shared" si="284"/>
        <v>0.33333333333333331</v>
      </c>
      <c r="ES169" s="1714">
        <f t="shared" si="269"/>
        <v>0</v>
      </c>
      <c r="ET169" s="1695">
        <f t="shared" si="270"/>
        <v>0</v>
      </c>
      <c r="EU169" s="1695">
        <f t="shared" si="271"/>
        <v>0</v>
      </c>
      <c r="EW169" s="1207" t="s">
        <v>945</v>
      </c>
      <c r="EX169" s="1211" t="s">
        <v>2109</v>
      </c>
      <c r="EY169" s="1208" t="s">
        <v>1189</v>
      </c>
      <c r="EZ169" s="1814">
        <v>0</v>
      </c>
      <c r="FA169" s="1678"/>
      <c r="FB169" s="1678"/>
      <c r="FC169" s="1678"/>
      <c r="FD169" s="1678"/>
      <c r="FE169" s="1678"/>
      <c r="FF169" s="1678"/>
      <c r="FG169" s="1678"/>
      <c r="FH169" s="1678"/>
      <c r="FI169" s="1678"/>
      <c r="FJ169" s="1812"/>
      <c r="FK169" s="1798"/>
      <c r="FL169" s="1798"/>
    </row>
    <row r="170" spans="2:168">
      <c r="B170" s="2023" t="str">
        <f t="shared" si="274"/>
        <v>3.2.2</v>
      </c>
      <c r="C170" s="829" t="str">
        <f t="shared" si="285"/>
        <v>発泡剤（断熱材等）</v>
      </c>
      <c r="D170" s="2100" t="e">
        <f t="shared" si="286"/>
        <v>#REF!</v>
      </c>
      <c r="E170" s="2021" t="e">
        <f t="shared" si="286"/>
        <v>#REF!</v>
      </c>
      <c r="G170" s="2021" t="e">
        <f t="shared" si="287"/>
        <v>#REF!</v>
      </c>
      <c r="H170" s="2021" t="e">
        <f t="shared" si="288"/>
        <v>#REF!</v>
      </c>
      <c r="I170" s="2021"/>
      <c r="J170" s="2021"/>
      <c r="K170" s="2021" t="e">
        <f>IF(#REF!=0,0,1)</f>
        <v>#REF!</v>
      </c>
      <c r="L170" s="2021" t="e">
        <f>IF(#REF!=0,0,1)</f>
        <v>#REF!</v>
      </c>
      <c r="M170" s="2021">
        <f t="shared" si="289"/>
        <v>0.33333333333333331</v>
      </c>
      <c r="N170" s="2021">
        <f t="shared" si="268"/>
        <v>0</v>
      </c>
      <c r="P170" s="2102"/>
      <c r="Q170" s="2101"/>
      <c r="R170" s="993">
        <v>2</v>
      </c>
      <c r="S170" s="1655" t="s">
        <v>101</v>
      </c>
      <c r="T170" s="2036"/>
      <c r="U170" s="2017"/>
      <c r="V170" s="2038">
        <f t="shared" si="263"/>
        <v>0</v>
      </c>
      <c r="W170" s="2037">
        <f t="shared" si="264"/>
        <v>0</v>
      </c>
      <c r="Y170" s="1">
        <f t="shared" ref="Y170:Y194" si="306">IF(OR(AM170=0,AM170="-"),0,1)</f>
        <v>0</v>
      </c>
      <c r="Z170" s="1">
        <f t="shared" ref="Z170:Z194" si="307">IF(OR(AN170=0,AN170="-"),0,1)</f>
        <v>0</v>
      </c>
      <c r="AA170" s="1">
        <f t="shared" ref="AA170:AA194" si="308">IF(OR(AO170=0,AO170="-"),0,1)</f>
        <v>0</v>
      </c>
      <c r="AB170" s="1">
        <f t="shared" ref="AB170:AB194" si="309">IF(OR(AP170=0,AP170="-"),0,1)</f>
        <v>0</v>
      </c>
      <c r="AC170" s="1">
        <f t="shared" ref="AC170:AC194" si="310">IF(OR(AQ170=0,AQ170="-"),0,1)</f>
        <v>0</v>
      </c>
      <c r="AD170" s="1">
        <f t="shared" ref="AD170:AD194" si="311">IF(OR(AR170=0,AR170="-"),0,1)</f>
        <v>0</v>
      </c>
      <c r="AE170" s="1">
        <f t="shared" ref="AE170:AE194" si="312">IF(OR(AS170=0,AS170="-"),0,1)</f>
        <v>0</v>
      </c>
      <c r="AF170" s="1">
        <f t="shared" ref="AF170:AF194" si="313">IF(OR(AT170=0,AT170="-"),0,1)</f>
        <v>0</v>
      </c>
      <c r="AG170" s="1">
        <f t="shared" ref="AG170:AG194" si="314">IF(OR(AU170=0,AU170="-"),0,1)</f>
        <v>0</v>
      </c>
      <c r="AH170" s="1">
        <f t="shared" ref="AH170:AH194" si="315">IF(OR(AV170=0,AV170="-"),0,1)</f>
        <v>0</v>
      </c>
      <c r="AI170" s="1">
        <f t="shared" ref="AI170:AI194" si="316">IF(OR(AW170=0,AW170="-"),0,1)</f>
        <v>0</v>
      </c>
      <c r="AJ170" s="1">
        <f t="shared" ref="AJ170:AJ194" si="317">IF(OR(AX170=0,AX170="-"),0,1)</f>
        <v>0</v>
      </c>
      <c r="AK170" s="1">
        <f t="shared" ref="AK170:AK194" si="318">IF(OR(AY170=0,AY170="-"),0,1)</f>
        <v>0</v>
      </c>
      <c r="AM170" s="1828"/>
      <c r="AN170" s="1828"/>
      <c r="AO170" s="1828"/>
      <c r="AP170" s="1828"/>
      <c r="AQ170" s="1828"/>
      <c r="AR170" s="1828"/>
      <c r="AS170" s="1828"/>
      <c r="AT170" s="1828"/>
      <c r="AU170" s="1828"/>
      <c r="AV170" s="1828"/>
      <c r="AW170" s="1828"/>
      <c r="AX170" s="1828"/>
      <c r="AY170" s="1828"/>
      <c r="BA170" s="2014"/>
      <c r="BB170" s="2014" t="e">
        <f t="shared" si="228"/>
        <v>#REF!</v>
      </c>
      <c r="BC170" s="2014"/>
      <c r="BD170" s="2013" t="e">
        <f>BR170*#REF!</f>
        <v>#REF!</v>
      </c>
      <c r="BE170" s="2013" t="e">
        <f>BS170*#REF!</f>
        <v>#REF!</v>
      </c>
      <c r="BF170" s="2013" t="e">
        <f>BT170*#REF!</f>
        <v>#REF!</v>
      </c>
      <c r="BG170" s="2013" t="e">
        <f>BU170*#REF!</f>
        <v>#REF!</v>
      </c>
      <c r="BH170" s="2094" t="e">
        <f>BV170*#REF!</f>
        <v>#REF!</v>
      </c>
      <c r="BI170" s="2013" t="e">
        <f>BW170*#REF!</f>
        <v>#REF!</v>
      </c>
      <c r="BJ170" s="2013" t="e">
        <f>BX170*#REF!</f>
        <v>#REF!</v>
      </c>
      <c r="BK170" s="2013" t="e">
        <f>BY170*#REF!</f>
        <v>#REF!</v>
      </c>
      <c r="BL170" s="2013" t="e">
        <f>BZ170*#REF!</f>
        <v>#REF!</v>
      </c>
      <c r="BM170" s="2013" t="e">
        <f>CA170*#REF!</f>
        <v>#REF!</v>
      </c>
      <c r="BO170" s="2040" t="str">
        <f t="shared" si="290"/>
        <v>3.2.2</v>
      </c>
      <c r="BP170" s="2040" t="str">
        <f t="shared" si="291"/>
        <v>LR2 3.2</v>
      </c>
      <c r="BQ170" s="829" t="str">
        <f t="shared" si="292"/>
        <v>発泡剤（断熱材等）</v>
      </c>
      <c r="BR170" s="2010">
        <f t="shared" si="293"/>
        <v>0.33333333333333331</v>
      </c>
      <c r="BS170" s="2010">
        <f t="shared" si="294"/>
        <v>0.33333333333333331</v>
      </c>
      <c r="BT170" s="2010">
        <f t="shared" si="295"/>
        <v>0.33333333333333331</v>
      </c>
      <c r="BU170" s="2010">
        <f t="shared" si="296"/>
        <v>0.33333333333333331</v>
      </c>
      <c r="BV170" s="2093">
        <f t="shared" si="297"/>
        <v>0.33333333333333331</v>
      </c>
      <c r="BW170" s="2010">
        <f t="shared" si="298"/>
        <v>0.33333333333333331</v>
      </c>
      <c r="BX170" s="2010">
        <f t="shared" si="299"/>
        <v>0.33333333333333331</v>
      </c>
      <c r="BY170" s="2010">
        <f t="shared" si="300"/>
        <v>0.33333333333333331</v>
      </c>
      <c r="BZ170" s="2010">
        <f t="shared" si="301"/>
        <v>0.33333333333333331</v>
      </c>
      <c r="CA170" s="2010">
        <f t="shared" si="302"/>
        <v>0.33333333333333331</v>
      </c>
      <c r="CB170" s="2092">
        <f t="shared" si="303"/>
        <v>0</v>
      </c>
      <c r="CC170" s="2091">
        <f t="shared" si="304"/>
        <v>0</v>
      </c>
      <c r="CD170" s="2091">
        <f t="shared" si="305"/>
        <v>0</v>
      </c>
      <c r="CF170" s="1207" t="s">
        <v>946</v>
      </c>
      <c r="CG170" s="1211" t="s">
        <v>2109</v>
      </c>
      <c r="CH170" s="1208" t="s">
        <v>2110</v>
      </c>
      <c r="CI170" s="1213">
        <v>0.33333333333333331</v>
      </c>
      <c r="CJ170" s="1213">
        <v>0.33333333333333331</v>
      </c>
      <c r="CK170" s="1213">
        <v>0.33333333333333331</v>
      </c>
      <c r="CL170" s="1213">
        <v>0.33333333333333331</v>
      </c>
      <c r="CM170" s="1213">
        <v>0.33333333333333331</v>
      </c>
      <c r="CN170" s="1213">
        <v>0.33333333333333331</v>
      </c>
      <c r="CO170" s="1213">
        <v>0.33333333333333331</v>
      </c>
      <c r="CP170" s="1213">
        <v>0.33333333333333331</v>
      </c>
      <c r="CQ170" s="1213">
        <v>0.33333333333333331</v>
      </c>
      <c r="CR170" s="1213">
        <v>0.33333333333333331</v>
      </c>
      <c r="CS170" s="1273">
        <v>0</v>
      </c>
      <c r="CT170" s="1225">
        <v>0</v>
      </c>
      <c r="CU170" s="1225">
        <v>0</v>
      </c>
      <c r="CW170" s="1207" t="s">
        <v>946</v>
      </c>
      <c r="CX170" s="1211" t="s">
        <v>2109</v>
      </c>
      <c r="CY170" s="1208" t="s">
        <v>2110</v>
      </c>
      <c r="CZ170" s="1213">
        <v>0.33333333333333331</v>
      </c>
      <c r="DA170" s="1213">
        <v>0.33333333333333331</v>
      </c>
      <c r="DB170" s="1213">
        <v>0.33333333333333331</v>
      </c>
      <c r="DC170" s="1213">
        <v>0.33333333333333331</v>
      </c>
      <c r="DD170" s="1213">
        <v>0.33333333333333331</v>
      </c>
      <c r="DE170" s="1213">
        <v>0.33333333333333331</v>
      </c>
      <c r="DF170" s="1213">
        <v>0.33333333333333331</v>
      </c>
      <c r="DG170" s="1213">
        <v>0.33333333333333331</v>
      </c>
      <c r="DH170" s="1213">
        <v>0.33333333333333331</v>
      </c>
      <c r="DI170" s="1213">
        <v>0.33333333333333331</v>
      </c>
      <c r="DJ170" s="1273"/>
      <c r="DK170" s="1225"/>
      <c r="DL170" s="1225"/>
      <c r="DN170" s="1207" t="s">
        <v>946</v>
      </c>
      <c r="DO170" s="1211" t="s">
        <v>2109</v>
      </c>
      <c r="DP170" s="1208" t="s">
        <v>1191</v>
      </c>
      <c r="DQ170" s="1213">
        <v>0.33333333333333331</v>
      </c>
      <c r="DR170" s="1213">
        <v>0.33333333333333331</v>
      </c>
      <c r="DS170" s="1213">
        <v>0.33333333333333331</v>
      </c>
      <c r="DT170" s="1213">
        <v>0.33333333333333331</v>
      </c>
      <c r="DU170" s="1213">
        <v>0.33333333333333331</v>
      </c>
      <c r="DV170" s="1213">
        <v>0.33333333333333331</v>
      </c>
      <c r="DW170" s="1213">
        <v>0.33333333333333331</v>
      </c>
      <c r="DX170" s="1213">
        <v>0.33333333333333331</v>
      </c>
      <c r="DY170" s="1213">
        <v>0.33333333333333331</v>
      </c>
      <c r="DZ170" s="1213">
        <v>0.33333333333333331</v>
      </c>
      <c r="EA170" s="1273"/>
      <c r="EB170" s="1225"/>
      <c r="EC170" s="1225"/>
      <c r="ED170" s="1463"/>
      <c r="EF170" s="1207" t="s">
        <v>946</v>
      </c>
      <c r="EG170" s="1211" t="s">
        <v>2109</v>
      </c>
      <c r="EH170" s="1208" t="s">
        <v>1191</v>
      </c>
      <c r="EI170" s="1689">
        <f t="shared" si="275"/>
        <v>0.33333333333333331</v>
      </c>
      <c r="EJ170" s="1689">
        <f t="shared" si="276"/>
        <v>0.33333333333333331</v>
      </c>
      <c r="EK170" s="1689">
        <f t="shared" si="277"/>
        <v>0.33333333333333331</v>
      </c>
      <c r="EL170" s="1689">
        <f t="shared" si="278"/>
        <v>0.33333333333333331</v>
      </c>
      <c r="EM170" s="1689">
        <f t="shared" si="279"/>
        <v>0.33333333333333331</v>
      </c>
      <c r="EN170" s="1689">
        <f t="shared" si="280"/>
        <v>0.33333333333333331</v>
      </c>
      <c r="EO170" s="1689">
        <f t="shared" si="281"/>
        <v>0.33333333333333331</v>
      </c>
      <c r="EP170" s="1689">
        <f t="shared" si="282"/>
        <v>0.33333333333333331</v>
      </c>
      <c r="EQ170" s="1689">
        <f t="shared" si="283"/>
        <v>0.33333333333333331</v>
      </c>
      <c r="ER170" s="1689">
        <f t="shared" si="284"/>
        <v>0.33333333333333331</v>
      </c>
      <c r="ES170" s="1714">
        <f t="shared" si="269"/>
        <v>0</v>
      </c>
      <c r="ET170" s="1695">
        <f t="shared" si="270"/>
        <v>0</v>
      </c>
      <c r="EU170" s="1695">
        <f t="shared" si="271"/>
        <v>0</v>
      </c>
      <c r="EW170" s="1207" t="s">
        <v>946</v>
      </c>
      <c r="EX170" s="1211" t="s">
        <v>2109</v>
      </c>
      <c r="EY170" s="1208" t="s">
        <v>1191</v>
      </c>
      <c r="EZ170" s="1814">
        <v>0</v>
      </c>
      <c r="FA170" s="1678"/>
      <c r="FB170" s="1678"/>
      <c r="FC170" s="1678"/>
      <c r="FD170" s="1678"/>
      <c r="FE170" s="1678"/>
      <c r="FF170" s="1678"/>
      <c r="FG170" s="1678"/>
      <c r="FH170" s="1678"/>
      <c r="FI170" s="1678"/>
      <c r="FJ170" s="1812"/>
      <c r="FK170" s="1798"/>
      <c r="FL170" s="1798"/>
    </row>
    <row r="171" spans="2:168" ht="14.25" thickBot="1">
      <c r="B171" s="2023" t="str">
        <f t="shared" si="274"/>
        <v>3.2.3</v>
      </c>
      <c r="C171" s="829" t="str">
        <f t="shared" si="285"/>
        <v>冷媒</v>
      </c>
      <c r="D171" s="2100" t="e">
        <f t="shared" si="286"/>
        <v>#REF!</v>
      </c>
      <c r="E171" s="2021" t="e">
        <f t="shared" si="286"/>
        <v>#REF!</v>
      </c>
      <c r="G171" s="2021" t="e">
        <f t="shared" si="287"/>
        <v>#REF!</v>
      </c>
      <c r="H171" s="2021" t="e">
        <f t="shared" si="288"/>
        <v>#REF!</v>
      </c>
      <c r="I171" s="2021"/>
      <c r="J171" s="2021"/>
      <c r="K171" s="2021" t="e">
        <f>IF(#REF!=0,0,1)</f>
        <v>#REF!</v>
      </c>
      <c r="L171" s="2021" t="e">
        <f>IF(#REF!=0,0,1)</f>
        <v>#REF!</v>
      </c>
      <c r="M171" s="2021">
        <f t="shared" si="289"/>
        <v>0.33333333333333331</v>
      </c>
      <c r="N171" s="2021">
        <f t="shared" si="268"/>
        <v>0</v>
      </c>
      <c r="P171" s="2099"/>
      <c r="Q171" s="2098"/>
      <c r="R171" s="2097">
        <v>3</v>
      </c>
      <c r="S171" s="2096" t="s">
        <v>102</v>
      </c>
      <c r="T171" s="2095"/>
      <c r="U171" s="2017"/>
      <c r="V171" s="2016">
        <f t="shared" si="263"/>
        <v>0</v>
      </c>
      <c r="W171" s="2015">
        <f t="shared" si="264"/>
        <v>0</v>
      </c>
      <c r="Y171" s="1">
        <f t="shared" si="306"/>
        <v>0</v>
      </c>
      <c r="Z171" s="1">
        <f t="shared" si="307"/>
        <v>0</v>
      </c>
      <c r="AA171" s="1">
        <f t="shared" si="308"/>
        <v>0</v>
      </c>
      <c r="AB171" s="1">
        <f t="shared" si="309"/>
        <v>0</v>
      </c>
      <c r="AC171" s="1">
        <f t="shared" si="310"/>
        <v>0</v>
      </c>
      <c r="AD171" s="1">
        <f t="shared" si="311"/>
        <v>0</v>
      </c>
      <c r="AE171" s="1">
        <f t="shared" si="312"/>
        <v>0</v>
      </c>
      <c r="AF171" s="1">
        <f t="shared" si="313"/>
        <v>0</v>
      </c>
      <c r="AG171" s="1">
        <f t="shared" si="314"/>
        <v>0</v>
      </c>
      <c r="AH171" s="1">
        <f t="shared" si="315"/>
        <v>0</v>
      </c>
      <c r="AI171" s="1">
        <f t="shared" si="316"/>
        <v>0</v>
      </c>
      <c r="AJ171" s="1">
        <f t="shared" si="317"/>
        <v>0</v>
      </c>
      <c r="AK171" s="1">
        <f t="shared" si="318"/>
        <v>0</v>
      </c>
      <c r="AM171" s="1831"/>
      <c r="AN171" s="1831"/>
      <c r="AO171" s="1831"/>
      <c r="AP171" s="1831"/>
      <c r="AQ171" s="1831"/>
      <c r="AR171" s="1831"/>
      <c r="AS171" s="1831"/>
      <c r="AT171" s="1831"/>
      <c r="AU171" s="1831"/>
      <c r="AV171" s="1831"/>
      <c r="AW171" s="1831"/>
      <c r="AX171" s="1831"/>
      <c r="AY171" s="1831"/>
      <c r="BA171" s="2014"/>
      <c r="BB171" s="2014" t="e">
        <f t="shared" si="228"/>
        <v>#REF!</v>
      </c>
      <c r="BC171" s="2014"/>
      <c r="BD171" s="2013" t="e">
        <f>BR171*#REF!</f>
        <v>#REF!</v>
      </c>
      <c r="BE171" s="2013" t="e">
        <f>BS171*#REF!</f>
        <v>#REF!</v>
      </c>
      <c r="BF171" s="2013" t="e">
        <f>BT171*#REF!</f>
        <v>#REF!</v>
      </c>
      <c r="BG171" s="2013" t="e">
        <f>BU171*#REF!</f>
        <v>#REF!</v>
      </c>
      <c r="BH171" s="2094" t="e">
        <f>BV171*#REF!</f>
        <v>#REF!</v>
      </c>
      <c r="BI171" s="2013" t="e">
        <f>BW171*#REF!</f>
        <v>#REF!</v>
      </c>
      <c r="BJ171" s="2013" t="e">
        <f>BX171*#REF!</f>
        <v>#REF!</v>
      </c>
      <c r="BK171" s="2013" t="e">
        <f>BY171*#REF!</f>
        <v>#REF!</v>
      </c>
      <c r="BL171" s="2013" t="e">
        <f>BZ171*#REF!</f>
        <v>#REF!</v>
      </c>
      <c r="BM171" s="2013" t="e">
        <f>CA171*#REF!</f>
        <v>#REF!</v>
      </c>
      <c r="BO171" s="2040" t="str">
        <f t="shared" si="290"/>
        <v>3.2.3</v>
      </c>
      <c r="BP171" s="2040" t="str">
        <f t="shared" si="291"/>
        <v>LR2 3.2</v>
      </c>
      <c r="BQ171" s="829" t="str">
        <f t="shared" si="292"/>
        <v>冷媒</v>
      </c>
      <c r="BR171" s="2010">
        <f t="shared" si="293"/>
        <v>0.33333333333333331</v>
      </c>
      <c r="BS171" s="2010">
        <f t="shared" si="294"/>
        <v>0.33333333333333331</v>
      </c>
      <c r="BT171" s="2010">
        <f t="shared" si="295"/>
        <v>0.33333333333333331</v>
      </c>
      <c r="BU171" s="2010">
        <f t="shared" si="296"/>
        <v>0.33333333333333331</v>
      </c>
      <c r="BV171" s="2093">
        <f t="shared" si="297"/>
        <v>0.33333333333333331</v>
      </c>
      <c r="BW171" s="2010">
        <f t="shared" si="298"/>
        <v>0.33333333333333331</v>
      </c>
      <c r="BX171" s="2010">
        <f t="shared" si="299"/>
        <v>0.33333333333333331</v>
      </c>
      <c r="BY171" s="2010">
        <f t="shared" si="300"/>
        <v>0.33333333333333331</v>
      </c>
      <c r="BZ171" s="2010">
        <f t="shared" si="301"/>
        <v>0.33333333333333331</v>
      </c>
      <c r="CA171" s="2010">
        <f t="shared" si="302"/>
        <v>0.33333333333333331</v>
      </c>
      <c r="CB171" s="2092">
        <f t="shared" si="303"/>
        <v>0</v>
      </c>
      <c r="CC171" s="2091">
        <f t="shared" si="304"/>
        <v>0</v>
      </c>
      <c r="CD171" s="2091">
        <f t="shared" si="305"/>
        <v>0</v>
      </c>
      <c r="CF171" s="1207" t="s">
        <v>947</v>
      </c>
      <c r="CG171" s="1211" t="s">
        <v>2109</v>
      </c>
      <c r="CH171" s="1208" t="s">
        <v>2111</v>
      </c>
      <c r="CI171" s="1213">
        <v>0.33333333333333331</v>
      </c>
      <c r="CJ171" s="1213">
        <v>0.33333333333333331</v>
      </c>
      <c r="CK171" s="1213">
        <v>0.33333333333333331</v>
      </c>
      <c r="CL171" s="1213">
        <v>0.33333333333333331</v>
      </c>
      <c r="CM171" s="1213">
        <v>0.33333333333333331</v>
      </c>
      <c r="CN171" s="1213">
        <v>0.33333333333333331</v>
      </c>
      <c r="CO171" s="1213">
        <v>0.33333333333333331</v>
      </c>
      <c r="CP171" s="1213">
        <v>0.33333333333333331</v>
      </c>
      <c r="CQ171" s="1213">
        <v>0.33333333333333331</v>
      </c>
      <c r="CR171" s="1213">
        <v>0.33333333333333331</v>
      </c>
      <c r="CS171" s="1273">
        <v>0</v>
      </c>
      <c r="CT171" s="1225">
        <v>0</v>
      </c>
      <c r="CU171" s="1225">
        <v>0</v>
      </c>
      <c r="CW171" s="1207" t="s">
        <v>947</v>
      </c>
      <c r="CX171" s="1211" t="s">
        <v>2109</v>
      </c>
      <c r="CY171" s="1208" t="s">
        <v>2111</v>
      </c>
      <c r="CZ171" s="1213">
        <v>0.33333333333333331</v>
      </c>
      <c r="DA171" s="1213">
        <v>0.33333333333333331</v>
      </c>
      <c r="DB171" s="1213">
        <v>0.33333333333333331</v>
      </c>
      <c r="DC171" s="1213">
        <v>0.33333333333333331</v>
      </c>
      <c r="DD171" s="1213">
        <v>0.33333333333333331</v>
      </c>
      <c r="DE171" s="1213">
        <v>0.33333333333333331</v>
      </c>
      <c r="DF171" s="1213">
        <v>0.33333333333333331</v>
      </c>
      <c r="DG171" s="1213">
        <v>0.33333333333333331</v>
      </c>
      <c r="DH171" s="1213">
        <v>0.33333333333333331</v>
      </c>
      <c r="DI171" s="1213">
        <v>0.33333333333333331</v>
      </c>
      <c r="DJ171" s="1273"/>
      <c r="DK171" s="1225"/>
      <c r="DL171" s="1225"/>
      <c r="DN171" s="1207" t="s">
        <v>947</v>
      </c>
      <c r="DO171" s="1211" t="s">
        <v>2109</v>
      </c>
      <c r="DP171" s="1208" t="s">
        <v>2111</v>
      </c>
      <c r="DQ171" s="1213">
        <v>0.33333333333333331</v>
      </c>
      <c r="DR171" s="1213">
        <v>0.33333333333333331</v>
      </c>
      <c r="DS171" s="1213">
        <v>0.33333333333333331</v>
      </c>
      <c r="DT171" s="1213">
        <v>0.33333333333333331</v>
      </c>
      <c r="DU171" s="1213">
        <v>0.33333333333333331</v>
      </c>
      <c r="DV171" s="1213">
        <v>0.33333333333333331</v>
      </c>
      <c r="DW171" s="1213">
        <v>0.33333333333333331</v>
      </c>
      <c r="DX171" s="1213">
        <v>0.33333333333333331</v>
      </c>
      <c r="DY171" s="1213">
        <v>0.33333333333333331</v>
      </c>
      <c r="DZ171" s="1213">
        <v>0.33333333333333331</v>
      </c>
      <c r="EA171" s="1273"/>
      <c r="EB171" s="1225"/>
      <c r="EC171" s="1225"/>
      <c r="ED171" s="1463"/>
      <c r="EF171" s="1207" t="s">
        <v>947</v>
      </c>
      <c r="EG171" s="1211" t="s">
        <v>2109</v>
      </c>
      <c r="EH171" s="1208" t="s">
        <v>2111</v>
      </c>
      <c r="EI171" s="1689">
        <f t="shared" si="275"/>
        <v>0.33333333333333331</v>
      </c>
      <c r="EJ171" s="1689">
        <f t="shared" si="276"/>
        <v>0.33333333333333331</v>
      </c>
      <c r="EK171" s="1689">
        <f t="shared" si="277"/>
        <v>0.33333333333333331</v>
      </c>
      <c r="EL171" s="1689">
        <f t="shared" si="278"/>
        <v>0.33333333333333331</v>
      </c>
      <c r="EM171" s="1689">
        <f t="shared" si="279"/>
        <v>0.33333333333333331</v>
      </c>
      <c r="EN171" s="1689">
        <f t="shared" si="280"/>
        <v>0.33333333333333331</v>
      </c>
      <c r="EO171" s="1689">
        <f t="shared" si="281"/>
        <v>0.33333333333333331</v>
      </c>
      <c r="EP171" s="1689">
        <f t="shared" si="282"/>
        <v>0.33333333333333331</v>
      </c>
      <c r="EQ171" s="1689">
        <f t="shared" si="283"/>
        <v>0.33333333333333331</v>
      </c>
      <c r="ER171" s="1689">
        <f t="shared" si="284"/>
        <v>0.33333333333333331</v>
      </c>
      <c r="ES171" s="1714">
        <f t="shared" si="269"/>
        <v>0</v>
      </c>
      <c r="ET171" s="1695">
        <f t="shared" si="270"/>
        <v>0</v>
      </c>
      <c r="EU171" s="1695">
        <f t="shared" si="271"/>
        <v>0</v>
      </c>
      <c r="EW171" s="1207" t="s">
        <v>947</v>
      </c>
      <c r="EX171" s="1211" t="s">
        <v>2109</v>
      </c>
      <c r="EY171" s="1208" t="s">
        <v>2111</v>
      </c>
      <c r="EZ171" s="1814">
        <v>1</v>
      </c>
      <c r="FA171" s="1678"/>
      <c r="FB171" s="1678"/>
      <c r="FC171" s="1678"/>
      <c r="FD171" s="1678"/>
      <c r="FE171" s="1678"/>
      <c r="FF171" s="1678"/>
      <c r="FG171" s="1678"/>
      <c r="FH171" s="1678"/>
      <c r="FI171" s="1678"/>
      <c r="FJ171" s="1812"/>
      <c r="FK171" s="1798"/>
      <c r="FL171" s="1798"/>
    </row>
    <row r="172" spans="2:168" ht="14.25" thickBot="1">
      <c r="B172" s="2023" t="str">
        <f t="shared" si="274"/>
        <v>LR3</v>
      </c>
      <c r="C172" s="2079" t="str">
        <f t="shared" si="285"/>
        <v>敷地外環境</v>
      </c>
      <c r="D172" s="2090" t="e">
        <f>IF(I$121=0,0,G172/I$121)</f>
        <v>#REF!</v>
      </c>
      <c r="E172" s="2089" t="e">
        <f>IF(J$121=0,0,H172/J$121)</f>
        <v>#REF!</v>
      </c>
      <c r="G172" s="2089" t="e">
        <f t="shared" si="287"/>
        <v>#REF!</v>
      </c>
      <c r="H172" s="2089" t="e">
        <f t="shared" si="288"/>
        <v>#REF!</v>
      </c>
      <c r="I172" s="2089" t="e">
        <f>G173+G174+G183</f>
        <v>#REF!</v>
      </c>
      <c r="J172" s="2089" t="e">
        <f>H173+H174+H183</f>
        <v>#REF!</v>
      </c>
      <c r="K172" s="2089" t="e">
        <f>IF(#REF!=0,0,1)</f>
        <v>#REF!</v>
      </c>
      <c r="L172" s="2089" t="e">
        <f>IF(#REF!=0,0,1)</f>
        <v>#REF!</v>
      </c>
      <c r="M172" s="2089">
        <f t="shared" si="289"/>
        <v>0.3</v>
      </c>
      <c r="N172" s="2089">
        <f t="shared" si="268"/>
        <v>0</v>
      </c>
      <c r="P172" s="2088" t="s">
        <v>1411</v>
      </c>
      <c r="Q172" s="2087" t="s">
        <v>1413</v>
      </c>
      <c r="R172" s="2087"/>
      <c r="S172" s="2087"/>
      <c r="T172" s="2086"/>
      <c r="U172" s="2017"/>
      <c r="V172" s="2085">
        <f t="shared" si="263"/>
        <v>0</v>
      </c>
      <c r="W172" s="2084">
        <f t="shared" si="264"/>
        <v>0</v>
      </c>
      <c r="Y172" s="1">
        <f t="shared" si="306"/>
        <v>1</v>
      </c>
      <c r="Z172" s="1">
        <f t="shared" si="307"/>
        <v>1</v>
      </c>
      <c r="AA172" s="1">
        <f t="shared" si="308"/>
        <v>1</v>
      </c>
      <c r="AB172" s="1">
        <f t="shared" si="309"/>
        <v>1</v>
      </c>
      <c r="AC172" s="1">
        <f t="shared" si="310"/>
        <v>1</v>
      </c>
      <c r="AD172" s="1">
        <f t="shared" si="311"/>
        <v>1</v>
      </c>
      <c r="AE172" s="1">
        <f t="shared" si="312"/>
        <v>1</v>
      </c>
      <c r="AF172" s="1">
        <f t="shared" si="313"/>
        <v>1</v>
      </c>
      <c r="AG172" s="1">
        <f t="shared" si="314"/>
        <v>1</v>
      </c>
      <c r="AH172" s="1">
        <f t="shared" si="315"/>
        <v>1</v>
      </c>
      <c r="AI172" s="1">
        <f t="shared" si="316"/>
        <v>1</v>
      </c>
      <c r="AJ172" s="1">
        <f t="shared" si="317"/>
        <v>1</v>
      </c>
      <c r="AK172" s="1">
        <f t="shared" si="318"/>
        <v>1</v>
      </c>
      <c r="AM172" s="2083" t="str">
        <f t="shared" ref="AM172:AY172" si="319">AM$6</f>
        <v>事務所</v>
      </c>
      <c r="AN172" s="2083" t="str">
        <f t="shared" si="319"/>
        <v>学校</v>
      </c>
      <c r="AO172" s="2083" t="str">
        <f t="shared" si="319"/>
        <v>物販店</v>
      </c>
      <c r="AP172" s="2083" t="str">
        <f t="shared" si="319"/>
        <v>飲食店</v>
      </c>
      <c r="AQ172" s="2083" t="str">
        <f t="shared" si="319"/>
        <v>集会所</v>
      </c>
      <c r="AR172" s="2083" t="str">
        <f t="shared" si="319"/>
        <v>工場</v>
      </c>
      <c r="AS172" s="2083" t="str">
        <f t="shared" si="319"/>
        <v>小中高</v>
      </c>
      <c r="AT172" s="2083" t="str">
        <f t="shared" si="319"/>
        <v>病院</v>
      </c>
      <c r="AU172" s="2083" t="str">
        <f t="shared" si="319"/>
        <v>ホテル</v>
      </c>
      <c r="AV172" s="2083" t="str">
        <f t="shared" si="319"/>
        <v>集合住宅</v>
      </c>
      <c r="AW172" s="2083" t="str">
        <f t="shared" si="319"/>
        <v>病院o</v>
      </c>
      <c r="AX172" s="2083" t="str">
        <f t="shared" si="319"/>
        <v>ホテルo</v>
      </c>
      <c r="AY172" s="2083" t="str">
        <f t="shared" si="319"/>
        <v>集合住宅o</v>
      </c>
      <c r="BA172" s="2082" t="e">
        <f>BB172/$BC$121</f>
        <v>#REF!</v>
      </c>
      <c r="BB172" s="2082" t="e">
        <f t="shared" si="228"/>
        <v>#REF!</v>
      </c>
      <c r="BC172" s="2082" t="e">
        <f>BB173+BB174+BB183</f>
        <v>#REF!</v>
      </c>
      <c r="BD172" s="2081" t="e">
        <f>BR172*#REF!</f>
        <v>#REF!</v>
      </c>
      <c r="BE172" s="2081" t="e">
        <f>BS172*#REF!</f>
        <v>#REF!</v>
      </c>
      <c r="BF172" s="2081" t="e">
        <f>BT172*#REF!</f>
        <v>#REF!</v>
      </c>
      <c r="BG172" s="2081" t="e">
        <f>BU172*#REF!</f>
        <v>#REF!</v>
      </c>
      <c r="BH172" s="2081" t="e">
        <f>BV172*#REF!</f>
        <v>#REF!</v>
      </c>
      <c r="BI172" s="2081" t="e">
        <f>BW172*#REF!</f>
        <v>#REF!</v>
      </c>
      <c r="BJ172" s="2081" t="e">
        <f>BX172*#REF!</f>
        <v>#REF!</v>
      </c>
      <c r="BK172" s="2081" t="e">
        <f>BY172*#REF!</f>
        <v>#REF!</v>
      </c>
      <c r="BL172" s="2081" t="e">
        <f>BZ172*#REF!</f>
        <v>#REF!</v>
      </c>
      <c r="BM172" s="2081" t="e">
        <f>CA172*#REF!</f>
        <v>#REF!</v>
      </c>
      <c r="BO172" s="2080" t="str">
        <f t="shared" si="290"/>
        <v>LR3</v>
      </c>
      <c r="BP172" s="2080" t="str">
        <f t="shared" si="291"/>
        <v>LR</v>
      </c>
      <c r="BQ172" s="2079" t="str">
        <f t="shared" si="292"/>
        <v>敷地外環境</v>
      </c>
      <c r="BR172" s="2078">
        <f t="shared" si="293"/>
        <v>0.3</v>
      </c>
      <c r="BS172" s="2078">
        <f t="shared" si="294"/>
        <v>0.3</v>
      </c>
      <c r="BT172" s="2078">
        <f t="shared" si="295"/>
        <v>0.3</v>
      </c>
      <c r="BU172" s="2078">
        <f t="shared" si="296"/>
        <v>0.3</v>
      </c>
      <c r="BV172" s="2078">
        <f t="shared" si="297"/>
        <v>0.3</v>
      </c>
      <c r="BW172" s="2078">
        <f t="shared" si="298"/>
        <v>0.3</v>
      </c>
      <c r="BX172" s="2078">
        <f t="shared" si="299"/>
        <v>0.3</v>
      </c>
      <c r="BY172" s="2078">
        <f t="shared" si="300"/>
        <v>0.3</v>
      </c>
      <c r="BZ172" s="2078">
        <f t="shared" si="301"/>
        <v>0.3</v>
      </c>
      <c r="CA172" s="2078">
        <f t="shared" si="302"/>
        <v>0.3</v>
      </c>
      <c r="CB172" s="2077">
        <f t="shared" si="303"/>
        <v>0</v>
      </c>
      <c r="CC172" s="2076">
        <f t="shared" si="304"/>
        <v>0</v>
      </c>
      <c r="CD172" s="2076">
        <f t="shared" si="305"/>
        <v>0</v>
      </c>
      <c r="CF172" s="1266" t="s">
        <v>1411</v>
      </c>
      <c r="CG172" s="1267" t="s">
        <v>1175</v>
      </c>
      <c r="CH172" s="1189" t="s">
        <v>1413</v>
      </c>
      <c r="CI172" s="1192">
        <v>0.3</v>
      </c>
      <c r="CJ172" s="1192">
        <v>0.3</v>
      </c>
      <c r="CK172" s="1192">
        <v>0.3</v>
      </c>
      <c r="CL172" s="1192">
        <v>0.3</v>
      </c>
      <c r="CM172" s="1192">
        <v>0.3</v>
      </c>
      <c r="CN172" s="1192">
        <v>0.3</v>
      </c>
      <c r="CO172" s="1192">
        <v>0.3</v>
      </c>
      <c r="CP172" s="1192">
        <v>0.3</v>
      </c>
      <c r="CQ172" s="1192">
        <v>0.3</v>
      </c>
      <c r="CR172" s="1192">
        <v>0.3</v>
      </c>
      <c r="CS172" s="1269">
        <v>0</v>
      </c>
      <c r="CT172" s="1270">
        <v>0</v>
      </c>
      <c r="CU172" s="1270">
        <v>0</v>
      </c>
      <c r="CW172" s="1266" t="s">
        <v>1411</v>
      </c>
      <c r="CX172" s="1267" t="s">
        <v>1175</v>
      </c>
      <c r="CY172" s="1189" t="s">
        <v>1413</v>
      </c>
      <c r="CZ172" s="1192">
        <v>0.3</v>
      </c>
      <c r="DA172" s="1192">
        <v>0.3</v>
      </c>
      <c r="DB172" s="1192">
        <v>0.3</v>
      </c>
      <c r="DC172" s="1192">
        <v>0.3</v>
      </c>
      <c r="DD172" s="1192">
        <v>0.3</v>
      </c>
      <c r="DE172" s="1192">
        <v>0.3</v>
      </c>
      <c r="DF172" s="1192">
        <v>0.3</v>
      </c>
      <c r="DG172" s="1192">
        <v>0.3</v>
      </c>
      <c r="DH172" s="1192">
        <v>0.3</v>
      </c>
      <c r="DI172" s="1192">
        <v>0.3</v>
      </c>
      <c r="DJ172" s="1269"/>
      <c r="DK172" s="1270"/>
      <c r="DL172" s="1270"/>
      <c r="DN172" s="1266" t="s">
        <v>1411</v>
      </c>
      <c r="DO172" s="1267" t="s">
        <v>1175</v>
      </c>
      <c r="DP172" s="1189" t="s">
        <v>1413</v>
      </c>
      <c r="DQ172" s="1192">
        <v>0.3</v>
      </c>
      <c r="DR172" s="1192">
        <v>0.3</v>
      </c>
      <c r="DS172" s="1192">
        <v>0.3</v>
      </c>
      <c r="DT172" s="1192">
        <v>0.3</v>
      </c>
      <c r="DU172" s="1192">
        <v>0.3</v>
      </c>
      <c r="DV172" s="1192">
        <v>0.3</v>
      </c>
      <c r="DW172" s="1192">
        <v>0.3</v>
      </c>
      <c r="DX172" s="1192">
        <v>0.3</v>
      </c>
      <c r="DY172" s="1192">
        <v>0.3</v>
      </c>
      <c r="DZ172" s="1192">
        <v>0.3</v>
      </c>
      <c r="EA172" s="1269"/>
      <c r="EB172" s="1270"/>
      <c r="EC172" s="1270"/>
      <c r="ED172" s="1473"/>
      <c r="EF172" s="1266" t="s">
        <v>1411</v>
      </c>
      <c r="EG172" s="1267" t="s">
        <v>1175</v>
      </c>
      <c r="EH172" s="1189" t="s">
        <v>1413</v>
      </c>
      <c r="EI172" s="1684">
        <f t="shared" si="275"/>
        <v>0.3</v>
      </c>
      <c r="EJ172" s="1684">
        <f t="shared" si="276"/>
        <v>0.3</v>
      </c>
      <c r="EK172" s="1684">
        <f t="shared" si="277"/>
        <v>0.3</v>
      </c>
      <c r="EL172" s="1684">
        <f t="shared" si="278"/>
        <v>0.3</v>
      </c>
      <c r="EM172" s="1684">
        <f t="shared" si="279"/>
        <v>0.3</v>
      </c>
      <c r="EN172" s="1684">
        <f t="shared" si="280"/>
        <v>0.3</v>
      </c>
      <c r="EO172" s="1684">
        <f t="shared" si="281"/>
        <v>0.3</v>
      </c>
      <c r="EP172" s="1684">
        <f t="shared" si="282"/>
        <v>0.3</v>
      </c>
      <c r="EQ172" s="1684">
        <f t="shared" si="283"/>
        <v>0.3</v>
      </c>
      <c r="ER172" s="1684">
        <f t="shared" si="284"/>
        <v>0.3</v>
      </c>
      <c r="ES172" s="1710">
        <f t="shared" si="269"/>
        <v>0</v>
      </c>
      <c r="ET172" s="1711">
        <f t="shared" si="270"/>
        <v>0</v>
      </c>
      <c r="EU172" s="1711">
        <f t="shared" si="271"/>
        <v>0</v>
      </c>
      <c r="EW172" s="1266" t="s">
        <v>1411</v>
      </c>
      <c r="EX172" s="1267" t="s">
        <v>1175</v>
      </c>
      <c r="EY172" s="1189" t="s">
        <v>1413</v>
      </c>
      <c r="EZ172" s="1813">
        <v>0.1</v>
      </c>
      <c r="FA172" s="1674"/>
      <c r="FB172" s="1674"/>
      <c r="FC172" s="1674"/>
      <c r="FD172" s="1674"/>
      <c r="FE172" s="1674"/>
      <c r="FF172" s="1674"/>
      <c r="FG172" s="1674"/>
      <c r="FH172" s="1674"/>
      <c r="FI172" s="1674"/>
      <c r="FJ172" s="1682"/>
      <c r="FK172" s="1683"/>
      <c r="FL172" s="1683"/>
    </row>
    <row r="173" spans="2:168">
      <c r="B173" s="2075">
        <f t="shared" si="274"/>
        <v>1</v>
      </c>
      <c r="C173" s="2050" t="str">
        <f t="shared" si="285"/>
        <v>地球温暖化への配慮</v>
      </c>
      <c r="D173" s="2061" t="e">
        <f>IF(I$172=0,0,G173/I$172)</f>
        <v>#REF!</v>
      </c>
      <c r="E173" s="2061" t="e">
        <f>IF(J$172=0,0,H173/J$172)</f>
        <v>#REF!</v>
      </c>
      <c r="G173" s="2060" t="e">
        <f t="shared" si="287"/>
        <v>#REF!</v>
      </c>
      <c r="H173" s="2060" t="e">
        <f t="shared" si="288"/>
        <v>#REF!</v>
      </c>
      <c r="I173" s="2060"/>
      <c r="J173" s="2060"/>
      <c r="K173" s="2060" t="e">
        <f>IF(#REF!=0,0,1)</f>
        <v>#REF!</v>
      </c>
      <c r="L173" s="2060" t="e">
        <f>IF(#REF!=0,0,1)</f>
        <v>#REF!</v>
      </c>
      <c r="M173" s="2060">
        <f t="shared" si="289"/>
        <v>0.33333333333333331</v>
      </c>
      <c r="N173" s="2060">
        <f t="shared" si="268"/>
        <v>0</v>
      </c>
      <c r="P173" s="2066">
        <v>1</v>
      </c>
      <c r="Q173" s="2045" t="s">
        <v>552</v>
      </c>
      <c r="R173" s="2033"/>
      <c r="S173" s="2033"/>
      <c r="T173" s="2032"/>
      <c r="U173" s="2017"/>
      <c r="V173" s="2074">
        <f t="shared" si="263"/>
        <v>0</v>
      </c>
      <c r="W173" s="2073">
        <f t="shared" si="264"/>
        <v>0</v>
      </c>
      <c r="Y173" s="1">
        <f t="shared" si="306"/>
        <v>0</v>
      </c>
      <c r="Z173" s="1">
        <f t="shared" si="307"/>
        <v>0</v>
      </c>
      <c r="AA173" s="1">
        <f t="shared" si="308"/>
        <v>0</v>
      </c>
      <c r="AB173" s="1">
        <f t="shared" si="309"/>
        <v>0</v>
      </c>
      <c r="AC173" s="1">
        <f t="shared" si="310"/>
        <v>0</v>
      </c>
      <c r="AD173" s="1">
        <f t="shared" si="311"/>
        <v>0</v>
      </c>
      <c r="AE173" s="1">
        <f t="shared" si="312"/>
        <v>0</v>
      </c>
      <c r="AF173" s="1">
        <f t="shared" si="313"/>
        <v>0</v>
      </c>
      <c r="AG173" s="1">
        <f t="shared" si="314"/>
        <v>0</v>
      </c>
      <c r="AH173" s="1">
        <f t="shared" si="315"/>
        <v>0</v>
      </c>
      <c r="AI173" s="1">
        <f t="shared" si="316"/>
        <v>0</v>
      </c>
      <c r="AJ173" s="1">
        <f t="shared" si="317"/>
        <v>0</v>
      </c>
      <c r="AK173" s="1">
        <f t="shared" si="318"/>
        <v>0</v>
      </c>
      <c r="AM173" s="2072" t="s">
        <v>3133</v>
      </c>
      <c r="AN173" s="2072" t="s">
        <v>177</v>
      </c>
      <c r="AO173" s="2072" t="s">
        <v>177</v>
      </c>
      <c r="AP173" s="2072" t="s">
        <v>177</v>
      </c>
      <c r="AQ173" s="2072" t="s">
        <v>177</v>
      </c>
      <c r="AR173" s="2072" t="s">
        <v>177</v>
      </c>
      <c r="AS173" s="2072" t="s">
        <v>177</v>
      </c>
      <c r="AT173" s="2072" t="s">
        <v>177</v>
      </c>
      <c r="AU173" s="2072" t="s">
        <v>177</v>
      </c>
      <c r="AV173" s="2072" t="s">
        <v>177</v>
      </c>
      <c r="AW173" s="2072" t="s">
        <v>177</v>
      </c>
      <c r="AX173" s="2072" t="s">
        <v>3133</v>
      </c>
      <c r="AY173" s="2072" t="s">
        <v>177</v>
      </c>
      <c r="BA173" s="2054" t="e">
        <f>BB173/$BC$172</f>
        <v>#REF!</v>
      </c>
      <c r="BB173" s="2071" t="e">
        <f>D173</f>
        <v>#REF!</v>
      </c>
      <c r="BC173" s="2054"/>
      <c r="BD173" s="2053" t="e">
        <f>BR173*#REF!</f>
        <v>#REF!</v>
      </c>
      <c r="BE173" s="2053" t="e">
        <f>BS173*#REF!</f>
        <v>#REF!</v>
      </c>
      <c r="BF173" s="2053" t="e">
        <f>BT173*#REF!</f>
        <v>#REF!</v>
      </c>
      <c r="BG173" s="2053" t="e">
        <f>BU173*#REF!</f>
        <v>#REF!</v>
      </c>
      <c r="BH173" s="2053" t="e">
        <f>BV173*#REF!</f>
        <v>#REF!</v>
      </c>
      <c r="BI173" s="2053" t="e">
        <f>BW173*#REF!</f>
        <v>#REF!</v>
      </c>
      <c r="BJ173" s="2053" t="e">
        <f>BX173*#REF!</f>
        <v>#REF!</v>
      </c>
      <c r="BK173" s="2053" t="e">
        <f>BY173*#REF!</f>
        <v>#REF!</v>
      </c>
      <c r="BL173" s="2053" t="e">
        <f>BZ173*#REF!</f>
        <v>#REF!</v>
      </c>
      <c r="BM173" s="2053" t="e">
        <f>CA173*#REF!</f>
        <v>#REF!</v>
      </c>
      <c r="BO173" s="2052">
        <f t="shared" si="290"/>
        <v>1</v>
      </c>
      <c r="BP173" s="2051" t="str">
        <f t="shared" si="291"/>
        <v>LR3</v>
      </c>
      <c r="BQ173" s="2050" t="str">
        <f t="shared" si="292"/>
        <v>地球温暖化への配慮</v>
      </c>
      <c r="BR173" s="2048">
        <f t="shared" si="293"/>
        <v>0.33333333333333331</v>
      </c>
      <c r="BS173" s="2048">
        <f t="shared" si="294"/>
        <v>0.33333333333333331</v>
      </c>
      <c r="BT173" s="2048">
        <f t="shared" si="295"/>
        <v>0.33333333333333331</v>
      </c>
      <c r="BU173" s="2048">
        <f t="shared" si="296"/>
        <v>0.33333333333333331</v>
      </c>
      <c r="BV173" s="2048">
        <f t="shared" si="297"/>
        <v>0.33333333333333331</v>
      </c>
      <c r="BW173" s="2048">
        <f t="shared" si="298"/>
        <v>0.33333333333333331</v>
      </c>
      <c r="BX173" s="2048">
        <f t="shared" si="299"/>
        <v>0.33333333333333331</v>
      </c>
      <c r="BY173" s="2048">
        <f t="shared" si="300"/>
        <v>0.33333333333333331</v>
      </c>
      <c r="BZ173" s="2048">
        <f t="shared" si="301"/>
        <v>0.33333333333333331</v>
      </c>
      <c r="CA173" s="2048">
        <f t="shared" si="302"/>
        <v>0.33333333333333331</v>
      </c>
      <c r="CB173" s="2049">
        <f t="shared" si="303"/>
        <v>0</v>
      </c>
      <c r="CC173" s="2048">
        <f t="shared" si="304"/>
        <v>0</v>
      </c>
      <c r="CD173" s="2048">
        <f t="shared" si="305"/>
        <v>0</v>
      </c>
      <c r="CF173" s="1197">
        <v>1</v>
      </c>
      <c r="CG173" s="1201" t="s">
        <v>1322</v>
      </c>
      <c r="CH173" s="1198" t="s">
        <v>552</v>
      </c>
      <c r="CI173" s="1202">
        <v>0.33333333333333331</v>
      </c>
      <c r="CJ173" s="1202">
        <v>0.33333333333333331</v>
      </c>
      <c r="CK173" s="1202">
        <v>0.33333333333333331</v>
      </c>
      <c r="CL173" s="1202">
        <v>0.33333333333333331</v>
      </c>
      <c r="CM173" s="1202">
        <v>0.33333333333333331</v>
      </c>
      <c r="CN173" s="1202">
        <v>0.33333333333333331</v>
      </c>
      <c r="CO173" s="1202">
        <v>0.33333333333333331</v>
      </c>
      <c r="CP173" s="1202">
        <v>0.33333333333333331</v>
      </c>
      <c r="CQ173" s="1202">
        <v>0.33333333333333331</v>
      </c>
      <c r="CR173" s="1202">
        <v>0.33333333333333331</v>
      </c>
      <c r="CS173" s="1203">
        <v>0</v>
      </c>
      <c r="CT173" s="1202">
        <v>0</v>
      </c>
      <c r="CU173" s="1202">
        <v>0</v>
      </c>
      <c r="CW173" s="1197">
        <v>1</v>
      </c>
      <c r="CX173" s="1201" t="s">
        <v>1322</v>
      </c>
      <c r="CY173" s="1198" t="s">
        <v>552</v>
      </c>
      <c r="CZ173" s="1202">
        <f t="shared" ref="CZ173:DI174" si="320">1/3</f>
        <v>0.33333333333333331</v>
      </c>
      <c r="DA173" s="1202">
        <f t="shared" si="320"/>
        <v>0.33333333333333331</v>
      </c>
      <c r="DB173" s="1202">
        <f t="shared" si="320"/>
        <v>0.33333333333333331</v>
      </c>
      <c r="DC173" s="1202">
        <f t="shared" si="320"/>
        <v>0.33333333333333331</v>
      </c>
      <c r="DD173" s="1202">
        <f t="shared" si="320"/>
        <v>0.33333333333333331</v>
      </c>
      <c r="DE173" s="1202">
        <f t="shared" si="320"/>
        <v>0.33333333333333331</v>
      </c>
      <c r="DF173" s="1202">
        <f t="shared" si="320"/>
        <v>0.33333333333333331</v>
      </c>
      <c r="DG173" s="1202">
        <f t="shared" si="320"/>
        <v>0.33333333333333331</v>
      </c>
      <c r="DH173" s="1202">
        <f t="shared" si="320"/>
        <v>0.33333333333333331</v>
      </c>
      <c r="DI173" s="1202">
        <f t="shared" si="320"/>
        <v>0.33333333333333331</v>
      </c>
      <c r="DJ173" s="1203"/>
      <c r="DK173" s="1202"/>
      <c r="DL173" s="1202"/>
      <c r="DN173" s="1197">
        <v>1</v>
      </c>
      <c r="DO173" s="1201" t="s">
        <v>1322</v>
      </c>
      <c r="DP173" s="1198" t="s">
        <v>552</v>
      </c>
      <c r="DQ173" s="1202">
        <f t="shared" ref="DQ173:DZ174" si="321">1/3</f>
        <v>0.33333333333333331</v>
      </c>
      <c r="DR173" s="1202">
        <f t="shared" si="321"/>
        <v>0.33333333333333331</v>
      </c>
      <c r="DS173" s="1202">
        <f t="shared" si="321"/>
        <v>0.33333333333333331</v>
      </c>
      <c r="DT173" s="1202">
        <f t="shared" si="321"/>
        <v>0.33333333333333331</v>
      </c>
      <c r="DU173" s="1202">
        <f t="shared" si="321"/>
        <v>0.33333333333333331</v>
      </c>
      <c r="DV173" s="1202">
        <f t="shared" si="321"/>
        <v>0.33333333333333331</v>
      </c>
      <c r="DW173" s="1202">
        <f t="shared" si="321"/>
        <v>0.33333333333333331</v>
      </c>
      <c r="DX173" s="1202">
        <f t="shared" si="321"/>
        <v>0.33333333333333331</v>
      </c>
      <c r="DY173" s="1202">
        <f t="shared" si="321"/>
        <v>0.33333333333333331</v>
      </c>
      <c r="DZ173" s="1202">
        <f t="shared" si="321"/>
        <v>0.33333333333333331</v>
      </c>
      <c r="EA173" s="1203"/>
      <c r="EB173" s="1202"/>
      <c r="EC173" s="1202"/>
      <c r="ED173" s="1468"/>
      <c r="EF173" s="1197">
        <v>1</v>
      </c>
      <c r="EG173" s="1201" t="s">
        <v>1322</v>
      </c>
      <c r="EH173" s="1198" t="s">
        <v>552</v>
      </c>
      <c r="EI173" s="1686">
        <f t="shared" si="275"/>
        <v>0.33333333333333331</v>
      </c>
      <c r="EJ173" s="1686">
        <f t="shared" si="276"/>
        <v>0.33333333333333331</v>
      </c>
      <c r="EK173" s="1686">
        <f t="shared" si="277"/>
        <v>0.33333333333333331</v>
      </c>
      <c r="EL173" s="1686">
        <f t="shared" si="278"/>
        <v>0.33333333333333331</v>
      </c>
      <c r="EM173" s="1686">
        <f t="shared" si="279"/>
        <v>0.33333333333333331</v>
      </c>
      <c r="EN173" s="1686">
        <f t="shared" si="280"/>
        <v>0.33333333333333331</v>
      </c>
      <c r="EO173" s="1686">
        <f t="shared" si="281"/>
        <v>0.33333333333333331</v>
      </c>
      <c r="EP173" s="1686">
        <f t="shared" si="282"/>
        <v>0.33333333333333331</v>
      </c>
      <c r="EQ173" s="1686">
        <f t="shared" si="283"/>
        <v>0.33333333333333331</v>
      </c>
      <c r="ER173" s="1686">
        <f t="shared" si="284"/>
        <v>0.33333333333333331</v>
      </c>
      <c r="ES173" s="1688">
        <f t="shared" si="269"/>
        <v>0</v>
      </c>
      <c r="ET173" s="1686">
        <f t="shared" si="270"/>
        <v>0</v>
      </c>
      <c r="EU173" s="1686">
        <f t="shared" si="271"/>
        <v>0</v>
      </c>
      <c r="EW173" s="1197">
        <v>1</v>
      </c>
      <c r="EX173" s="1201" t="s">
        <v>1322</v>
      </c>
      <c r="EY173" s="1198" t="s">
        <v>552</v>
      </c>
      <c r="EZ173" s="1821">
        <v>0</v>
      </c>
      <c r="FA173" s="1676"/>
      <c r="FB173" s="1676"/>
      <c r="FC173" s="1676"/>
      <c r="FD173" s="1676"/>
      <c r="FE173" s="1676"/>
      <c r="FF173" s="1676"/>
      <c r="FG173" s="1676"/>
      <c r="FH173" s="1676"/>
      <c r="FI173" s="1676"/>
      <c r="FJ173" s="1677"/>
      <c r="FK173" s="1676"/>
      <c r="FL173" s="1676"/>
    </row>
    <row r="174" spans="2:168" ht="14.25" thickBot="1">
      <c r="B174" s="2023">
        <f t="shared" si="274"/>
        <v>2</v>
      </c>
      <c r="C174" s="2050" t="str">
        <f t="shared" si="285"/>
        <v>地域環境への配慮</v>
      </c>
      <c r="D174" s="2061" t="e">
        <f>IF(I$172=0,0,G174/I$172)</f>
        <v>#REF!</v>
      </c>
      <c r="E174" s="2061" t="e">
        <f>IF(J$172=0,0,H174/J$172)</f>
        <v>#REF!</v>
      </c>
      <c r="G174" s="2060" t="e">
        <f t="shared" si="287"/>
        <v>#REF!</v>
      </c>
      <c r="H174" s="2060" t="e">
        <f t="shared" si="288"/>
        <v>#REF!</v>
      </c>
      <c r="I174" s="2060" t="e">
        <f>G175+G176+G177+G182</f>
        <v>#REF!</v>
      </c>
      <c r="J174" s="2060" t="e">
        <f>H175+H176+H177+H182</f>
        <v>#REF!</v>
      </c>
      <c r="K174" s="2060" t="e">
        <f>IF(#REF!=0,0,1)</f>
        <v>#REF!</v>
      </c>
      <c r="L174" s="2060" t="e">
        <f>IF(#REF!=0,0,1)</f>
        <v>#REF!</v>
      </c>
      <c r="M174" s="2060">
        <f t="shared" si="289"/>
        <v>0.33333333333333331</v>
      </c>
      <c r="N174" s="2060">
        <f t="shared" si="268"/>
        <v>0</v>
      </c>
      <c r="P174" s="2070">
        <v>2</v>
      </c>
      <c r="Q174" s="2058" t="s">
        <v>553</v>
      </c>
      <c r="R174" s="2058"/>
      <c r="S174" s="2058"/>
      <c r="T174" s="2036"/>
      <c r="U174" s="2017"/>
      <c r="V174" s="2043">
        <f t="shared" ref="V174:V194" si="322">IF(SUMPRODUCT($AM$7:$AV$7,Y174:AH174)=0,0,SUMPRODUCT($AM$7:$AV$7,AM174:AV174)/SUMPRODUCT($AM$7:$AV$7,Y174:AH174))</f>
        <v>0</v>
      </c>
      <c r="W174" s="2042">
        <f t="shared" ref="W174:W194" si="323">IF(SUMPRODUCT($AW$7:$AY$7,AI174:AK174)=0,0,SUMPRODUCT($AW$7:$AY$7,AW174:AY174)/SUMPRODUCT($AW$7:$AY$7,AI174:AK174))</f>
        <v>0</v>
      </c>
      <c r="Y174" s="1">
        <f t="shared" si="306"/>
        <v>0</v>
      </c>
      <c r="Z174" s="1">
        <f t="shared" si="307"/>
        <v>0</v>
      </c>
      <c r="AA174" s="1">
        <f t="shared" si="308"/>
        <v>0</v>
      </c>
      <c r="AB174" s="1">
        <f t="shared" si="309"/>
        <v>0</v>
      </c>
      <c r="AC174" s="1">
        <f t="shared" si="310"/>
        <v>0</v>
      </c>
      <c r="AD174" s="1">
        <f t="shared" si="311"/>
        <v>0</v>
      </c>
      <c r="AE174" s="1">
        <f t="shared" si="312"/>
        <v>0</v>
      </c>
      <c r="AF174" s="1">
        <f t="shared" si="313"/>
        <v>0</v>
      </c>
      <c r="AG174" s="1">
        <f t="shared" si="314"/>
        <v>0</v>
      </c>
      <c r="AH174" s="1">
        <f t="shared" si="315"/>
        <v>0</v>
      </c>
      <c r="AI174" s="1">
        <f t="shared" si="316"/>
        <v>0</v>
      </c>
      <c r="AJ174" s="1">
        <f t="shared" si="317"/>
        <v>0</v>
      </c>
      <c r="AK174" s="1">
        <f t="shared" si="318"/>
        <v>0</v>
      </c>
      <c r="AM174" s="2041" t="s">
        <v>177</v>
      </c>
      <c r="AN174" s="2041" t="s">
        <v>177</v>
      </c>
      <c r="AO174" s="2041" t="s">
        <v>177</v>
      </c>
      <c r="AP174" s="2041" t="s">
        <v>177</v>
      </c>
      <c r="AQ174" s="2041" t="s">
        <v>177</v>
      </c>
      <c r="AR174" s="2041" t="s">
        <v>177</v>
      </c>
      <c r="AS174" s="2041" t="s">
        <v>177</v>
      </c>
      <c r="AT174" s="2041" t="s">
        <v>3132</v>
      </c>
      <c r="AU174" s="2041" t="s">
        <v>177</v>
      </c>
      <c r="AV174" s="2041" t="s">
        <v>177</v>
      </c>
      <c r="AW174" s="2041" t="s">
        <v>177</v>
      </c>
      <c r="AX174" s="2041" t="s">
        <v>177</v>
      </c>
      <c r="AY174" s="2041" t="s">
        <v>177</v>
      </c>
      <c r="BA174" s="2054" t="e">
        <f>BB174/$BC$172</f>
        <v>#REF!</v>
      </c>
      <c r="BB174" s="2054" t="e">
        <f t="shared" ref="BB174:BB194" si="324">SUMPRODUCT($BD$7:$BM$7,BD174:BM174)</f>
        <v>#REF!</v>
      </c>
      <c r="BC174" s="2054"/>
      <c r="BD174" s="2053" t="e">
        <f>BR174*#REF!</f>
        <v>#REF!</v>
      </c>
      <c r="BE174" s="2053" t="e">
        <f>BS174*#REF!</f>
        <v>#REF!</v>
      </c>
      <c r="BF174" s="2053" t="e">
        <f>BT174*#REF!</f>
        <v>#REF!</v>
      </c>
      <c r="BG174" s="2053" t="e">
        <f>BU174*#REF!</f>
        <v>#REF!</v>
      </c>
      <c r="BH174" s="2053" t="e">
        <f>BV174*#REF!</f>
        <v>#REF!</v>
      </c>
      <c r="BI174" s="2053" t="e">
        <f>BW174*#REF!</f>
        <v>#REF!</v>
      </c>
      <c r="BJ174" s="2053" t="e">
        <f>BX174*#REF!</f>
        <v>#REF!</v>
      </c>
      <c r="BK174" s="2053" t="e">
        <f>BY174*#REF!</f>
        <v>#REF!</v>
      </c>
      <c r="BL174" s="2053" t="e">
        <f>BZ174*#REF!</f>
        <v>#REF!</v>
      </c>
      <c r="BM174" s="2053" t="e">
        <f>CA174*#REF!</f>
        <v>#REF!</v>
      </c>
      <c r="BO174" s="2052">
        <f t="shared" si="290"/>
        <v>2</v>
      </c>
      <c r="BP174" s="2051" t="str">
        <f t="shared" si="291"/>
        <v>LR3</v>
      </c>
      <c r="BQ174" s="2050" t="str">
        <f t="shared" si="292"/>
        <v>地域環境への配慮</v>
      </c>
      <c r="BR174" s="2048">
        <f t="shared" si="293"/>
        <v>0.33333333333333331</v>
      </c>
      <c r="BS174" s="2048">
        <f t="shared" si="294"/>
        <v>0.33333333333333331</v>
      </c>
      <c r="BT174" s="2048">
        <f t="shared" si="295"/>
        <v>0.33333333333333331</v>
      </c>
      <c r="BU174" s="2048">
        <f t="shared" si="296"/>
        <v>0.33333333333333331</v>
      </c>
      <c r="BV174" s="2048">
        <f t="shared" si="297"/>
        <v>0.33333333333333331</v>
      </c>
      <c r="BW174" s="2048">
        <f t="shared" si="298"/>
        <v>0.33333333333333331</v>
      </c>
      <c r="BX174" s="2048">
        <f t="shared" si="299"/>
        <v>0.33333333333333331</v>
      </c>
      <c r="BY174" s="2048">
        <f t="shared" si="300"/>
        <v>0.33333333333333331</v>
      </c>
      <c r="BZ174" s="2048">
        <f t="shared" si="301"/>
        <v>0.33333333333333331</v>
      </c>
      <c r="CA174" s="2048">
        <f t="shared" si="302"/>
        <v>0.33333333333333331</v>
      </c>
      <c r="CB174" s="2049">
        <f t="shared" si="303"/>
        <v>0</v>
      </c>
      <c r="CC174" s="2048">
        <f t="shared" si="304"/>
        <v>0</v>
      </c>
      <c r="CD174" s="2048">
        <f t="shared" si="305"/>
        <v>0</v>
      </c>
      <c r="CF174" s="1197">
        <v>2</v>
      </c>
      <c r="CG174" s="1201" t="s">
        <v>1322</v>
      </c>
      <c r="CH174" s="1198" t="s">
        <v>553</v>
      </c>
      <c r="CI174" s="1202">
        <v>0.33333333333333331</v>
      </c>
      <c r="CJ174" s="1202">
        <v>0.33333333333333331</v>
      </c>
      <c r="CK174" s="1202">
        <v>0.33333333333333331</v>
      </c>
      <c r="CL174" s="1202">
        <v>0.33333333333333331</v>
      </c>
      <c r="CM174" s="1202">
        <v>0.33333333333333331</v>
      </c>
      <c r="CN174" s="1202">
        <v>0.33333333333333331</v>
      </c>
      <c r="CO174" s="1202">
        <v>0.33333333333333331</v>
      </c>
      <c r="CP174" s="1202">
        <v>0.33333333333333331</v>
      </c>
      <c r="CQ174" s="1202">
        <v>0.33333333333333331</v>
      </c>
      <c r="CR174" s="1202">
        <v>0.33333333333333331</v>
      </c>
      <c r="CS174" s="1203">
        <v>0</v>
      </c>
      <c r="CT174" s="1202">
        <v>0</v>
      </c>
      <c r="CU174" s="1202">
        <v>0</v>
      </c>
      <c r="CW174" s="1197">
        <v>2</v>
      </c>
      <c r="CX174" s="1201" t="s">
        <v>1322</v>
      </c>
      <c r="CY174" s="1198" t="s">
        <v>553</v>
      </c>
      <c r="CZ174" s="1202">
        <f t="shared" si="320"/>
        <v>0.33333333333333331</v>
      </c>
      <c r="DA174" s="1202">
        <f t="shared" si="320"/>
        <v>0.33333333333333331</v>
      </c>
      <c r="DB174" s="1202">
        <f t="shared" si="320"/>
        <v>0.33333333333333331</v>
      </c>
      <c r="DC174" s="1202">
        <f t="shared" si="320"/>
        <v>0.33333333333333331</v>
      </c>
      <c r="DD174" s="1202">
        <f t="shared" si="320"/>
        <v>0.33333333333333331</v>
      </c>
      <c r="DE174" s="1202">
        <f t="shared" si="320"/>
        <v>0.33333333333333331</v>
      </c>
      <c r="DF174" s="1202">
        <f t="shared" si="320"/>
        <v>0.33333333333333331</v>
      </c>
      <c r="DG174" s="1202">
        <f t="shared" si="320"/>
        <v>0.33333333333333331</v>
      </c>
      <c r="DH174" s="1202">
        <f t="shared" si="320"/>
        <v>0.33333333333333331</v>
      </c>
      <c r="DI174" s="1202">
        <f t="shared" si="320"/>
        <v>0.33333333333333331</v>
      </c>
      <c r="DJ174" s="1203"/>
      <c r="DK174" s="1202"/>
      <c r="DL174" s="1202"/>
      <c r="DN174" s="1197">
        <v>2</v>
      </c>
      <c r="DO174" s="1201" t="s">
        <v>1322</v>
      </c>
      <c r="DP174" s="1198" t="s">
        <v>553</v>
      </c>
      <c r="DQ174" s="1202">
        <f t="shared" si="321"/>
        <v>0.33333333333333331</v>
      </c>
      <c r="DR174" s="1202">
        <f t="shared" si="321"/>
        <v>0.33333333333333331</v>
      </c>
      <c r="DS174" s="1202">
        <f t="shared" si="321"/>
        <v>0.33333333333333331</v>
      </c>
      <c r="DT174" s="1202">
        <f t="shared" si="321"/>
        <v>0.33333333333333331</v>
      </c>
      <c r="DU174" s="1202">
        <f t="shared" si="321"/>
        <v>0.33333333333333331</v>
      </c>
      <c r="DV174" s="1202">
        <f t="shared" si="321"/>
        <v>0.33333333333333331</v>
      </c>
      <c r="DW174" s="1202">
        <f t="shared" si="321"/>
        <v>0.33333333333333331</v>
      </c>
      <c r="DX174" s="1202">
        <f t="shared" si="321"/>
        <v>0.33333333333333331</v>
      </c>
      <c r="DY174" s="1202">
        <f t="shared" si="321"/>
        <v>0.33333333333333331</v>
      </c>
      <c r="DZ174" s="1202">
        <f t="shared" si="321"/>
        <v>0.33333333333333331</v>
      </c>
      <c r="EA174" s="1203"/>
      <c r="EB174" s="1202"/>
      <c r="EC174" s="1202"/>
      <c r="ED174" s="1468"/>
      <c r="EF174" s="1197">
        <v>2</v>
      </c>
      <c r="EG174" s="1201" t="s">
        <v>1322</v>
      </c>
      <c r="EH174" s="1198" t="s">
        <v>553</v>
      </c>
      <c r="EI174" s="1686">
        <f t="shared" si="275"/>
        <v>0.33333333333333331</v>
      </c>
      <c r="EJ174" s="1686">
        <f t="shared" si="276"/>
        <v>0.33333333333333331</v>
      </c>
      <c r="EK174" s="1686">
        <f t="shared" si="277"/>
        <v>0.33333333333333331</v>
      </c>
      <c r="EL174" s="1686">
        <f t="shared" si="278"/>
        <v>0.33333333333333331</v>
      </c>
      <c r="EM174" s="1686">
        <f t="shared" si="279"/>
        <v>0.33333333333333331</v>
      </c>
      <c r="EN174" s="1686">
        <f t="shared" si="280"/>
        <v>0.33333333333333331</v>
      </c>
      <c r="EO174" s="1686">
        <f t="shared" si="281"/>
        <v>0.33333333333333331</v>
      </c>
      <c r="EP174" s="1686">
        <f t="shared" si="282"/>
        <v>0.33333333333333331</v>
      </c>
      <c r="EQ174" s="1686">
        <f t="shared" si="283"/>
        <v>0.33333333333333331</v>
      </c>
      <c r="ER174" s="1686">
        <f t="shared" si="284"/>
        <v>0.33333333333333331</v>
      </c>
      <c r="ES174" s="1688">
        <f t="shared" si="269"/>
        <v>0</v>
      </c>
      <c r="ET174" s="1686">
        <f t="shared" si="270"/>
        <v>0</v>
      </c>
      <c r="EU174" s="1686">
        <f t="shared" si="271"/>
        <v>0</v>
      </c>
      <c r="EW174" s="1197">
        <v>2</v>
      </c>
      <c r="EX174" s="1201" t="s">
        <v>1322</v>
      </c>
      <c r="EY174" s="1198" t="s">
        <v>553</v>
      </c>
      <c r="EZ174" s="1821">
        <v>1</v>
      </c>
      <c r="FA174" s="1676"/>
      <c r="FB174" s="1676"/>
      <c r="FC174" s="1676"/>
      <c r="FD174" s="1676"/>
      <c r="FE174" s="1676"/>
      <c r="FF174" s="1676"/>
      <c r="FG174" s="1676"/>
      <c r="FH174" s="1676"/>
      <c r="FI174" s="1676"/>
      <c r="FJ174" s="1677"/>
      <c r="FK174" s="1676"/>
      <c r="FL174" s="1676"/>
    </row>
    <row r="175" spans="2:168">
      <c r="B175" s="2023" t="str">
        <f t="shared" si="274"/>
        <v>2.1</v>
      </c>
      <c r="C175" s="829" t="str">
        <f t="shared" si="285"/>
        <v>大気汚染防止</v>
      </c>
      <c r="D175" s="2022" t="e">
        <f t="shared" ref="D175:E177" si="325">IF(I$174=0,0,G175/I$174)</f>
        <v>#REF!</v>
      </c>
      <c r="E175" s="2022" t="e">
        <f t="shared" si="325"/>
        <v>#REF!</v>
      </c>
      <c r="G175" s="2021" t="e">
        <f t="shared" si="287"/>
        <v>#REF!</v>
      </c>
      <c r="H175" s="2021" t="e">
        <f t="shared" si="288"/>
        <v>#REF!</v>
      </c>
      <c r="I175" s="2021"/>
      <c r="J175" s="2021"/>
      <c r="K175" s="2021" t="e">
        <f>IF(#REF!=0,0,1)</f>
        <v>#REF!</v>
      </c>
      <c r="L175" s="2021" t="e">
        <f>IF(#REF!=0,0,1)</f>
        <v>#REF!</v>
      </c>
      <c r="M175" s="2021">
        <f t="shared" si="289"/>
        <v>0.25</v>
      </c>
      <c r="N175" s="2021">
        <f t="shared" si="268"/>
        <v>0</v>
      </c>
      <c r="P175" s="2066"/>
      <c r="Q175" s="2069">
        <v>2.1</v>
      </c>
      <c r="R175" s="2046" t="s">
        <v>554</v>
      </c>
      <c r="S175" s="2033"/>
      <c r="T175" s="2032"/>
      <c r="U175" s="2017"/>
      <c r="V175" s="2025">
        <f t="shared" si="322"/>
        <v>0</v>
      </c>
      <c r="W175" s="2024">
        <f t="shared" si="323"/>
        <v>0</v>
      </c>
      <c r="Y175" s="1">
        <f t="shared" si="306"/>
        <v>0</v>
      </c>
      <c r="Z175" s="1">
        <f t="shared" si="307"/>
        <v>0</v>
      </c>
      <c r="AA175" s="1">
        <f t="shared" si="308"/>
        <v>0</v>
      </c>
      <c r="AB175" s="1">
        <f t="shared" si="309"/>
        <v>0</v>
      </c>
      <c r="AC175" s="1">
        <f t="shared" si="310"/>
        <v>0</v>
      </c>
      <c r="AD175" s="1">
        <f t="shared" si="311"/>
        <v>0</v>
      </c>
      <c r="AE175" s="1">
        <f t="shared" si="312"/>
        <v>0</v>
      </c>
      <c r="AF175" s="1">
        <f t="shared" si="313"/>
        <v>0</v>
      </c>
      <c r="AG175" s="1">
        <f t="shared" si="314"/>
        <v>0</v>
      </c>
      <c r="AH175" s="1">
        <f t="shared" si="315"/>
        <v>0</v>
      </c>
      <c r="AI175" s="1">
        <f t="shared" si="316"/>
        <v>0</v>
      </c>
      <c r="AJ175" s="1">
        <f t="shared" si="317"/>
        <v>0</v>
      </c>
      <c r="AK175" s="1">
        <f t="shared" si="318"/>
        <v>0</v>
      </c>
      <c r="AM175" s="1792"/>
      <c r="AN175" s="1792"/>
      <c r="AO175" s="1792"/>
      <c r="AP175" s="1792"/>
      <c r="AQ175" s="1792"/>
      <c r="AR175" s="1792"/>
      <c r="AS175" s="1792"/>
      <c r="AT175" s="1792"/>
      <c r="AU175" s="1792"/>
      <c r="AV175" s="1792"/>
      <c r="AW175" s="1792"/>
      <c r="AX175" s="1792"/>
      <c r="AY175" s="1792"/>
      <c r="BA175" s="2014"/>
      <c r="BB175" s="2014" t="e">
        <f t="shared" si="324"/>
        <v>#REF!</v>
      </c>
      <c r="BC175" s="2014"/>
      <c r="BD175" s="2013" t="e">
        <f>BR175*#REF!</f>
        <v>#REF!</v>
      </c>
      <c r="BE175" s="2013" t="e">
        <f>BS175*#REF!</f>
        <v>#REF!</v>
      </c>
      <c r="BF175" s="2013" t="e">
        <f>BT175*#REF!</f>
        <v>#REF!</v>
      </c>
      <c r="BG175" s="2013" t="e">
        <f>BU175*#REF!</f>
        <v>#REF!</v>
      </c>
      <c r="BH175" s="2013" t="e">
        <f>BV175*#REF!</f>
        <v>#REF!</v>
      </c>
      <c r="BI175" s="2013" t="e">
        <f>BW175*#REF!</f>
        <v>#REF!</v>
      </c>
      <c r="BJ175" s="2013" t="e">
        <f>BX175*#REF!</f>
        <v>#REF!</v>
      </c>
      <c r="BK175" s="2013" t="e">
        <f>BY175*#REF!</f>
        <v>#REF!</v>
      </c>
      <c r="BL175" s="2013" t="e">
        <f>BZ175*#REF!</f>
        <v>#REF!</v>
      </c>
      <c r="BM175" s="2013" t="e">
        <f>CA175*#REF!</f>
        <v>#REF!</v>
      </c>
      <c r="BO175" s="2026" t="str">
        <f t="shared" si="290"/>
        <v>2.1</v>
      </c>
      <c r="BP175" s="2012" t="str">
        <f t="shared" si="291"/>
        <v>LR3 2</v>
      </c>
      <c r="BQ175" s="829" t="str">
        <f t="shared" si="292"/>
        <v>大気汚染防止</v>
      </c>
      <c r="BR175" s="2010">
        <f t="shared" si="293"/>
        <v>0.25</v>
      </c>
      <c r="BS175" s="2010">
        <f t="shared" si="294"/>
        <v>0.25</v>
      </c>
      <c r="BT175" s="2010">
        <f t="shared" si="295"/>
        <v>0.25</v>
      </c>
      <c r="BU175" s="2010">
        <f t="shared" si="296"/>
        <v>0.25</v>
      </c>
      <c r="BV175" s="2010">
        <f t="shared" si="297"/>
        <v>0.25</v>
      </c>
      <c r="BW175" s="2010">
        <f t="shared" si="298"/>
        <v>0.25</v>
      </c>
      <c r="BX175" s="2010">
        <f t="shared" si="299"/>
        <v>0.25</v>
      </c>
      <c r="BY175" s="2010">
        <f t="shared" si="300"/>
        <v>0.25</v>
      </c>
      <c r="BZ175" s="2010">
        <f t="shared" si="301"/>
        <v>0.25</v>
      </c>
      <c r="CA175" s="2010">
        <f t="shared" si="302"/>
        <v>0.25</v>
      </c>
      <c r="CB175" s="2039">
        <f t="shared" si="303"/>
        <v>0</v>
      </c>
      <c r="CC175" s="2010">
        <f t="shared" si="304"/>
        <v>0</v>
      </c>
      <c r="CD175" s="2010">
        <f t="shared" si="305"/>
        <v>0</v>
      </c>
      <c r="CF175" s="1277" t="s">
        <v>1177</v>
      </c>
      <c r="CG175" s="1211" t="s">
        <v>2112</v>
      </c>
      <c r="CH175" s="1208" t="s">
        <v>554</v>
      </c>
      <c r="CI175" s="1213">
        <v>0.25</v>
      </c>
      <c r="CJ175" s="1213">
        <v>0.25</v>
      </c>
      <c r="CK175" s="1213">
        <v>0.25</v>
      </c>
      <c r="CL175" s="1213">
        <v>0.25</v>
      </c>
      <c r="CM175" s="1213">
        <v>0.25</v>
      </c>
      <c r="CN175" s="1213">
        <v>0.25</v>
      </c>
      <c r="CO175" s="1213">
        <v>0.25</v>
      </c>
      <c r="CP175" s="1213">
        <v>0.25</v>
      </c>
      <c r="CQ175" s="1213">
        <v>0.25</v>
      </c>
      <c r="CR175" s="1213">
        <v>0.25</v>
      </c>
      <c r="CS175" s="1214"/>
      <c r="CT175" s="1213"/>
      <c r="CU175" s="1213"/>
      <c r="CW175" s="1277" t="s">
        <v>1177</v>
      </c>
      <c r="CX175" s="1211" t="s">
        <v>2112</v>
      </c>
      <c r="CY175" s="1208" t="s">
        <v>554</v>
      </c>
      <c r="CZ175" s="1213">
        <v>0.25</v>
      </c>
      <c r="DA175" s="1213">
        <v>0.25</v>
      </c>
      <c r="DB175" s="1213">
        <v>0.25</v>
      </c>
      <c r="DC175" s="1213">
        <v>0.25</v>
      </c>
      <c r="DD175" s="1213">
        <v>0.25</v>
      </c>
      <c r="DE175" s="1213">
        <v>0.25</v>
      </c>
      <c r="DF175" s="1213">
        <v>0.25</v>
      </c>
      <c r="DG175" s="1213">
        <v>0.25</v>
      </c>
      <c r="DH175" s="1213">
        <v>0.25</v>
      </c>
      <c r="DI175" s="1213">
        <v>0.25</v>
      </c>
      <c r="DJ175" s="1214"/>
      <c r="DK175" s="1213"/>
      <c r="DL175" s="1213"/>
      <c r="DN175" s="1277" t="s">
        <v>1177</v>
      </c>
      <c r="DO175" s="1211" t="s">
        <v>2112</v>
      </c>
      <c r="DP175" s="1208" t="s">
        <v>554</v>
      </c>
      <c r="DQ175" s="1213">
        <v>0.25</v>
      </c>
      <c r="DR175" s="1213">
        <v>0.25</v>
      </c>
      <c r="DS175" s="1213">
        <v>0.25</v>
      </c>
      <c r="DT175" s="1213">
        <v>0.25</v>
      </c>
      <c r="DU175" s="1213">
        <v>0.25</v>
      </c>
      <c r="DV175" s="1213">
        <v>0.25</v>
      </c>
      <c r="DW175" s="1213">
        <v>0.25</v>
      </c>
      <c r="DX175" s="1213">
        <v>0.25</v>
      </c>
      <c r="DY175" s="1213">
        <v>0.25</v>
      </c>
      <c r="DZ175" s="1213">
        <v>0.25</v>
      </c>
      <c r="EA175" s="1214"/>
      <c r="EB175" s="1213"/>
      <c r="EC175" s="1213"/>
      <c r="ED175" s="1469"/>
      <c r="EF175" s="1277" t="s">
        <v>3131</v>
      </c>
      <c r="EG175" s="1211" t="s">
        <v>2112</v>
      </c>
      <c r="EH175" s="1208" t="s">
        <v>554</v>
      </c>
      <c r="EI175" s="1689">
        <f t="shared" si="275"/>
        <v>0.25</v>
      </c>
      <c r="EJ175" s="1689">
        <f t="shared" si="276"/>
        <v>0.25</v>
      </c>
      <c r="EK175" s="1689">
        <f t="shared" si="277"/>
        <v>0.25</v>
      </c>
      <c r="EL175" s="1689">
        <f t="shared" si="278"/>
        <v>0.25</v>
      </c>
      <c r="EM175" s="1689">
        <f t="shared" si="279"/>
        <v>0.25</v>
      </c>
      <c r="EN175" s="1689">
        <f t="shared" si="280"/>
        <v>0.25</v>
      </c>
      <c r="EO175" s="1689">
        <f t="shared" si="281"/>
        <v>0.25</v>
      </c>
      <c r="EP175" s="1689">
        <f t="shared" si="282"/>
        <v>0.25</v>
      </c>
      <c r="EQ175" s="1689">
        <f t="shared" si="283"/>
        <v>0.25</v>
      </c>
      <c r="ER175" s="1689">
        <f t="shared" si="284"/>
        <v>0.25</v>
      </c>
      <c r="ES175" s="1691">
        <f t="shared" si="269"/>
        <v>0</v>
      </c>
      <c r="ET175" s="1689">
        <f t="shared" si="270"/>
        <v>0</v>
      </c>
      <c r="EU175" s="1689">
        <f t="shared" si="271"/>
        <v>0</v>
      </c>
      <c r="EW175" s="1277" t="s">
        <v>1177</v>
      </c>
      <c r="EX175" s="1211" t="s">
        <v>2112</v>
      </c>
      <c r="EY175" s="1208"/>
      <c r="EZ175" s="1814">
        <v>0</v>
      </c>
      <c r="FA175" s="1678"/>
      <c r="FB175" s="1678"/>
      <c r="FC175" s="1678"/>
      <c r="FD175" s="1678"/>
      <c r="FE175" s="1678"/>
      <c r="FF175" s="1678"/>
      <c r="FG175" s="1678"/>
      <c r="FH175" s="1678"/>
      <c r="FI175" s="1678"/>
      <c r="FJ175" s="1795"/>
      <c r="FK175" s="1678"/>
      <c r="FL175" s="1678"/>
    </row>
    <row r="176" spans="2:168" ht="14.25" thickBot="1">
      <c r="B176" s="2023" t="str">
        <f t="shared" si="274"/>
        <v>2.2</v>
      </c>
      <c r="C176" s="829" t="str">
        <f t="shared" si="285"/>
        <v>温熱環境悪化の改善</v>
      </c>
      <c r="D176" s="2022" t="e">
        <f t="shared" si="325"/>
        <v>#REF!</v>
      </c>
      <c r="E176" s="2022" t="e">
        <f t="shared" si="325"/>
        <v>#REF!</v>
      </c>
      <c r="G176" s="2021" t="e">
        <f t="shared" si="287"/>
        <v>#REF!</v>
      </c>
      <c r="H176" s="2021" t="e">
        <f t="shared" si="288"/>
        <v>#REF!</v>
      </c>
      <c r="I176" s="2021"/>
      <c r="J176" s="2021"/>
      <c r="K176" s="2021" t="e">
        <f>IF(#REF!=0,0,1)</f>
        <v>#REF!</v>
      </c>
      <c r="L176" s="2021" t="e">
        <f>IF(#REF!=0,0,1)</f>
        <v>#REF!</v>
      </c>
      <c r="M176" s="2021">
        <f t="shared" si="289"/>
        <v>0.5</v>
      </c>
      <c r="N176" s="2021">
        <f t="shared" si="268"/>
        <v>0</v>
      </c>
      <c r="P176" s="2066"/>
      <c r="Q176" s="2069">
        <v>2.2000000000000002</v>
      </c>
      <c r="R176" s="2046" t="s">
        <v>1614</v>
      </c>
      <c r="S176" s="2058"/>
      <c r="T176" s="2036"/>
      <c r="U176" s="2017"/>
      <c r="V176" s="2016">
        <f t="shared" si="322"/>
        <v>0</v>
      </c>
      <c r="W176" s="2015">
        <f t="shared" si="323"/>
        <v>0</v>
      </c>
      <c r="Y176" s="1">
        <f t="shared" si="306"/>
        <v>0</v>
      </c>
      <c r="Z176" s="1">
        <f t="shared" si="307"/>
        <v>0</v>
      </c>
      <c r="AA176" s="1">
        <f t="shared" si="308"/>
        <v>0</v>
      </c>
      <c r="AB176" s="1">
        <f t="shared" si="309"/>
        <v>0</v>
      </c>
      <c r="AC176" s="1">
        <f t="shared" si="310"/>
        <v>0</v>
      </c>
      <c r="AD176" s="1">
        <f t="shared" si="311"/>
        <v>0</v>
      </c>
      <c r="AE176" s="1">
        <f t="shared" si="312"/>
        <v>0</v>
      </c>
      <c r="AF176" s="1">
        <f t="shared" si="313"/>
        <v>0</v>
      </c>
      <c r="AG176" s="1">
        <f t="shared" si="314"/>
        <v>0</v>
      </c>
      <c r="AH176" s="1">
        <f t="shared" si="315"/>
        <v>0</v>
      </c>
      <c r="AI176" s="1">
        <f t="shared" si="316"/>
        <v>0</v>
      </c>
      <c r="AJ176" s="1">
        <f t="shared" si="317"/>
        <v>0</v>
      </c>
      <c r="AK176" s="1">
        <f t="shared" si="318"/>
        <v>0</v>
      </c>
      <c r="AM176" s="1829"/>
      <c r="AN176" s="1829"/>
      <c r="AO176" s="1829"/>
      <c r="AP176" s="1829"/>
      <c r="AQ176" s="1829"/>
      <c r="AR176" s="1829"/>
      <c r="AS176" s="1829"/>
      <c r="AT176" s="1829"/>
      <c r="AU176" s="1829"/>
      <c r="AV176" s="1829"/>
      <c r="AW176" s="1829"/>
      <c r="AX176" s="1829"/>
      <c r="AY176" s="1829"/>
      <c r="BA176" s="2028"/>
      <c r="BB176" s="2028" t="e">
        <f t="shared" si="324"/>
        <v>#REF!</v>
      </c>
      <c r="BC176" s="2028"/>
      <c r="BD176" s="2027" t="e">
        <f>BR176*#REF!</f>
        <v>#REF!</v>
      </c>
      <c r="BE176" s="2027" t="e">
        <f>BS176*#REF!</f>
        <v>#REF!</v>
      </c>
      <c r="BF176" s="2027" t="e">
        <f>BT176*#REF!</f>
        <v>#REF!</v>
      </c>
      <c r="BG176" s="2027" t="e">
        <f>BU176*#REF!</f>
        <v>#REF!</v>
      </c>
      <c r="BH176" s="2027" t="e">
        <f>BV176*#REF!</f>
        <v>#REF!</v>
      </c>
      <c r="BI176" s="2027" t="e">
        <f>BW176*#REF!</f>
        <v>#REF!</v>
      </c>
      <c r="BJ176" s="2027" t="e">
        <f>BX176*#REF!</f>
        <v>#REF!</v>
      </c>
      <c r="BK176" s="2027" t="e">
        <f>BY176*#REF!</f>
        <v>#REF!</v>
      </c>
      <c r="BL176" s="2027" t="e">
        <f>BZ176*#REF!</f>
        <v>#REF!</v>
      </c>
      <c r="BM176" s="2027" t="e">
        <f>CA176*#REF!</f>
        <v>#REF!</v>
      </c>
      <c r="BO176" s="2026" t="str">
        <f t="shared" si="290"/>
        <v>2.2</v>
      </c>
      <c r="BP176" s="2012" t="str">
        <f t="shared" si="291"/>
        <v>LR3 2</v>
      </c>
      <c r="BQ176" s="829" t="str">
        <f t="shared" si="292"/>
        <v>温熱環境悪化の改善</v>
      </c>
      <c r="BR176" s="2008">
        <f t="shared" si="293"/>
        <v>0.5</v>
      </c>
      <c r="BS176" s="2008">
        <f t="shared" si="294"/>
        <v>0.5</v>
      </c>
      <c r="BT176" s="2008">
        <f t="shared" si="295"/>
        <v>0.5</v>
      </c>
      <c r="BU176" s="2008">
        <f t="shared" si="296"/>
        <v>0.5</v>
      </c>
      <c r="BV176" s="2008">
        <f t="shared" si="297"/>
        <v>0.5</v>
      </c>
      <c r="BW176" s="2008">
        <f t="shared" si="298"/>
        <v>0.5</v>
      </c>
      <c r="BX176" s="2008">
        <f t="shared" si="299"/>
        <v>0.5</v>
      </c>
      <c r="BY176" s="2008">
        <f t="shared" si="300"/>
        <v>0.5</v>
      </c>
      <c r="BZ176" s="2008">
        <f t="shared" si="301"/>
        <v>0.5</v>
      </c>
      <c r="CA176" s="2008">
        <f t="shared" si="302"/>
        <v>0.5</v>
      </c>
      <c r="CB176" s="2009">
        <f t="shared" si="303"/>
        <v>0</v>
      </c>
      <c r="CC176" s="2008">
        <f t="shared" si="304"/>
        <v>0</v>
      </c>
      <c r="CD176" s="2008">
        <f t="shared" si="305"/>
        <v>0</v>
      </c>
      <c r="CF176" s="1277" t="s">
        <v>3130</v>
      </c>
      <c r="CG176" s="1211" t="s">
        <v>2112</v>
      </c>
      <c r="CH176" s="1208" t="s">
        <v>1614</v>
      </c>
      <c r="CI176" s="1257">
        <v>0.5</v>
      </c>
      <c r="CJ176" s="1257">
        <v>0.5</v>
      </c>
      <c r="CK176" s="1257">
        <v>0.5</v>
      </c>
      <c r="CL176" s="1257">
        <v>0.5</v>
      </c>
      <c r="CM176" s="1257">
        <v>0.5</v>
      </c>
      <c r="CN176" s="1257">
        <v>0.5</v>
      </c>
      <c r="CO176" s="1257">
        <v>0.5</v>
      </c>
      <c r="CP176" s="1257">
        <v>0.5</v>
      </c>
      <c r="CQ176" s="1257">
        <v>0.5</v>
      </c>
      <c r="CR176" s="1257">
        <v>0.5</v>
      </c>
      <c r="CS176" s="1258"/>
      <c r="CT176" s="1257"/>
      <c r="CU176" s="1257"/>
      <c r="CW176" s="1277" t="s">
        <v>1178</v>
      </c>
      <c r="CX176" s="1211" t="s">
        <v>2112</v>
      </c>
      <c r="CY176" s="1208" t="s">
        <v>1614</v>
      </c>
      <c r="CZ176" s="1257">
        <v>0.5</v>
      </c>
      <c r="DA176" s="1257">
        <v>0.5</v>
      </c>
      <c r="DB176" s="1257">
        <v>0.5</v>
      </c>
      <c r="DC176" s="1257">
        <v>0.5</v>
      </c>
      <c r="DD176" s="1257">
        <v>0.5</v>
      </c>
      <c r="DE176" s="1257">
        <v>0.5</v>
      </c>
      <c r="DF176" s="1257">
        <v>0.5</v>
      </c>
      <c r="DG176" s="1257">
        <v>0.5</v>
      </c>
      <c r="DH176" s="1257">
        <v>0.5</v>
      </c>
      <c r="DI176" s="1257">
        <v>0.5</v>
      </c>
      <c r="DJ176" s="1258"/>
      <c r="DK176" s="1257"/>
      <c r="DL176" s="1257"/>
      <c r="DN176" s="1277" t="s">
        <v>1178</v>
      </c>
      <c r="DO176" s="1211" t="s">
        <v>2112</v>
      </c>
      <c r="DP176" s="1208" t="s">
        <v>3129</v>
      </c>
      <c r="DQ176" s="1257">
        <v>0.5</v>
      </c>
      <c r="DR176" s="1257">
        <v>0.5</v>
      </c>
      <c r="DS176" s="1257">
        <v>0.5</v>
      </c>
      <c r="DT176" s="1257">
        <v>0.5</v>
      </c>
      <c r="DU176" s="1257">
        <v>0.5</v>
      </c>
      <c r="DV176" s="1257">
        <v>0.5</v>
      </c>
      <c r="DW176" s="1257">
        <v>0.5</v>
      </c>
      <c r="DX176" s="1257">
        <v>0.5</v>
      </c>
      <c r="DY176" s="1257">
        <v>0.5</v>
      </c>
      <c r="DZ176" s="1257">
        <v>0.5</v>
      </c>
      <c r="EA176" s="1258"/>
      <c r="EB176" s="1257"/>
      <c r="EC176" s="1257"/>
      <c r="ED176" s="1472"/>
      <c r="EF176" s="1277" t="s">
        <v>1178</v>
      </c>
      <c r="EG176" s="1211" t="s">
        <v>2112</v>
      </c>
      <c r="EH176" s="1208" t="s">
        <v>3129</v>
      </c>
      <c r="EI176" s="1704">
        <f t="shared" si="275"/>
        <v>0.5</v>
      </c>
      <c r="EJ176" s="1704">
        <f t="shared" si="276"/>
        <v>0.5</v>
      </c>
      <c r="EK176" s="1704">
        <f t="shared" si="277"/>
        <v>0.5</v>
      </c>
      <c r="EL176" s="1704">
        <f t="shared" si="278"/>
        <v>0.5</v>
      </c>
      <c r="EM176" s="1704">
        <f t="shared" si="279"/>
        <v>0.5</v>
      </c>
      <c r="EN176" s="1704">
        <f t="shared" si="280"/>
        <v>0.5</v>
      </c>
      <c r="EO176" s="1704">
        <f t="shared" si="281"/>
        <v>0.5</v>
      </c>
      <c r="EP176" s="1704">
        <f t="shared" si="282"/>
        <v>0.5</v>
      </c>
      <c r="EQ176" s="1704">
        <f t="shared" si="283"/>
        <v>0.5</v>
      </c>
      <c r="ER176" s="1704">
        <f t="shared" si="284"/>
        <v>0.5</v>
      </c>
      <c r="ES176" s="1705">
        <f t="shared" si="269"/>
        <v>0</v>
      </c>
      <c r="ET176" s="1704">
        <f t="shared" si="270"/>
        <v>0</v>
      </c>
      <c r="EU176" s="1704">
        <f t="shared" si="271"/>
        <v>0</v>
      </c>
      <c r="EW176" s="1277" t="s">
        <v>1178</v>
      </c>
      <c r="EX176" s="1211" t="s">
        <v>2112</v>
      </c>
      <c r="EY176" s="1208"/>
      <c r="EZ176" s="1814">
        <v>0</v>
      </c>
      <c r="FA176" s="1681"/>
      <c r="FB176" s="1681"/>
      <c r="FC176" s="1681"/>
      <c r="FD176" s="1681"/>
      <c r="FE176" s="1681"/>
      <c r="FF176" s="1681"/>
      <c r="FG176" s="1681"/>
      <c r="FH176" s="1681"/>
      <c r="FI176" s="1681"/>
      <c r="FJ176" s="1805"/>
      <c r="FK176" s="1681"/>
      <c r="FL176" s="1681"/>
    </row>
    <row r="177" spans="2:168" ht="14.25" thickBot="1">
      <c r="B177" s="2023" t="str">
        <f t="shared" si="274"/>
        <v>2.3</v>
      </c>
      <c r="C177" s="829" t="str">
        <f t="shared" si="285"/>
        <v>地域インフラへの負荷抑制</v>
      </c>
      <c r="D177" s="2022" t="e">
        <f t="shared" si="325"/>
        <v>#REF!</v>
      </c>
      <c r="E177" s="2022" t="e">
        <f t="shared" si="325"/>
        <v>#REF!</v>
      </c>
      <c r="G177" s="2021" t="e">
        <f t="shared" si="287"/>
        <v>#REF!</v>
      </c>
      <c r="H177" s="2021" t="e">
        <f t="shared" si="288"/>
        <v>#REF!</v>
      </c>
      <c r="I177" s="2021" t="e">
        <f>SUM(G178:G181)</f>
        <v>#REF!</v>
      </c>
      <c r="J177" s="2021" t="e">
        <f>SUM(H178:H181)</f>
        <v>#REF!</v>
      </c>
      <c r="K177" s="2021" t="e">
        <f>IF(#REF!=0,0,1)</f>
        <v>#REF!</v>
      </c>
      <c r="L177" s="2021" t="e">
        <f>IF(#REF!=0,0,1)</f>
        <v>#REF!</v>
      </c>
      <c r="M177" s="2021">
        <f t="shared" si="289"/>
        <v>0.25</v>
      </c>
      <c r="N177" s="2021">
        <f t="shared" si="268"/>
        <v>0</v>
      </c>
      <c r="P177" s="2066"/>
      <c r="Q177" s="2068">
        <v>2.2999999999999998</v>
      </c>
      <c r="R177" s="1317" t="s">
        <v>555</v>
      </c>
      <c r="S177" s="2045"/>
      <c r="T177" s="2044"/>
      <c r="U177" s="2017"/>
      <c r="V177" s="2043">
        <f t="shared" si="322"/>
        <v>0</v>
      </c>
      <c r="W177" s="2042">
        <f t="shared" si="323"/>
        <v>0</v>
      </c>
      <c r="Y177" s="1">
        <f t="shared" si="306"/>
        <v>0</v>
      </c>
      <c r="Z177" s="1">
        <f t="shared" si="307"/>
        <v>0</v>
      </c>
      <c r="AA177" s="1">
        <f t="shared" si="308"/>
        <v>0</v>
      </c>
      <c r="AB177" s="1">
        <f t="shared" si="309"/>
        <v>0</v>
      </c>
      <c r="AC177" s="1">
        <f t="shared" si="310"/>
        <v>0</v>
      </c>
      <c r="AD177" s="1">
        <f t="shared" si="311"/>
        <v>0</v>
      </c>
      <c r="AE177" s="1">
        <f t="shared" si="312"/>
        <v>0</v>
      </c>
      <c r="AF177" s="1">
        <f t="shared" si="313"/>
        <v>0</v>
      </c>
      <c r="AG177" s="1">
        <f t="shared" si="314"/>
        <v>0</v>
      </c>
      <c r="AH177" s="1">
        <f t="shared" si="315"/>
        <v>0</v>
      </c>
      <c r="AI177" s="1">
        <f t="shared" si="316"/>
        <v>0</v>
      </c>
      <c r="AJ177" s="1">
        <f t="shared" si="317"/>
        <v>0</v>
      </c>
      <c r="AK177" s="1">
        <f t="shared" si="318"/>
        <v>0</v>
      </c>
      <c r="AM177" s="2041" t="s">
        <v>177</v>
      </c>
      <c r="AN177" s="2041" t="s">
        <v>177</v>
      </c>
      <c r="AO177" s="2041" t="s">
        <v>177</v>
      </c>
      <c r="AP177" s="2041" t="s">
        <v>177</v>
      </c>
      <c r="AQ177" s="2041" t="s">
        <v>177</v>
      </c>
      <c r="AR177" s="2041" t="s">
        <v>177</v>
      </c>
      <c r="AS177" s="2041" t="s">
        <v>177</v>
      </c>
      <c r="AT177" s="2041" t="s">
        <v>3128</v>
      </c>
      <c r="AU177" s="2041" t="s">
        <v>177</v>
      </c>
      <c r="AV177" s="2041" t="s">
        <v>177</v>
      </c>
      <c r="AW177" s="2041" t="s">
        <v>177</v>
      </c>
      <c r="AX177" s="2041" t="s">
        <v>177</v>
      </c>
      <c r="AY177" s="2041" t="s">
        <v>177</v>
      </c>
      <c r="BA177" s="2028"/>
      <c r="BB177" s="2028" t="e">
        <f t="shared" si="324"/>
        <v>#REF!</v>
      </c>
      <c r="BC177" s="2028"/>
      <c r="BD177" s="2027" t="e">
        <f>BR177*#REF!</f>
        <v>#REF!</v>
      </c>
      <c r="BE177" s="2027" t="e">
        <f>BS177*#REF!</f>
        <v>#REF!</v>
      </c>
      <c r="BF177" s="2027" t="e">
        <f>BT177*#REF!</f>
        <v>#REF!</v>
      </c>
      <c r="BG177" s="2027" t="e">
        <f>BU177*#REF!</f>
        <v>#REF!</v>
      </c>
      <c r="BH177" s="2027" t="e">
        <f>BV177*#REF!</f>
        <v>#REF!</v>
      </c>
      <c r="BI177" s="2027" t="e">
        <f>BW177*#REF!</f>
        <v>#REF!</v>
      </c>
      <c r="BJ177" s="2027" t="e">
        <f>BX177*#REF!</f>
        <v>#REF!</v>
      </c>
      <c r="BK177" s="2027" t="e">
        <f>BY177*#REF!</f>
        <v>#REF!</v>
      </c>
      <c r="BL177" s="2027" t="e">
        <f>BZ177*#REF!</f>
        <v>#REF!</v>
      </c>
      <c r="BM177" s="2027" t="e">
        <f>CA177*#REF!</f>
        <v>#REF!</v>
      </c>
      <c r="BO177" s="2026" t="str">
        <f t="shared" si="290"/>
        <v>2.3</v>
      </c>
      <c r="BP177" s="2012" t="str">
        <f t="shared" si="291"/>
        <v>LR3 2</v>
      </c>
      <c r="BQ177" s="829" t="str">
        <f t="shared" si="292"/>
        <v>地域インフラへの負荷抑制</v>
      </c>
      <c r="BR177" s="2008">
        <f t="shared" si="293"/>
        <v>0.25</v>
      </c>
      <c r="BS177" s="2008">
        <f t="shared" si="294"/>
        <v>0.25</v>
      </c>
      <c r="BT177" s="2008">
        <f t="shared" si="295"/>
        <v>0.25</v>
      </c>
      <c r="BU177" s="2008">
        <f t="shared" si="296"/>
        <v>0.25</v>
      </c>
      <c r="BV177" s="2008">
        <f t="shared" si="297"/>
        <v>0.25</v>
      </c>
      <c r="BW177" s="2008">
        <f t="shared" si="298"/>
        <v>0.25</v>
      </c>
      <c r="BX177" s="2008">
        <f t="shared" si="299"/>
        <v>0.25</v>
      </c>
      <c r="BY177" s="2008">
        <f t="shared" si="300"/>
        <v>0.25</v>
      </c>
      <c r="BZ177" s="2008">
        <f t="shared" si="301"/>
        <v>0.25</v>
      </c>
      <c r="CA177" s="2008">
        <f t="shared" si="302"/>
        <v>0.25</v>
      </c>
      <c r="CB177" s="2009">
        <f t="shared" si="303"/>
        <v>0</v>
      </c>
      <c r="CC177" s="2008">
        <f t="shared" si="304"/>
        <v>0</v>
      </c>
      <c r="CD177" s="2008">
        <f t="shared" si="305"/>
        <v>0</v>
      </c>
      <c r="CF177" s="1277" t="s">
        <v>1417</v>
      </c>
      <c r="CG177" s="1211" t="s">
        <v>2112</v>
      </c>
      <c r="CH177" s="1208" t="s">
        <v>555</v>
      </c>
      <c r="CI177" s="1257">
        <v>0.25</v>
      </c>
      <c r="CJ177" s="1257">
        <v>0.25</v>
      </c>
      <c r="CK177" s="1257">
        <v>0.25</v>
      </c>
      <c r="CL177" s="1257">
        <v>0.25</v>
      </c>
      <c r="CM177" s="1257">
        <v>0.25</v>
      </c>
      <c r="CN177" s="1257">
        <v>0.25</v>
      </c>
      <c r="CO177" s="1257">
        <v>0.25</v>
      </c>
      <c r="CP177" s="1257">
        <v>0.25</v>
      </c>
      <c r="CQ177" s="1257">
        <v>0.25</v>
      </c>
      <c r="CR177" s="1257">
        <v>0.25</v>
      </c>
      <c r="CS177" s="1258"/>
      <c r="CT177" s="1257"/>
      <c r="CU177" s="1257"/>
      <c r="CW177" s="1277" t="s">
        <v>1417</v>
      </c>
      <c r="CX177" s="1211" t="s">
        <v>2112</v>
      </c>
      <c r="CY177" s="1208" t="s">
        <v>555</v>
      </c>
      <c r="CZ177" s="1257">
        <v>0.25</v>
      </c>
      <c r="DA177" s="1257">
        <v>0.25</v>
      </c>
      <c r="DB177" s="1257">
        <v>0.25</v>
      </c>
      <c r="DC177" s="1257">
        <v>0.25</v>
      </c>
      <c r="DD177" s="1257">
        <v>0.25</v>
      </c>
      <c r="DE177" s="1257">
        <v>0.25</v>
      </c>
      <c r="DF177" s="1257">
        <v>0.25</v>
      </c>
      <c r="DG177" s="1257">
        <v>0.25</v>
      </c>
      <c r="DH177" s="1257">
        <v>0.25</v>
      </c>
      <c r="DI177" s="1257">
        <v>0.25</v>
      </c>
      <c r="DJ177" s="1258"/>
      <c r="DK177" s="1257"/>
      <c r="DL177" s="1257"/>
      <c r="DN177" s="1277" t="s">
        <v>1417</v>
      </c>
      <c r="DO177" s="1211" t="s">
        <v>2112</v>
      </c>
      <c r="DP177" s="1208" t="s">
        <v>555</v>
      </c>
      <c r="DQ177" s="1257">
        <v>0.25</v>
      </c>
      <c r="DR177" s="1257">
        <v>0.25</v>
      </c>
      <c r="DS177" s="1257">
        <v>0.25</v>
      </c>
      <c r="DT177" s="1257">
        <v>0.25</v>
      </c>
      <c r="DU177" s="1257">
        <v>0.25</v>
      </c>
      <c r="DV177" s="1257">
        <v>0.25</v>
      </c>
      <c r="DW177" s="1257">
        <v>0.25</v>
      </c>
      <c r="DX177" s="1257">
        <v>0.25</v>
      </c>
      <c r="DY177" s="1257">
        <v>0.25</v>
      </c>
      <c r="DZ177" s="1257">
        <v>0.25</v>
      </c>
      <c r="EA177" s="1258"/>
      <c r="EB177" s="1257"/>
      <c r="EC177" s="1257"/>
      <c r="ED177" s="1472"/>
      <c r="EF177" s="1277" t="s">
        <v>1417</v>
      </c>
      <c r="EG177" s="1211" t="s">
        <v>2112</v>
      </c>
      <c r="EH177" s="1208" t="s">
        <v>555</v>
      </c>
      <c r="EI177" s="1704">
        <f t="shared" si="275"/>
        <v>0.25</v>
      </c>
      <c r="EJ177" s="1704">
        <f t="shared" si="276"/>
        <v>0.25</v>
      </c>
      <c r="EK177" s="1704">
        <f t="shared" si="277"/>
        <v>0.25</v>
      </c>
      <c r="EL177" s="1704">
        <f t="shared" si="278"/>
        <v>0.25</v>
      </c>
      <c r="EM177" s="1704">
        <f t="shared" si="279"/>
        <v>0.25</v>
      </c>
      <c r="EN177" s="1704">
        <f t="shared" si="280"/>
        <v>0.25</v>
      </c>
      <c r="EO177" s="1704">
        <f t="shared" si="281"/>
        <v>0.25</v>
      </c>
      <c r="EP177" s="1704">
        <f t="shared" si="282"/>
        <v>0.25</v>
      </c>
      <c r="EQ177" s="1704">
        <f t="shared" si="283"/>
        <v>0.25</v>
      </c>
      <c r="ER177" s="1704">
        <f t="shared" si="284"/>
        <v>0.25</v>
      </c>
      <c r="ES177" s="1705">
        <f t="shared" si="269"/>
        <v>0</v>
      </c>
      <c r="ET177" s="1704">
        <f t="shared" si="270"/>
        <v>0</v>
      </c>
      <c r="EU177" s="1704">
        <f t="shared" si="271"/>
        <v>0</v>
      </c>
      <c r="EW177" s="1277" t="s">
        <v>1417</v>
      </c>
      <c r="EX177" s="1211" t="s">
        <v>2112</v>
      </c>
      <c r="EY177" s="1208"/>
      <c r="EZ177" s="1814">
        <v>0</v>
      </c>
      <c r="FA177" s="1681"/>
      <c r="FB177" s="1681"/>
      <c r="FC177" s="1681"/>
      <c r="FD177" s="1681"/>
      <c r="FE177" s="1681"/>
      <c r="FF177" s="1681"/>
      <c r="FG177" s="1681"/>
      <c r="FH177" s="1681"/>
      <c r="FI177" s="1681"/>
      <c r="FJ177" s="1805"/>
      <c r="FK177" s="1681"/>
      <c r="FL177" s="1681"/>
    </row>
    <row r="178" spans="2:168">
      <c r="B178" s="2023" t="str">
        <f t="shared" si="274"/>
        <v>2.3.1</v>
      </c>
      <c r="C178" s="2011" t="str">
        <f t="shared" si="285"/>
        <v>雨水排水負荷低減</v>
      </c>
      <c r="D178" s="2022" t="e">
        <f t="shared" ref="D178:E181" si="326">IF(I$177=0,0,G178/I$177)</f>
        <v>#REF!</v>
      </c>
      <c r="E178" s="2022" t="e">
        <f t="shared" si="326"/>
        <v>#REF!</v>
      </c>
      <c r="G178" s="2021" t="e">
        <f t="shared" si="287"/>
        <v>#REF!</v>
      </c>
      <c r="H178" s="2021" t="e">
        <f t="shared" si="288"/>
        <v>#REF!</v>
      </c>
      <c r="I178" s="2021"/>
      <c r="J178" s="2021"/>
      <c r="K178" s="2021" t="e">
        <f>IF(#REF!=0,0,1)</f>
        <v>#REF!</v>
      </c>
      <c r="L178" s="2021" t="e">
        <f>IF(#REF!=0,0,1)</f>
        <v>#REF!</v>
      </c>
      <c r="M178" s="2021">
        <f t="shared" si="289"/>
        <v>0.25</v>
      </c>
      <c r="N178" s="2021">
        <f t="shared" si="268"/>
        <v>0</v>
      </c>
      <c r="P178" s="2066"/>
      <c r="Q178" s="2019"/>
      <c r="R178" s="993">
        <v>1</v>
      </c>
      <c r="S178" s="2034" t="s">
        <v>1615</v>
      </c>
      <c r="T178" s="2036"/>
      <c r="U178" s="2017"/>
      <c r="V178" s="2025">
        <f t="shared" si="322"/>
        <v>0</v>
      </c>
      <c r="W178" s="2024">
        <f t="shared" si="323"/>
        <v>0</v>
      </c>
      <c r="Y178" s="1">
        <f t="shared" si="306"/>
        <v>0</v>
      </c>
      <c r="Z178" s="1">
        <f t="shared" si="307"/>
        <v>0</v>
      </c>
      <c r="AA178" s="1">
        <f t="shared" si="308"/>
        <v>0</v>
      </c>
      <c r="AB178" s="1">
        <f t="shared" si="309"/>
        <v>0</v>
      </c>
      <c r="AC178" s="1">
        <f t="shared" si="310"/>
        <v>0</v>
      </c>
      <c r="AD178" s="1">
        <f t="shared" si="311"/>
        <v>0</v>
      </c>
      <c r="AE178" s="1">
        <f t="shared" si="312"/>
        <v>0</v>
      </c>
      <c r="AF178" s="1">
        <f t="shared" si="313"/>
        <v>0</v>
      </c>
      <c r="AG178" s="1">
        <f t="shared" si="314"/>
        <v>0</v>
      </c>
      <c r="AH178" s="1">
        <f t="shared" si="315"/>
        <v>0</v>
      </c>
      <c r="AI178" s="1">
        <f t="shared" si="316"/>
        <v>0</v>
      </c>
      <c r="AJ178" s="1">
        <f t="shared" si="317"/>
        <v>0</v>
      </c>
      <c r="AK178" s="1">
        <f t="shared" si="318"/>
        <v>0</v>
      </c>
      <c r="AM178" s="1827"/>
      <c r="AN178" s="1827"/>
      <c r="AO178" s="1827"/>
      <c r="AP178" s="1827"/>
      <c r="AQ178" s="1827"/>
      <c r="AR178" s="1827"/>
      <c r="AS178" s="1827"/>
      <c r="AT178" s="1827"/>
      <c r="AU178" s="1827"/>
      <c r="AV178" s="1827"/>
      <c r="AW178" s="1827"/>
      <c r="AX178" s="1827"/>
      <c r="AY178" s="1827"/>
      <c r="BA178" s="2014"/>
      <c r="BB178" s="2014" t="e">
        <f t="shared" si="324"/>
        <v>#REF!</v>
      </c>
      <c r="BC178" s="2014"/>
      <c r="BD178" s="2013" t="e">
        <f>BR178*#REF!</f>
        <v>#REF!</v>
      </c>
      <c r="BE178" s="2013" t="e">
        <f>BS178*#REF!</f>
        <v>#REF!</v>
      </c>
      <c r="BF178" s="2013" t="e">
        <f>BT178*#REF!</f>
        <v>#REF!</v>
      </c>
      <c r="BG178" s="2013" t="e">
        <f>BU178*#REF!</f>
        <v>#REF!</v>
      </c>
      <c r="BH178" s="2013" t="e">
        <f>BV178*#REF!</f>
        <v>#REF!</v>
      </c>
      <c r="BI178" s="2013" t="e">
        <f>BW178*#REF!</f>
        <v>#REF!</v>
      </c>
      <c r="BJ178" s="2013" t="e">
        <f>BX178*#REF!</f>
        <v>#REF!</v>
      </c>
      <c r="BK178" s="2013" t="e">
        <f>BY178*#REF!</f>
        <v>#REF!</v>
      </c>
      <c r="BL178" s="2013" t="e">
        <f>BZ178*#REF!</f>
        <v>#REF!</v>
      </c>
      <c r="BM178" s="2013" t="e">
        <f>CA178*#REF!</f>
        <v>#REF!</v>
      </c>
      <c r="BO178" s="513" t="str">
        <f t="shared" si="290"/>
        <v>2.3.1</v>
      </c>
      <c r="BP178" s="2012" t="str">
        <f t="shared" si="291"/>
        <v>LR3 2.3</v>
      </c>
      <c r="BQ178" s="2011" t="str">
        <f t="shared" si="292"/>
        <v>雨水排水負荷低減</v>
      </c>
      <c r="BR178" s="2010">
        <f t="shared" si="293"/>
        <v>0.25</v>
      </c>
      <c r="BS178" s="2010">
        <f t="shared" si="294"/>
        <v>0.25</v>
      </c>
      <c r="BT178" s="2010">
        <f t="shared" si="295"/>
        <v>0.25</v>
      </c>
      <c r="BU178" s="2010">
        <f t="shared" si="296"/>
        <v>0.25</v>
      </c>
      <c r="BV178" s="2010">
        <f t="shared" si="297"/>
        <v>0.25</v>
      </c>
      <c r="BW178" s="2010">
        <f t="shared" si="298"/>
        <v>0.25</v>
      </c>
      <c r="BX178" s="2010">
        <f t="shared" si="299"/>
        <v>0.25</v>
      </c>
      <c r="BY178" s="2010">
        <f t="shared" si="300"/>
        <v>0.25</v>
      </c>
      <c r="BZ178" s="2010">
        <f t="shared" si="301"/>
        <v>0.25</v>
      </c>
      <c r="CA178" s="2010">
        <f t="shared" si="302"/>
        <v>0.25</v>
      </c>
      <c r="CB178" s="2009">
        <f t="shared" si="303"/>
        <v>0</v>
      </c>
      <c r="CC178" s="2008">
        <f t="shared" si="304"/>
        <v>0</v>
      </c>
      <c r="CD178" s="2008">
        <f t="shared" si="305"/>
        <v>0</v>
      </c>
      <c r="CF178" s="1277" t="s">
        <v>213</v>
      </c>
      <c r="CG178" s="1211" t="s">
        <v>2113</v>
      </c>
      <c r="CH178" s="1278" t="s">
        <v>1615</v>
      </c>
      <c r="CI178" s="1213">
        <v>0.25</v>
      </c>
      <c r="CJ178" s="1213">
        <v>0.25</v>
      </c>
      <c r="CK178" s="1213">
        <v>0.25</v>
      </c>
      <c r="CL178" s="1213">
        <v>0.25</v>
      </c>
      <c r="CM178" s="1213">
        <v>0.25</v>
      </c>
      <c r="CN178" s="1213">
        <v>0.25</v>
      </c>
      <c r="CO178" s="1213">
        <v>0.25</v>
      </c>
      <c r="CP178" s="1213">
        <v>0.25</v>
      </c>
      <c r="CQ178" s="1213">
        <v>0.25</v>
      </c>
      <c r="CR178" s="1213">
        <v>0.25</v>
      </c>
      <c r="CS178" s="1258"/>
      <c r="CT178" s="1257"/>
      <c r="CU178" s="1257"/>
      <c r="CW178" s="1277" t="s">
        <v>213</v>
      </c>
      <c r="CX178" s="1211" t="s">
        <v>2113</v>
      </c>
      <c r="CY178" s="1278" t="s">
        <v>1615</v>
      </c>
      <c r="CZ178" s="1213">
        <v>0.25</v>
      </c>
      <c r="DA178" s="1213">
        <v>0.25</v>
      </c>
      <c r="DB178" s="1213">
        <v>0.25</v>
      </c>
      <c r="DC178" s="1213">
        <v>0.25</v>
      </c>
      <c r="DD178" s="1213">
        <v>0.25</v>
      </c>
      <c r="DE178" s="1213">
        <v>0.25</v>
      </c>
      <c r="DF178" s="1213">
        <v>0.25</v>
      </c>
      <c r="DG178" s="1213">
        <v>0.25</v>
      </c>
      <c r="DH178" s="1213">
        <v>0.25</v>
      </c>
      <c r="DI178" s="1213">
        <v>0.25</v>
      </c>
      <c r="DJ178" s="1258"/>
      <c r="DK178" s="1257"/>
      <c r="DL178" s="1257"/>
      <c r="DN178" s="1277" t="s">
        <v>213</v>
      </c>
      <c r="DO178" s="1211" t="s">
        <v>2113</v>
      </c>
      <c r="DP178" s="1278" t="s">
        <v>1615</v>
      </c>
      <c r="DQ178" s="1213">
        <v>0.25</v>
      </c>
      <c r="DR178" s="1213">
        <v>0.25</v>
      </c>
      <c r="DS178" s="1213">
        <v>0.25</v>
      </c>
      <c r="DT178" s="1213">
        <v>0.25</v>
      </c>
      <c r="DU178" s="1213">
        <v>0.25</v>
      </c>
      <c r="DV178" s="1213">
        <v>0.25</v>
      </c>
      <c r="DW178" s="1213">
        <v>0.25</v>
      </c>
      <c r="DX178" s="1213">
        <v>0.25</v>
      </c>
      <c r="DY178" s="1213">
        <v>0.25</v>
      </c>
      <c r="DZ178" s="1213">
        <v>0.25</v>
      </c>
      <c r="EA178" s="1258"/>
      <c r="EB178" s="1257"/>
      <c r="EC178" s="1257"/>
      <c r="ED178" s="1472"/>
      <c r="EF178" s="1277" t="s">
        <v>213</v>
      </c>
      <c r="EG178" s="1211" t="s">
        <v>2113</v>
      </c>
      <c r="EH178" s="1278" t="s">
        <v>1615</v>
      </c>
      <c r="EI178" s="1689">
        <f t="shared" si="275"/>
        <v>0.25</v>
      </c>
      <c r="EJ178" s="1689">
        <f t="shared" si="276"/>
        <v>0.25</v>
      </c>
      <c r="EK178" s="1689">
        <f t="shared" si="277"/>
        <v>0.25</v>
      </c>
      <c r="EL178" s="1689">
        <f t="shared" si="278"/>
        <v>0.25</v>
      </c>
      <c r="EM178" s="1689">
        <f t="shared" si="279"/>
        <v>0.25</v>
      </c>
      <c r="EN178" s="1689">
        <f t="shared" si="280"/>
        <v>0.25</v>
      </c>
      <c r="EO178" s="1689">
        <f t="shared" si="281"/>
        <v>0.25</v>
      </c>
      <c r="EP178" s="1689">
        <f t="shared" si="282"/>
        <v>0.25</v>
      </c>
      <c r="EQ178" s="1689">
        <f t="shared" si="283"/>
        <v>0.25</v>
      </c>
      <c r="ER178" s="1689">
        <f t="shared" si="284"/>
        <v>0.25</v>
      </c>
      <c r="ES178" s="1705">
        <f t="shared" si="269"/>
        <v>0</v>
      </c>
      <c r="ET178" s="1704">
        <f t="shared" si="270"/>
        <v>0</v>
      </c>
      <c r="EU178" s="1704">
        <f t="shared" si="271"/>
        <v>0</v>
      </c>
      <c r="EW178" s="1277" t="s">
        <v>213</v>
      </c>
      <c r="EX178" s="1211" t="s">
        <v>2113</v>
      </c>
      <c r="EY178" s="1278"/>
      <c r="EZ178" s="1814">
        <v>0</v>
      </c>
      <c r="FA178" s="1678"/>
      <c r="FB178" s="1678"/>
      <c r="FC178" s="1678"/>
      <c r="FD178" s="1678"/>
      <c r="FE178" s="1678"/>
      <c r="FF178" s="1678"/>
      <c r="FG178" s="1678"/>
      <c r="FH178" s="1678"/>
      <c r="FI178" s="1678"/>
      <c r="FJ178" s="1805"/>
      <c r="FK178" s="1681"/>
      <c r="FL178" s="1681"/>
    </row>
    <row r="179" spans="2:168">
      <c r="B179" s="2023" t="str">
        <f t="shared" si="274"/>
        <v>2.3.2</v>
      </c>
      <c r="C179" s="2011" t="str">
        <f t="shared" si="285"/>
        <v>汚水処理負荷抑制</v>
      </c>
      <c r="D179" s="2022" t="e">
        <f t="shared" si="326"/>
        <v>#REF!</v>
      </c>
      <c r="E179" s="2022" t="e">
        <f t="shared" si="326"/>
        <v>#REF!</v>
      </c>
      <c r="G179" s="2021" t="e">
        <f t="shared" si="287"/>
        <v>#REF!</v>
      </c>
      <c r="H179" s="2021" t="e">
        <f t="shared" si="288"/>
        <v>#REF!</v>
      </c>
      <c r="I179" s="2021"/>
      <c r="J179" s="2021"/>
      <c r="K179" s="2021" t="e">
        <f>IF(#REF!=0,0,1)</f>
        <v>#REF!</v>
      </c>
      <c r="L179" s="2021" t="e">
        <f>IF(#REF!=0,0,1)</f>
        <v>#REF!</v>
      </c>
      <c r="M179" s="2021">
        <f t="shared" si="289"/>
        <v>0.25</v>
      </c>
      <c r="N179" s="2021">
        <f t="shared" si="268"/>
        <v>0</v>
      </c>
      <c r="P179" s="2066"/>
      <c r="Q179" s="2019"/>
      <c r="R179" s="2018">
        <v>2</v>
      </c>
      <c r="S179" s="2034" t="s">
        <v>1616</v>
      </c>
      <c r="T179" s="2036"/>
      <c r="U179" s="2017"/>
      <c r="V179" s="2038">
        <f t="shared" si="322"/>
        <v>0</v>
      </c>
      <c r="W179" s="2037">
        <f t="shared" si="323"/>
        <v>0</v>
      </c>
      <c r="Y179" s="1">
        <f t="shared" si="306"/>
        <v>0</v>
      </c>
      <c r="Z179" s="1">
        <f t="shared" si="307"/>
        <v>0</v>
      </c>
      <c r="AA179" s="1">
        <f t="shared" si="308"/>
        <v>0</v>
      </c>
      <c r="AB179" s="1">
        <f t="shared" si="309"/>
        <v>0</v>
      </c>
      <c r="AC179" s="1">
        <f t="shared" si="310"/>
        <v>0</v>
      </c>
      <c r="AD179" s="1">
        <f t="shared" si="311"/>
        <v>0</v>
      </c>
      <c r="AE179" s="1">
        <f t="shared" si="312"/>
        <v>0</v>
      </c>
      <c r="AF179" s="1">
        <f t="shared" si="313"/>
        <v>0</v>
      </c>
      <c r="AG179" s="1">
        <f t="shared" si="314"/>
        <v>0</v>
      </c>
      <c r="AH179" s="1">
        <f t="shared" si="315"/>
        <v>0</v>
      </c>
      <c r="AI179" s="1">
        <f t="shared" si="316"/>
        <v>0</v>
      </c>
      <c r="AJ179" s="1">
        <f t="shared" si="317"/>
        <v>0</v>
      </c>
      <c r="AK179" s="1">
        <f t="shared" si="318"/>
        <v>0</v>
      </c>
      <c r="AM179" s="1828"/>
      <c r="AN179" s="1828"/>
      <c r="AO179" s="1828"/>
      <c r="AP179" s="1828"/>
      <c r="AQ179" s="1828"/>
      <c r="AR179" s="1828"/>
      <c r="AS179" s="1828"/>
      <c r="AT179" s="1828"/>
      <c r="AU179" s="1828"/>
      <c r="AV179" s="1828"/>
      <c r="AW179" s="1828"/>
      <c r="AX179" s="1828"/>
      <c r="AY179" s="1828"/>
      <c r="BA179" s="2014"/>
      <c r="BB179" s="2014" t="e">
        <f t="shared" si="324"/>
        <v>#REF!</v>
      </c>
      <c r="BC179" s="2014"/>
      <c r="BD179" s="2013" t="e">
        <f>BR179*#REF!</f>
        <v>#REF!</v>
      </c>
      <c r="BE179" s="2013" t="e">
        <f>BS179*#REF!</f>
        <v>#REF!</v>
      </c>
      <c r="BF179" s="2013" t="e">
        <f>BT179*#REF!</f>
        <v>#REF!</v>
      </c>
      <c r="BG179" s="2013" t="e">
        <f>BU179*#REF!</f>
        <v>#REF!</v>
      </c>
      <c r="BH179" s="2013" t="e">
        <f>BV179*#REF!</f>
        <v>#REF!</v>
      </c>
      <c r="BI179" s="2013" t="e">
        <f>BW179*#REF!</f>
        <v>#REF!</v>
      </c>
      <c r="BJ179" s="2013" t="e">
        <f>BX179*#REF!</f>
        <v>#REF!</v>
      </c>
      <c r="BK179" s="2013" t="e">
        <f>BY179*#REF!</f>
        <v>#REF!</v>
      </c>
      <c r="BL179" s="2013" t="e">
        <f>BZ179*#REF!</f>
        <v>#REF!</v>
      </c>
      <c r="BM179" s="2013" t="e">
        <f>CA179*#REF!</f>
        <v>#REF!</v>
      </c>
      <c r="BO179" s="513" t="str">
        <f t="shared" si="290"/>
        <v>2.3.2</v>
      </c>
      <c r="BP179" s="2012" t="str">
        <f t="shared" si="291"/>
        <v>LR3 2.3</v>
      </c>
      <c r="BQ179" s="2011" t="str">
        <f t="shared" si="292"/>
        <v>汚水処理負荷抑制</v>
      </c>
      <c r="BR179" s="2010">
        <f t="shared" si="293"/>
        <v>0.25</v>
      </c>
      <c r="BS179" s="2010">
        <f t="shared" si="294"/>
        <v>0.25</v>
      </c>
      <c r="BT179" s="2010">
        <f t="shared" si="295"/>
        <v>0.25</v>
      </c>
      <c r="BU179" s="2010">
        <f t="shared" si="296"/>
        <v>0.25</v>
      </c>
      <c r="BV179" s="2010">
        <f t="shared" si="297"/>
        <v>0.25</v>
      </c>
      <c r="BW179" s="2010">
        <f t="shared" si="298"/>
        <v>0.25</v>
      </c>
      <c r="BX179" s="2010">
        <f t="shared" si="299"/>
        <v>0.25</v>
      </c>
      <c r="BY179" s="2010">
        <f t="shared" si="300"/>
        <v>0.25</v>
      </c>
      <c r="BZ179" s="2010">
        <f t="shared" si="301"/>
        <v>0.25</v>
      </c>
      <c r="CA179" s="2010">
        <f t="shared" si="302"/>
        <v>0.25</v>
      </c>
      <c r="CB179" s="2009">
        <f t="shared" si="303"/>
        <v>0</v>
      </c>
      <c r="CC179" s="2008">
        <f t="shared" si="304"/>
        <v>0</v>
      </c>
      <c r="CD179" s="2008">
        <f t="shared" si="305"/>
        <v>0</v>
      </c>
      <c r="CF179" s="1277" t="s">
        <v>215</v>
      </c>
      <c r="CG179" s="1211" t="s">
        <v>2113</v>
      </c>
      <c r="CH179" s="1278" t="s">
        <v>1616</v>
      </c>
      <c r="CI179" s="1213">
        <v>0.25</v>
      </c>
      <c r="CJ179" s="1213">
        <v>0.25</v>
      </c>
      <c r="CK179" s="1213">
        <v>0.25</v>
      </c>
      <c r="CL179" s="1213">
        <v>0.25</v>
      </c>
      <c r="CM179" s="1213">
        <v>0.25</v>
      </c>
      <c r="CN179" s="1213">
        <v>0.25</v>
      </c>
      <c r="CO179" s="1213">
        <v>0.25</v>
      </c>
      <c r="CP179" s="1213">
        <v>0.25</v>
      </c>
      <c r="CQ179" s="1213">
        <v>0.25</v>
      </c>
      <c r="CR179" s="1213">
        <v>0.25</v>
      </c>
      <c r="CS179" s="1258"/>
      <c r="CT179" s="1257"/>
      <c r="CU179" s="1257"/>
      <c r="CW179" s="1277" t="s">
        <v>215</v>
      </c>
      <c r="CX179" s="1211" t="s">
        <v>2113</v>
      </c>
      <c r="CY179" s="1278" t="s">
        <v>1616</v>
      </c>
      <c r="CZ179" s="1213">
        <v>0.25</v>
      </c>
      <c r="DA179" s="1213">
        <v>0.25</v>
      </c>
      <c r="DB179" s="1213">
        <v>0.25</v>
      </c>
      <c r="DC179" s="1213">
        <v>0.25</v>
      </c>
      <c r="DD179" s="1213">
        <v>0.25</v>
      </c>
      <c r="DE179" s="1213">
        <v>0.25</v>
      </c>
      <c r="DF179" s="1213">
        <v>0.25</v>
      </c>
      <c r="DG179" s="1213">
        <v>0.25</v>
      </c>
      <c r="DH179" s="1213">
        <v>0.25</v>
      </c>
      <c r="DI179" s="1213">
        <v>0.25</v>
      </c>
      <c r="DJ179" s="1258"/>
      <c r="DK179" s="1257"/>
      <c r="DL179" s="1257"/>
      <c r="DN179" s="1277" t="s">
        <v>215</v>
      </c>
      <c r="DO179" s="1211" t="s">
        <v>2113</v>
      </c>
      <c r="DP179" s="1278" t="s">
        <v>1616</v>
      </c>
      <c r="DQ179" s="1213">
        <v>0.25</v>
      </c>
      <c r="DR179" s="1213">
        <v>0.25</v>
      </c>
      <c r="DS179" s="1213">
        <v>0.25</v>
      </c>
      <c r="DT179" s="1213">
        <v>0.25</v>
      </c>
      <c r="DU179" s="1213">
        <v>0.25</v>
      </c>
      <c r="DV179" s="1213">
        <v>0.25</v>
      </c>
      <c r="DW179" s="1213">
        <v>0.25</v>
      </c>
      <c r="DX179" s="1213">
        <v>0.25</v>
      </c>
      <c r="DY179" s="1213">
        <v>0.25</v>
      </c>
      <c r="DZ179" s="1213">
        <v>0.25</v>
      </c>
      <c r="EA179" s="1258"/>
      <c r="EB179" s="1257"/>
      <c r="EC179" s="1257"/>
      <c r="ED179" s="1472"/>
      <c r="EF179" s="1277" t="s">
        <v>215</v>
      </c>
      <c r="EG179" s="1211" t="s">
        <v>2113</v>
      </c>
      <c r="EH179" s="1278" t="s">
        <v>1616</v>
      </c>
      <c r="EI179" s="1689">
        <f t="shared" si="275"/>
        <v>0.25</v>
      </c>
      <c r="EJ179" s="1689">
        <f t="shared" si="276"/>
        <v>0.25</v>
      </c>
      <c r="EK179" s="1689">
        <f t="shared" si="277"/>
        <v>0.25</v>
      </c>
      <c r="EL179" s="1689">
        <f t="shared" si="278"/>
        <v>0.25</v>
      </c>
      <c r="EM179" s="1689">
        <f t="shared" si="279"/>
        <v>0.25</v>
      </c>
      <c r="EN179" s="1689">
        <f t="shared" si="280"/>
        <v>0.25</v>
      </c>
      <c r="EO179" s="1689">
        <f t="shared" si="281"/>
        <v>0.25</v>
      </c>
      <c r="EP179" s="1689">
        <f t="shared" si="282"/>
        <v>0.25</v>
      </c>
      <c r="EQ179" s="1689">
        <f t="shared" si="283"/>
        <v>0.25</v>
      </c>
      <c r="ER179" s="1689">
        <f t="shared" si="284"/>
        <v>0.25</v>
      </c>
      <c r="ES179" s="1705">
        <f t="shared" si="269"/>
        <v>0</v>
      </c>
      <c r="ET179" s="1704">
        <f t="shared" si="270"/>
        <v>0</v>
      </c>
      <c r="EU179" s="1704">
        <f t="shared" si="271"/>
        <v>0</v>
      </c>
      <c r="EW179" s="1277" t="s">
        <v>215</v>
      </c>
      <c r="EX179" s="1211" t="s">
        <v>2113</v>
      </c>
      <c r="EY179" s="1278"/>
      <c r="EZ179" s="1814">
        <v>0</v>
      </c>
      <c r="FA179" s="1678"/>
      <c r="FB179" s="1678"/>
      <c r="FC179" s="1678"/>
      <c r="FD179" s="1678"/>
      <c r="FE179" s="1678"/>
      <c r="FF179" s="1678"/>
      <c r="FG179" s="1678"/>
      <c r="FH179" s="1678"/>
      <c r="FI179" s="1678"/>
      <c r="FJ179" s="1805"/>
      <c r="FK179" s="1681"/>
      <c r="FL179" s="1681"/>
    </row>
    <row r="180" spans="2:168">
      <c r="B180" s="2023" t="str">
        <f t="shared" si="274"/>
        <v>2.3.3</v>
      </c>
      <c r="C180" s="2011" t="str">
        <f t="shared" si="285"/>
        <v>交通負荷抑制</v>
      </c>
      <c r="D180" s="2022" t="e">
        <f t="shared" si="326"/>
        <v>#REF!</v>
      </c>
      <c r="E180" s="2022" t="e">
        <f t="shared" si="326"/>
        <v>#REF!</v>
      </c>
      <c r="G180" s="2021" t="e">
        <f t="shared" si="287"/>
        <v>#REF!</v>
      </c>
      <c r="H180" s="2021" t="e">
        <f t="shared" si="288"/>
        <v>#REF!</v>
      </c>
      <c r="I180" s="2021"/>
      <c r="J180" s="2021"/>
      <c r="K180" s="2021" t="e">
        <f>IF(#REF!=0,0,1)</f>
        <v>#REF!</v>
      </c>
      <c r="L180" s="2021" t="e">
        <f>IF(#REF!=0,0,1)</f>
        <v>#REF!</v>
      </c>
      <c r="M180" s="2021">
        <f t="shared" si="289"/>
        <v>0.25</v>
      </c>
      <c r="N180" s="2021">
        <f t="shared" si="268"/>
        <v>0</v>
      </c>
      <c r="P180" s="2066"/>
      <c r="Q180" s="2019"/>
      <c r="R180" s="993">
        <v>3</v>
      </c>
      <c r="S180" s="2034" t="s">
        <v>556</v>
      </c>
      <c r="T180" s="2036"/>
      <c r="U180" s="2017"/>
      <c r="V180" s="2038">
        <f t="shared" si="322"/>
        <v>0</v>
      </c>
      <c r="W180" s="2037">
        <f t="shared" si="323"/>
        <v>0</v>
      </c>
      <c r="Y180" s="1">
        <f t="shared" si="306"/>
        <v>0</v>
      </c>
      <c r="Z180" s="1">
        <f t="shared" si="307"/>
        <v>0</v>
      </c>
      <c r="AA180" s="1">
        <f t="shared" si="308"/>
        <v>0</v>
      </c>
      <c r="AB180" s="1">
        <f t="shared" si="309"/>
        <v>0</v>
      </c>
      <c r="AC180" s="1">
        <f t="shared" si="310"/>
        <v>0</v>
      </c>
      <c r="AD180" s="1">
        <f t="shared" si="311"/>
        <v>0</v>
      </c>
      <c r="AE180" s="1">
        <f t="shared" si="312"/>
        <v>0</v>
      </c>
      <c r="AF180" s="1">
        <f t="shared" si="313"/>
        <v>0</v>
      </c>
      <c r="AG180" s="1">
        <f t="shared" si="314"/>
        <v>0</v>
      </c>
      <c r="AH180" s="1">
        <f t="shared" si="315"/>
        <v>0</v>
      </c>
      <c r="AI180" s="1">
        <f t="shared" si="316"/>
        <v>0</v>
      </c>
      <c r="AJ180" s="1">
        <f t="shared" si="317"/>
        <v>0</v>
      </c>
      <c r="AK180" s="1">
        <f t="shared" si="318"/>
        <v>0</v>
      </c>
      <c r="AM180" s="1828"/>
      <c r="AN180" s="1828"/>
      <c r="AO180" s="1828"/>
      <c r="AP180" s="1828"/>
      <c r="AQ180" s="1828"/>
      <c r="AR180" s="1828"/>
      <c r="AS180" s="1828"/>
      <c r="AT180" s="1828"/>
      <c r="AU180" s="1828"/>
      <c r="AV180" s="1828"/>
      <c r="AW180" s="1828"/>
      <c r="AX180" s="1828"/>
      <c r="AY180" s="1828"/>
      <c r="BA180" s="2014"/>
      <c r="BB180" s="2014" t="e">
        <f t="shared" si="324"/>
        <v>#REF!</v>
      </c>
      <c r="BC180" s="2014"/>
      <c r="BD180" s="2013" t="e">
        <f>BR180*#REF!</f>
        <v>#REF!</v>
      </c>
      <c r="BE180" s="2013" t="e">
        <f>BS180*#REF!</f>
        <v>#REF!</v>
      </c>
      <c r="BF180" s="2013" t="e">
        <f>BT180*#REF!</f>
        <v>#REF!</v>
      </c>
      <c r="BG180" s="2013" t="e">
        <f>BU180*#REF!</f>
        <v>#REF!</v>
      </c>
      <c r="BH180" s="2013" t="e">
        <f>BV180*#REF!</f>
        <v>#REF!</v>
      </c>
      <c r="BI180" s="2013" t="e">
        <f>BW180*#REF!</f>
        <v>#REF!</v>
      </c>
      <c r="BJ180" s="2013" t="e">
        <f>BX180*#REF!</f>
        <v>#REF!</v>
      </c>
      <c r="BK180" s="2013" t="e">
        <f>BY180*#REF!</f>
        <v>#REF!</v>
      </c>
      <c r="BL180" s="2013" t="e">
        <f>BZ180*#REF!</f>
        <v>#REF!</v>
      </c>
      <c r="BM180" s="2013" t="e">
        <f>CA180*#REF!</f>
        <v>#REF!</v>
      </c>
      <c r="BO180" s="513" t="str">
        <f t="shared" si="290"/>
        <v>2.3.3</v>
      </c>
      <c r="BP180" s="2012" t="str">
        <f t="shared" si="291"/>
        <v>LR3 2.3</v>
      </c>
      <c r="BQ180" s="2011" t="str">
        <f t="shared" si="292"/>
        <v>交通負荷抑制</v>
      </c>
      <c r="BR180" s="2010">
        <f t="shared" si="293"/>
        <v>0.25</v>
      </c>
      <c r="BS180" s="2010">
        <f t="shared" si="294"/>
        <v>0.25</v>
      </c>
      <c r="BT180" s="2010">
        <f t="shared" si="295"/>
        <v>0.25</v>
      </c>
      <c r="BU180" s="2010">
        <f t="shared" si="296"/>
        <v>0.25</v>
      </c>
      <c r="BV180" s="2010">
        <f t="shared" si="297"/>
        <v>0.25</v>
      </c>
      <c r="BW180" s="2010">
        <f t="shared" si="298"/>
        <v>0.25</v>
      </c>
      <c r="BX180" s="2010">
        <f t="shared" si="299"/>
        <v>0.25</v>
      </c>
      <c r="BY180" s="2010">
        <f t="shared" si="300"/>
        <v>0.25</v>
      </c>
      <c r="BZ180" s="2010">
        <f t="shared" si="301"/>
        <v>0.25</v>
      </c>
      <c r="CA180" s="2010">
        <f t="shared" si="302"/>
        <v>0.25</v>
      </c>
      <c r="CB180" s="2009">
        <f t="shared" si="303"/>
        <v>0</v>
      </c>
      <c r="CC180" s="2008">
        <f t="shared" si="304"/>
        <v>0</v>
      </c>
      <c r="CD180" s="2008">
        <f t="shared" si="305"/>
        <v>0</v>
      </c>
      <c r="CF180" s="1277" t="s">
        <v>1152</v>
      </c>
      <c r="CG180" s="1211" t="s">
        <v>2113</v>
      </c>
      <c r="CH180" s="1278" t="s">
        <v>556</v>
      </c>
      <c r="CI180" s="1213">
        <v>0.25</v>
      </c>
      <c r="CJ180" s="1213">
        <v>0.25</v>
      </c>
      <c r="CK180" s="1213">
        <v>0.25</v>
      </c>
      <c r="CL180" s="1213">
        <v>0.25</v>
      </c>
      <c r="CM180" s="1213">
        <v>0.25</v>
      </c>
      <c r="CN180" s="1213">
        <v>0.25</v>
      </c>
      <c r="CO180" s="1213">
        <v>0.25</v>
      </c>
      <c r="CP180" s="1213">
        <v>0.25</v>
      </c>
      <c r="CQ180" s="1213">
        <v>0.25</v>
      </c>
      <c r="CR180" s="1213">
        <v>0.25</v>
      </c>
      <c r="CS180" s="1258"/>
      <c r="CT180" s="1257"/>
      <c r="CU180" s="1257"/>
      <c r="CW180" s="1277" t="s">
        <v>1152</v>
      </c>
      <c r="CX180" s="1211" t="s">
        <v>2113</v>
      </c>
      <c r="CY180" s="1278" t="s">
        <v>556</v>
      </c>
      <c r="CZ180" s="1213">
        <v>0.25</v>
      </c>
      <c r="DA180" s="1213">
        <v>0.25</v>
      </c>
      <c r="DB180" s="1213">
        <v>0.25</v>
      </c>
      <c r="DC180" s="1213">
        <v>0.25</v>
      </c>
      <c r="DD180" s="1213">
        <v>0.25</v>
      </c>
      <c r="DE180" s="1213">
        <v>0.25</v>
      </c>
      <c r="DF180" s="1213">
        <v>0.25</v>
      </c>
      <c r="DG180" s="1213">
        <v>0.25</v>
      </c>
      <c r="DH180" s="1213">
        <v>0.25</v>
      </c>
      <c r="DI180" s="1213">
        <v>0.25</v>
      </c>
      <c r="DJ180" s="1258"/>
      <c r="DK180" s="1257"/>
      <c r="DL180" s="1257"/>
      <c r="DN180" s="1277" t="s">
        <v>1152</v>
      </c>
      <c r="DO180" s="1211" t="s">
        <v>2113</v>
      </c>
      <c r="DP180" s="1278" t="s">
        <v>556</v>
      </c>
      <c r="DQ180" s="1213">
        <v>0.25</v>
      </c>
      <c r="DR180" s="1213">
        <v>0.25</v>
      </c>
      <c r="DS180" s="1213">
        <v>0.25</v>
      </c>
      <c r="DT180" s="1213">
        <v>0.25</v>
      </c>
      <c r="DU180" s="1213">
        <v>0.25</v>
      </c>
      <c r="DV180" s="1213">
        <v>0.25</v>
      </c>
      <c r="DW180" s="1213">
        <v>0.25</v>
      </c>
      <c r="DX180" s="1213">
        <v>0.25</v>
      </c>
      <c r="DY180" s="1213">
        <v>0.25</v>
      </c>
      <c r="DZ180" s="1213">
        <v>0.25</v>
      </c>
      <c r="EA180" s="1258"/>
      <c r="EB180" s="1257"/>
      <c r="EC180" s="1257"/>
      <c r="ED180" s="1472"/>
      <c r="EF180" s="1277" t="s">
        <v>1152</v>
      </c>
      <c r="EG180" s="1211" t="s">
        <v>2113</v>
      </c>
      <c r="EH180" s="1278" t="s">
        <v>556</v>
      </c>
      <c r="EI180" s="1689">
        <f t="shared" si="275"/>
        <v>0.25</v>
      </c>
      <c r="EJ180" s="1689">
        <f t="shared" si="276"/>
        <v>0.25</v>
      </c>
      <c r="EK180" s="1689">
        <f t="shared" si="277"/>
        <v>0.25</v>
      </c>
      <c r="EL180" s="1689">
        <f t="shared" si="278"/>
        <v>0.25</v>
      </c>
      <c r="EM180" s="1689">
        <f t="shared" si="279"/>
        <v>0.25</v>
      </c>
      <c r="EN180" s="1689">
        <f t="shared" si="280"/>
        <v>0.25</v>
      </c>
      <c r="EO180" s="1689">
        <f t="shared" si="281"/>
        <v>0.25</v>
      </c>
      <c r="EP180" s="1689">
        <f t="shared" si="282"/>
        <v>0.25</v>
      </c>
      <c r="EQ180" s="1689">
        <f t="shared" si="283"/>
        <v>0.25</v>
      </c>
      <c r="ER180" s="1689">
        <f t="shared" si="284"/>
        <v>0.25</v>
      </c>
      <c r="ES180" s="1705">
        <f t="shared" si="269"/>
        <v>0</v>
      </c>
      <c r="ET180" s="1704">
        <f t="shared" si="270"/>
        <v>0</v>
      </c>
      <c r="EU180" s="1704">
        <f t="shared" si="271"/>
        <v>0</v>
      </c>
      <c r="EW180" s="1277" t="s">
        <v>1152</v>
      </c>
      <c r="EX180" s="1211" t="s">
        <v>2113</v>
      </c>
      <c r="EY180" s="1278"/>
      <c r="EZ180" s="1814">
        <v>0</v>
      </c>
      <c r="FA180" s="1678"/>
      <c r="FB180" s="1678"/>
      <c r="FC180" s="1678"/>
      <c r="FD180" s="1678"/>
      <c r="FE180" s="1678"/>
      <c r="FF180" s="1678"/>
      <c r="FG180" s="1678"/>
      <c r="FH180" s="1678"/>
      <c r="FI180" s="1678"/>
      <c r="FJ180" s="1805"/>
      <c r="FK180" s="1681"/>
      <c r="FL180" s="1681"/>
    </row>
    <row r="181" spans="2:168" ht="14.25" thickBot="1">
      <c r="B181" s="2023" t="str">
        <f t="shared" si="274"/>
        <v>2.3.4</v>
      </c>
      <c r="C181" s="2062" t="str">
        <f t="shared" si="285"/>
        <v>廃棄物処理負荷抑制</v>
      </c>
      <c r="D181" s="2022" t="e">
        <f t="shared" si="326"/>
        <v>#REF!</v>
      </c>
      <c r="E181" s="2022" t="e">
        <f t="shared" si="326"/>
        <v>#REF!</v>
      </c>
      <c r="G181" s="2021" t="e">
        <f t="shared" si="287"/>
        <v>#REF!</v>
      </c>
      <c r="H181" s="2021" t="e">
        <f t="shared" si="288"/>
        <v>#REF!</v>
      </c>
      <c r="I181" s="2021"/>
      <c r="J181" s="2021"/>
      <c r="K181" s="2021" t="e">
        <f>IF(#REF!=0,0,1)</f>
        <v>#REF!</v>
      </c>
      <c r="L181" s="2021" t="e">
        <f>IF(#REF!=0,0,1)</f>
        <v>#REF!</v>
      </c>
      <c r="M181" s="2021">
        <f t="shared" si="289"/>
        <v>0.25</v>
      </c>
      <c r="N181" s="2021">
        <f t="shared" si="268"/>
        <v>0</v>
      </c>
      <c r="P181" s="2066"/>
      <c r="Q181" s="2067"/>
      <c r="R181" s="993">
        <v>4</v>
      </c>
      <c r="S181" s="2034" t="s">
        <v>840</v>
      </c>
      <c r="T181" s="2036"/>
      <c r="U181" s="2017"/>
      <c r="V181" s="2016">
        <f t="shared" si="322"/>
        <v>0</v>
      </c>
      <c r="W181" s="2015">
        <f t="shared" si="323"/>
        <v>0</v>
      </c>
      <c r="Y181" s="1">
        <f t="shared" si="306"/>
        <v>0</v>
      </c>
      <c r="Z181" s="1">
        <f t="shared" si="307"/>
        <v>0</v>
      </c>
      <c r="AA181" s="1">
        <f t="shared" si="308"/>
        <v>0</v>
      </c>
      <c r="AB181" s="1">
        <f t="shared" si="309"/>
        <v>0</v>
      </c>
      <c r="AC181" s="1">
        <f t="shared" si="310"/>
        <v>0</v>
      </c>
      <c r="AD181" s="1">
        <f t="shared" si="311"/>
        <v>0</v>
      </c>
      <c r="AE181" s="1">
        <f t="shared" si="312"/>
        <v>0</v>
      </c>
      <c r="AF181" s="1">
        <f t="shared" si="313"/>
        <v>0</v>
      </c>
      <c r="AG181" s="1">
        <f t="shared" si="314"/>
        <v>0</v>
      </c>
      <c r="AH181" s="1">
        <f t="shared" si="315"/>
        <v>0</v>
      </c>
      <c r="AI181" s="1">
        <f t="shared" si="316"/>
        <v>0</v>
      </c>
      <c r="AJ181" s="1">
        <f t="shared" si="317"/>
        <v>0</v>
      </c>
      <c r="AK181" s="1">
        <f t="shared" si="318"/>
        <v>0</v>
      </c>
      <c r="AM181" s="1831"/>
      <c r="AN181" s="1831"/>
      <c r="AO181" s="1831"/>
      <c r="AP181" s="1831"/>
      <c r="AQ181" s="1831"/>
      <c r="AR181" s="1831"/>
      <c r="AS181" s="1831"/>
      <c r="AT181" s="1831"/>
      <c r="AU181" s="1831"/>
      <c r="AV181" s="1831"/>
      <c r="AW181" s="1831"/>
      <c r="AX181" s="1831"/>
      <c r="AY181" s="1831"/>
      <c r="BA181" s="2014"/>
      <c r="BB181" s="2014" t="e">
        <f t="shared" si="324"/>
        <v>#REF!</v>
      </c>
      <c r="BC181" s="2014"/>
      <c r="BD181" s="2013" t="e">
        <f>BR181*#REF!</f>
        <v>#REF!</v>
      </c>
      <c r="BE181" s="2013" t="e">
        <f>BS181*#REF!</f>
        <v>#REF!</v>
      </c>
      <c r="BF181" s="2013" t="e">
        <f>BT181*#REF!</f>
        <v>#REF!</v>
      </c>
      <c r="BG181" s="2013" t="e">
        <f>BU181*#REF!</f>
        <v>#REF!</v>
      </c>
      <c r="BH181" s="2013" t="e">
        <f>BV181*#REF!</f>
        <v>#REF!</v>
      </c>
      <c r="BI181" s="2013" t="e">
        <f>BW181*#REF!</f>
        <v>#REF!</v>
      </c>
      <c r="BJ181" s="2013" t="e">
        <f>BX181*#REF!</f>
        <v>#REF!</v>
      </c>
      <c r="BK181" s="2013" t="e">
        <f>BY181*#REF!</f>
        <v>#REF!</v>
      </c>
      <c r="BL181" s="2013" t="e">
        <f>BZ181*#REF!</f>
        <v>#REF!</v>
      </c>
      <c r="BM181" s="2013" t="e">
        <f>CA181*#REF!</f>
        <v>#REF!</v>
      </c>
      <c r="BO181" s="513" t="str">
        <f t="shared" si="290"/>
        <v>2.3.4</v>
      </c>
      <c r="BP181" s="2012" t="str">
        <f t="shared" si="291"/>
        <v>LR3 2.3</v>
      </c>
      <c r="BQ181" s="2062" t="str">
        <f t="shared" si="292"/>
        <v>廃棄物処理負荷抑制</v>
      </c>
      <c r="BR181" s="2010">
        <f t="shared" si="293"/>
        <v>0.25</v>
      </c>
      <c r="BS181" s="2010">
        <f t="shared" si="294"/>
        <v>0.25</v>
      </c>
      <c r="BT181" s="2010">
        <f t="shared" si="295"/>
        <v>0.25</v>
      </c>
      <c r="BU181" s="2010">
        <f t="shared" si="296"/>
        <v>0.25</v>
      </c>
      <c r="BV181" s="2010">
        <f t="shared" si="297"/>
        <v>0.25</v>
      </c>
      <c r="BW181" s="2010">
        <f t="shared" si="298"/>
        <v>0.25</v>
      </c>
      <c r="BX181" s="2010">
        <f t="shared" si="299"/>
        <v>0.25</v>
      </c>
      <c r="BY181" s="2010">
        <f t="shared" si="300"/>
        <v>0.25</v>
      </c>
      <c r="BZ181" s="2010">
        <f t="shared" si="301"/>
        <v>0.25</v>
      </c>
      <c r="CA181" s="2010">
        <f t="shared" si="302"/>
        <v>0.25</v>
      </c>
      <c r="CB181" s="2009">
        <f t="shared" si="303"/>
        <v>0</v>
      </c>
      <c r="CC181" s="2008">
        <f t="shared" si="304"/>
        <v>0</v>
      </c>
      <c r="CD181" s="2008">
        <f t="shared" si="305"/>
        <v>0</v>
      </c>
      <c r="CF181" s="1277" t="s">
        <v>1423</v>
      </c>
      <c r="CG181" s="1211" t="s">
        <v>2113</v>
      </c>
      <c r="CH181" s="469" t="s">
        <v>840</v>
      </c>
      <c r="CI181" s="1213">
        <v>0.25</v>
      </c>
      <c r="CJ181" s="1213">
        <v>0.25</v>
      </c>
      <c r="CK181" s="1213">
        <v>0.25</v>
      </c>
      <c r="CL181" s="1213">
        <v>0.25</v>
      </c>
      <c r="CM181" s="1213">
        <v>0.25</v>
      </c>
      <c r="CN181" s="1213">
        <v>0.25</v>
      </c>
      <c r="CO181" s="1213">
        <v>0.25</v>
      </c>
      <c r="CP181" s="1213">
        <v>0.25</v>
      </c>
      <c r="CQ181" s="1213">
        <v>0.25</v>
      </c>
      <c r="CR181" s="1213">
        <v>0.25</v>
      </c>
      <c r="CS181" s="1258"/>
      <c r="CT181" s="1257"/>
      <c r="CU181" s="1257"/>
      <c r="CW181" s="1277" t="s">
        <v>1423</v>
      </c>
      <c r="CX181" s="1211" t="s">
        <v>2113</v>
      </c>
      <c r="CY181" s="469" t="s">
        <v>840</v>
      </c>
      <c r="CZ181" s="1213">
        <v>0.25</v>
      </c>
      <c r="DA181" s="1213">
        <v>0.25</v>
      </c>
      <c r="DB181" s="1213">
        <v>0.25</v>
      </c>
      <c r="DC181" s="1213">
        <v>0.25</v>
      </c>
      <c r="DD181" s="1213">
        <v>0.25</v>
      </c>
      <c r="DE181" s="1213">
        <v>0.25</v>
      </c>
      <c r="DF181" s="1213">
        <v>0.25</v>
      </c>
      <c r="DG181" s="1213">
        <v>0.25</v>
      </c>
      <c r="DH181" s="1213">
        <v>0.25</v>
      </c>
      <c r="DI181" s="1213">
        <v>0.25</v>
      </c>
      <c r="DJ181" s="1258"/>
      <c r="DK181" s="1257"/>
      <c r="DL181" s="1257"/>
      <c r="DN181" s="1277" t="s">
        <v>1423</v>
      </c>
      <c r="DO181" s="1211" t="s">
        <v>2113</v>
      </c>
      <c r="DP181" s="469" t="s">
        <v>840</v>
      </c>
      <c r="DQ181" s="1213">
        <v>0.25</v>
      </c>
      <c r="DR181" s="1213">
        <v>0.25</v>
      </c>
      <c r="DS181" s="1213">
        <v>0.25</v>
      </c>
      <c r="DT181" s="1213">
        <v>0.25</v>
      </c>
      <c r="DU181" s="1213">
        <v>0.25</v>
      </c>
      <c r="DV181" s="1213">
        <v>0.25</v>
      </c>
      <c r="DW181" s="1213">
        <v>0.25</v>
      </c>
      <c r="DX181" s="1213">
        <v>0.25</v>
      </c>
      <c r="DY181" s="1213">
        <v>0.25</v>
      </c>
      <c r="DZ181" s="1213">
        <v>0.25</v>
      </c>
      <c r="EA181" s="1258"/>
      <c r="EB181" s="1257"/>
      <c r="EC181" s="1257"/>
      <c r="ED181" s="1472"/>
      <c r="EF181" s="1277" t="s">
        <v>1423</v>
      </c>
      <c r="EG181" s="1211" t="s">
        <v>2113</v>
      </c>
      <c r="EH181" s="469" t="s">
        <v>840</v>
      </c>
      <c r="EI181" s="1689">
        <f t="shared" si="275"/>
        <v>0.25</v>
      </c>
      <c r="EJ181" s="1689">
        <f t="shared" si="276"/>
        <v>0.25</v>
      </c>
      <c r="EK181" s="1689">
        <f t="shared" si="277"/>
        <v>0.25</v>
      </c>
      <c r="EL181" s="1689">
        <f t="shared" si="278"/>
        <v>0.25</v>
      </c>
      <c r="EM181" s="1689">
        <f t="shared" si="279"/>
        <v>0.25</v>
      </c>
      <c r="EN181" s="1689">
        <f t="shared" si="280"/>
        <v>0.25</v>
      </c>
      <c r="EO181" s="1689">
        <f t="shared" si="281"/>
        <v>0.25</v>
      </c>
      <c r="EP181" s="1689">
        <f t="shared" si="282"/>
        <v>0.25</v>
      </c>
      <c r="EQ181" s="1689">
        <f t="shared" si="283"/>
        <v>0.25</v>
      </c>
      <c r="ER181" s="1689">
        <f t="shared" si="284"/>
        <v>0.25</v>
      </c>
      <c r="ES181" s="1705">
        <f t="shared" si="269"/>
        <v>0</v>
      </c>
      <c r="ET181" s="1704">
        <f t="shared" si="270"/>
        <v>0</v>
      </c>
      <c r="EU181" s="1704">
        <f t="shared" si="271"/>
        <v>0</v>
      </c>
      <c r="EW181" s="1277" t="s">
        <v>1423</v>
      </c>
      <c r="EX181" s="1211" t="s">
        <v>2113</v>
      </c>
      <c r="EY181" s="469"/>
      <c r="EZ181" s="1814">
        <v>0</v>
      </c>
      <c r="FA181" s="1678"/>
      <c r="FB181" s="1678"/>
      <c r="FC181" s="1678"/>
      <c r="FD181" s="1678"/>
      <c r="FE181" s="1678"/>
      <c r="FF181" s="1678"/>
      <c r="FG181" s="1678"/>
      <c r="FH181" s="1678"/>
      <c r="FI181" s="1678"/>
      <c r="FJ181" s="1805"/>
      <c r="FK181" s="1681"/>
      <c r="FL181" s="1681"/>
    </row>
    <row r="182" spans="2:168" hidden="1">
      <c r="B182" s="2023">
        <f t="shared" si="274"/>
        <v>0</v>
      </c>
      <c r="C182" s="2062">
        <f t="shared" si="285"/>
        <v>0</v>
      </c>
      <c r="D182" s="2022" t="e">
        <f>IF(I$174=0,0,G182/I$174)</f>
        <v>#REF!</v>
      </c>
      <c r="E182" s="2022" t="e">
        <f>IF(J$174=0,0,H182/J$174)</f>
        <v>#REF!</v>
      </c>
      <c r="G182" s="2021" t="e">
        <f t="shared" si="287"/>
        <v>#REF!</v>
      </c>
      <c r="H182" s="2021" t="e">
        <f t="shared" si="288"/>
        <v>#REF!</v>
      </c>
      <c r="I182" s="2021"/>
      <c r="J182" s="2021"/>
      <c r="K182" s="2021" t="e">
        <f>IF(#REF!=0,0,1)</f>
        <v>#REF!</v>
      </c>
      <c r="L182" s="2021" t="e">
        <f>IF(#REF!=0,0,1)</f>
        <v>#REF!</v>
      </c>
      <c r="M182" s="2021">
        <f t="shared" si="289"/>
        <v>0</v>
      </c>
      <c r="N182" s="2021">
        <f t="shared" si="268"/>
        <v>0</v>
      </c>
      <c r="P182" s="2066"/>
      <c r="Q182" s="2065">
        <v>2.1</v>
      </c>
      <c r="R182" s="2064" t="s">
        <v>840</v>
      </c>
      <c r="S182" s="2034"/>
      <c r="T182" s="2036"/>
      <c r="U182" s="2017"/>
      <c r="V182" s="2038">
        <f t="shared" si="322"/>
        <v>0</v>
      </c>
      <c r="W182" s="2037">
        <f t="shared" si="323"/>
        <v>0</v>
      </c>
      <c r="Y182" s="1">
        <f t="shared" si="306"/>
        <v>0</v>
      </c>
      <c r="Z182" s="1">
        <f t="shared" si="307"/>
        <v>0</v>
      </c>
      <c r="AA182" s="1">
        <f t="shared" si="308"/>
        <v>0</v>
      </c>
      <c r="AB182" s="1">
        <f t="shared" si="309"/>
        <v>0</v>
      </c>
      <c r="AC182" s="1">
        <f t="shared" si="310"/>
        <v>0</v>
      </c>
      <c r="AD182" s="1">
        <f t="shared" si="311"/>
        <v>0</v>
      </c>
      <c r="AE182" s="1">
        <f t="shared" si="312"/>
        <v>0</v>
      </c>
      <c r="AF182" s="1">
        <f t="shared" si="313"/>
        <v>0</v>
      </c>
      <c r="AG182" s="1">
        <f t="shared" si="314"/>
        <v>0</v>
      </c>
      <c r="AH182" s="1">
        <f t="shared" si="315"/>
        <v>0</v>
      </c>
      <c r="AI182" s="1">
        <f t="shared" si="316"/>
        <v>0</v>
      </c>
      <c r="AJ182" s="1">
        <f t="shared" si="317"/>
        <v>0</v>
      </c>
      <c r="AK182" s="1">
        <f t="shared" si="318"/>
        <v>0</v>
      </c>
      <c r="AM182" s="2063"/>
      <c r="AN182" s="2063"/>
      <c r="AO182" s="2063"/>
      <c r="AP182" s="2063"/>
      <c r="AQ182" s="2063"/>
      <c r="AR182" s="2063"/>
      <c r="AS182" s="2063"/>
      <c r="AT182" s="2063"/>
      <c r="AU182" s="2063"/>
      <c r="AV182" s="2063"/>
      <c r="AW182" s="2063"/>
      <c r="AX182" s="2063"/>
      <c r="AY182" s="2063"/>
      <c r="BA182" s="2014"/>
      <c r="BB182" s="2014" t="e">
        <f t="shared" si="324"/>
        <v>#REF!</v>
      </c>
      <c r="BC182" s="2014"/>
      <c r="BD182" s="2013" t="e">
        <f>BR182*#REF!</f>
        <v>#REF!</v>
      </c>
      <c r="BE182" s="2013" t="e">
        <f>BS182*#REF!</f>
        <v>#REF!</v>
      </c>
      <c r="BF182" s="2013" t="e">
        <f>BT182*#REF!</f>
        <v>#REF!</v>
      </c>
      <c r="BG182" s="2013" t="e">
        <f>BU182*#REF!</f>
        <v>#REF!</v>
      </c>
      <c r="BH182" s="2013" t="e">
        <f>BV182*#REF!</f>
        <v>#REF!</v>
      </c>
      <c r="BI182" s="2013" t="e">
        <f>BW182*#REF!</f>
        <v>#REF!</v>
      </c>
      <c r="BJ182" s="2013" t="e">
        <f>BX182*#REF!</f>
        <v>#REF!</v>
      </c>
      <c r="BK182" s="2013" t="e">
        <f>BY182*#REF!</f>
        <v>#REF!</v>
      </c>
      <c r="BL182" s="2013" t="e">
        <f>BZ182*#REF!</f>
        <v>#REF!</v>
      </c>
      <c r="BM182" s="2013" t="e">
        <f>CA182*#REF!</f>
        <v>#REF!</v>
      </c>
      <c r="BO182" s="513">
        <f t="shared" si="290"/>
        <v>0</v>
      </c>
      <c r="BP182" s="2012">
        <f t="shared" si="291"/>
        <v>0</v>
      </c>
      <c r="BQ182" s="2062">
        <f t="shared" si="292"/>
        <v>0</v>
      </c>
      <c r="BR182" s="2010">
        <f t="shared" si="293"/>
        <v>0</v>
      </c>
      <c r="BS182" s="2010">
        <f t="shared" si="294"/>
        <v>0</v>
      </c>
      <c r="BT182" s="2010">
        <f t="shared" si="295"/>
        <v>0</v>
      </c>
      <c r="BU182" s="2010">
        <f t="shared" si="296"/>
        <v>0</v>
      </c>
      <c r="BV182" s="2010">
        <f t="shared" si="297"/>
        <v>0</v>
      </c>
      <c r="BW182" s="2010">
        <f t="shared" si="298"/>
        <v>0</v>
      </c>
      <c r="BX182" s="2010">
        <f t="shared" si="299"/>
        <v>0</v>
      </c>
      <c r="BY182" s="2010">
        <f t="shared" si="300"/>
        <v>0</v>
      </c>
      <c r="BZ182" s="2010">
        <f t="shared" si="301"/>
        <v>0</v>
      </c>
      <c r="CA182" s="2010">
        <f t="shared" si="302"/>
        <v>0</v>
      </c>
      <c r="CB182" s="2009">
        <f t="shared" si="303"/>
        <v>0</v>
      </c>
      <c r="CC182" s="2008">
        <f t="shared" si="304"/>
        <v>0</v>
      </c>
      <c r="CD182" s="2008">
        <f t="shared" si="305"/>
        <v>0</v>
      </c>
      <c r="CF182" s="1277"/>
      <c r="CG182" s="1211"/>
      <c r="CH182" s="469"/>
      <c r="CI182" s="1213"/>
      <c r="CJ182" s="1213"/>
      <c r="CK182" s="1213"/>
      <c r="CL182" s="1213"/>
      <c r="CM182" s="1213"/>
      <c r="CN182" s="1213"/>
      <c r="CO182" s="1213"/>
      <c r="CP182" s="1213"/>
      <c r="CQ182" s="1213"/>
      <c r="CR182" s="1213"/>
      <c r="CS182" s="1258"/>
      <c r="CT182" s="1257"/>
      <c r="CU182" s="1257"/>
      <c r="CW182" s="1277"/>
      <c r="CX182" s="1211"/>
      <c r="CY182" s="469"/>
      <c r="CZ182" s="1213"/>
      <c r="DA182" s="1213"/>
      <c r="DB182" s="1213"/>
      <c r="DC182" s="1213"/>
      <c r="DD182" s="1213"/>
      <c r="DE182" s="1213"/>
      <c r="DF182" s="1213"/>
      <c r="DG182" s="1213"/>
      <c r="DH182" s="1213"/>
      <c r="DI182" s="1213"/>
      <c r="DJ182" s="1258"/>
      <c r="DK182" s="1257"/>
      <c r="DL182" s="1257"/>
      <c r="DN182" s="1277"/>
      <c r="DO182" s="1211"/>
      <c r="DP182" s="469"/>
      <c r="DQ182" s="1213"/>
      <c r="DR182" s="1213"/>
      <c r="DS182" s="1213"/>
      <c r="DT182" s="1213"/>
      <c r="DU182" s="1213"/>
      <c r="DV182" s="1213"/>
      <c r="DW182" s="1213"/>
      <c r="DX182" s="1213"/>
      <c r="DY182" s="1213"/>
      <c r="DZ182" s="1213"/>
      <c r="EA182" s="1258"/>
      <c r="EB182" s="1257"/>
      <c r="EC182" s="1257"/>
      <c r="ED182" s="1472"/>
      <c r="EF182" s="1277"/>
      <c r="EG182" s="1211"/>
      <c r="EH182" s="469"/>
      <c r="EI182" s="1689"/>
      <c r="EJ182" s="1689"/>
      <c r="EK182" s="1689"/>
      <c r="EL182" s="1689"/>
      <c r="EM182" s="1689"/>
      <c r="EN182" s="1689"/>
      <c r="EO182" s="1689"/>
      <c r="EP182" s="1689"/>
      <c r="EQ182" s="1689"/>
      <c r="ER182" s="1689"/>
      <c r="ES182" s="1705"/>
      <c r="ET182" s="1704"/>
      <c r="EU182" s="1704"/>
      <c r="EW182" s="1277" t="s">
        <v>1423</v>
      </c>
      <c r="EX182" s="1211" t="s">
        <v>2113</v>
      </c>
      <c r="EY182" s="1825" t="s">
        <v>840</v>
      </c>
      <c r="EZ182" s="1814">
        <v>1</v>
      </c>
      <c r="FA182" s="1678"/>
      <c r="FB182" s="1678"/>
      <c r="FC182" s="1678"/>
      <c r="FD182" s="1678"/>
      <c r="FE182" s="1678"/>
      <c r="FF182" s="1678"/>
      <c r="FG182" s="1678"/>
      <c r="FH182" s="1678"/>
      <c r="FI182" s="1678"/>
      <c r="FJ182" s="1805"/>
      <c r="FK182" s="1681"/>
      <c r="FL182" s="1681"/>
    </row>
    <row r="183" spans="2:168">
      <c r="B183" s="2023">
        <f t="shared" si="274"/>
        <v>3</v>
      </c>
      <c r="C183" s="2050" t="str">
        <f t="shared" si="285"/>
        <v>周辺環境への配慮</v>
      </c>
      <c r="D183" s="2061" t="e">
        <f>IF(I$172=0,0,G183/I$172)</f>
        <v>#REF!</v>
      </c>
      <c r="E183" s="2061" t="e">
        <f>IF(J$172=0,0,H183/J$172)</f>
        <v>#REF!</v>
      </c>
      <c r="G183" s="2060" t="e">
        <f t="shared" si="287"/>
        <v>#REF!</v>
      </c>
      <c r="H183" s="2060" t="e">
        <f t="shared" si="288"/>
        <v>#REF!</v>
      </c>
      <c r="I183" s="2060" t="e">
        <f>G184+G188+G192</f>
        <v>#REF!</v>
      </c>
      <c r="J183" s="2060" t="e">
        <f>H184+H188+H192</f>
        <v>#REF!</v>
      </c>
      <c r="K183" s="2060" t="e">
        <f>IF(#REF!=0,0,1)</f>
        <v>#REF!</v>
      </c>
      <c r="L183" s="2060" t="e">
        <f>IF(#REF!=0,0,1)</f>
        <v>#REF!</v>
      </c>
      <c r="M183" s="2060">
        <f t="shared" si="289"/>
        <v>0.33333333333333331</v>
      </c>
      <c r="N183" s="2060">
        <f t="shared" si="268"/>
        <v>0</v>
      </c>
      <c r="P183" s="2059">
        <v>3</v>
      </c>
      <c r="Q183" s="2058" t="s">
        <v>841</v>
      </c>
      <c r="R183" s="2034"/>
      <c r="S183" s="2058"/>
      <c r="T183" s="2036"/>
      <c r="U183" s="2017"/>
      <c r="V183" s="2057">
        <f t="shared" si="322"/>
        <v>0</v>
      </c>
      <c r="W183" s="2056">
        <f t="shared" si="323"/>
        <v>0</v>
      </c>
      <c r="Y183" s="1">
        <f t="shared" si="306"/>
        <v>0</v>
      </c>
      <c r="Z183" s="1">
        <f t="shared" si="307"/>
        <v>0</v>
      </c>
      <c r="AA183" s="1">
        <f t="shared" si="308"/>
        <v>0</v>
      </c>
      <c r="AB183" s="1">
        <f t="shared" si="309"/>
        <v>0</v>
      </c>
      <c r="AC183" s="1">
        <f t="shared" si="310"/>
        <v>0</v>
      </c>
      <c r="AD183" s="1">
        <f t="shared" si="311"/>
        <v>0</v>
      </c>
      <c r="AE183" s="1">
        <f t="shared" si="312"/>
        <v>0</v>
      </c>
      <c r="AF183" s="1">
        <f t="shared" si="313"/>
        <v>0</v>
      </c>
      <c r="AG183" s="1">
        <f t="shared" si="314"/>
        <v>0</v>
      </c>
      <c r="AH183" s="1">
        <f t="shared" si="315"/>
        <v>0</v>
      </c>
      <c r="AI183" s="1">
        <f t="shared" si="316"/>
        <v>0</v>
      </c>
      <c r="AJ183" s="1">
        <f t="shared" si="317"/>
        <v>0</v>
      </c>
      <c r="AK183" s="1">
        <f t="shared" si="318"/>
        <v>0</v>
      </c>
      <c r="AM183" s="2055" t="s">
        <v>177</v>
      </c>
      <c r="AN183" s="2055" t="s">
        <v>177</v>
      </c>
      <c r="AO183" s="2055" t="s">
        <v>177</v>
      </c>
      <c r="AP183" s="2055" t="s">
        <v>177</v>
      </c>
      <c r="AQ183" s="2055" t="s">
        <v>177</v>
      </c>
      <c r="AR183" s="2055" t="s">
        <v>177</v>
      </c>
      <c r="AS183" s="2055" t="s">
        <v>177</v>
      </c>
      <c r="AT183" s="2055" t="s">
        <v>177</v>
      </c>
      <c r="AU183" s="2055" t="s">
        <v>177</v>
      </c>
      <c r="AV183" s="2055" t="s">
        <v>177</v>
      </c>
      <c r="AW183" s="2055" t="s">
        <v>177</v>
      </c>
      <c r="AX183" s="2055" t="s">
        <v>177</v>
      </c>
      <c r="AY183" s="2055" t="s">
        <v>177</v>
      </c>
      <c r="BA183" s="2054" t="e">
        <f>BB183/$BC$172</f>
        <v>#REF!</v>
      </c>
      <c r="BB183" s="2054" t="e">
        <f t="shared" si="324"/>
        <v>#REF!</v>
      </c>
      <c r="BC183" s="2054"/>
      <c r="BD183" s="2053" t="e">
        <f>BR183*#REF!</f>
        <v>#REF!</v>
      </c>
      <c r="BE183" s="2053" t="e">
        <f>BS183*#REF!</f>
        <v>#REF!</v>
      </c>
      <c r="BF183" s="2053" t="e">
        <f>BT183*#REF!</f>
        <v>#REF!</v>
      </c>
      <c r="BG183" s="2053" t="e">
        <f>BU183*#REF!</f>
        <v>#REF!</v>
      </c>
      <c r="BH183" s="2053" t="e">
        <f>BV183*#REF!</f>
        <v>#REF!</v>
      </c>
      <c r="BI183" s="2053" t="e">
        <f>BW183*#REF!</f>
        <v>#REF!</v>
      </c>
      <c r="BJ183" s="2053" t="e">
        <f>BX183*#REF!</f>
        <v>#REF!</v>
      </c>
      <c r="BK183" s="2053" t="e">
        <f>BY183*#REF!</f>
        <v>#REF!</v>
      </c>
      <c r="BL183" s="2053" t="e">
        <f>BZ183*#REF!</f>
        <v>#REF!</v>
      </c>
      <c r="BM183" s="2053" t="e">
        <f>CA183*#REF!</f>
        <v>#REF!</v>
      </c>
      <c r="BO183" s="2052">
        <f t="shared" si="290"/>
        <v>3</v>
      </c>
      <c r="BP183" s="2051" t="str">
        <f t="shared" si="291"/>
        <v>LR3</v>
      </c>
      <c r="BQ183" s="2050" t="str">
        <f t="shared" si="292"/>
        <v>周辺環境への配慮</v>
      </c>
      <c r="BR183" s="2048">
        <f t="shared" si="293"/>
        <v>0.33333333333333331</v>
      </c>
      <c r="BS183" s="2048">
        <f t="shared" si="294"/>
        <v>0.33333333333333331</v>
      </c>
      <c r="BT183" s="2048">
        <f t="shared" si="295"/>
        <v>0.33333333333333331</v>
      </c>
      <c r="BU183" s="2048">
        <f t="shared" si="296"/>
        <v>0.33333333333333331</v>
      </c>
      <c r="BV183" s="2048">
        <f t="shared" si="297"/>
        <v>0.33333333333333331</v>
      </c>
      <c r="BW183" s="2048">
        <f t="shared" si="298"/>
        <v>0.33333333333333331</v>
      </c>
      <c r="BX183" s="2048">
        <f t="shared" si="299"/>
        <v>0.33333333333333331</v>
      </c>
      <c r="BY183" s="2048">
        <f t="shared" si="300"/>
        <v>0.33333333333333331</v>
      </c>
      <c r="BZ183" s="2048">
        <f t="shared" si="301"/>
        <v>0.33333333333333331</v>
      </c>
      <c r="CA183" s="2048">
        <f t="shared" si="302"/>
        <v>0.33333333333333331</v>
      </c>
      <c r="CB183" s="2049">
        <f t="shared" si="303"/>
        <v>0</v>
      </c>
      <c r="CC183" s="2048">
        <f t="shared" si="304"/>
        <v>0</v>
      </c>
      <c r="CD183" s="2048">
        <f t="shared" si="305"/>
        <v>0</v>
      </c>
      <c r="CF183" s="1197">
        <v>3</v>
      </c>
      <c r="CG183" s="1201" t="s">
        <v>1322</v>
      </c>
      <c r="CH183" s="1198" t="s">
        <v>841</v>
      </c>
      <c r="CI183" s="1202">
        <v>0.33333333333333331</v>
      </c>
      <c r="CJ183" s="1202">
        <v>0.33333333333333331</v>
      </c>
      <c r="CK183" s="1202">
        <v>0.33333333333333331</v>
      </c>
      <c r="CL183" s="1202">
        <v>0.33333333333333331</v>
      </c>
      <c r="CM183" s="1202">
        <v>0.33333333333333331</v>
      </c>
      <c r="CN183" s="1202">
        <v>0.33333333333333331</v>
      </c>
      <c r="CO183" s="1202">
        <v>0.33333333333333331</v>
      </c>
      <c r="CP183" s="1202">
        <v>0.33333333333333331</v>
      </c>
      <c r="CQ183" s="1202">
        <v>0.33333333333333331</v>
      </c>
      <c r="CR183" s="1202">
        <v>0.33333333333333331</v>
      </c>
      <c r="CS183" s="1203">
        <v>0</v>
      </c>
      <c r="CT183" s="1202">
        <v>0</v>
      </c>
      <c r="CU183" s="1202">
        <v>0</v>
      </c>
      <c r="CW183" s="1197">
        <v>3</v>
      </c>
      <c r="CX183" s="1201" t="s">
        <v>1322</v>
      </c>
      <c r="CY183" s="1198" t="s">
        <v>841</v>
      </c>
      <c r="CZ183" s="1202">
        <f t="shared" ref="CZ183:DI183" si="327">1/3</f>
        <v>0.33333333333333331</v>
      </c>
      <c r="DA183" s="1202">
        <f t="shared" si="327"/>
        <v>0.33333333333333331</v>
      </c>
      <c r="DB183" s="1202">
        <f t="shared" si="327"/>
        <v>0.33333333333333331</v>
      </c>
      <c r="DC183" s="1202">
        <f t="shared" si="327"/>
        <v>0.33333333333333331</v>
      </c>
      <c r="DD183" s="1202">
        <f t="shared" si="327"/>
        <v>0.33333333333333331</v>
      </c>
      <c r="DE183" s="1202">
        <f t="shared" si="327"/>
        <v>0.33333333333333331</v>
      </c>
      <c r="DF183" s="1202">
        <f t="shared" si="327"/>
        <v>0.33333333333333331</v>
      </c>
      <c r="DG183" s="1202">
        <f t="shared" si="327"/>
        <v>0.33333333333333331</v>
      </c>
      <c r="DH183" s="1202">
        <f t="shared" si="327"/>
        <v>0.33333333333333331</v>
      </c>
      <c r="DI183" s="1202">
        <f t="shared" si="327"/>
        <v>0.33333333333333331</v>
      </c>
      <c r="DJ183" s="1203"/>
      <c r="DK183" s="1202"/>
      <c r="DL183" s="1202"/>
      <c r="DN183" s="1197">
        <v>3</v>
      </c>
      <c r="DO183" s="1201" t="s">
        <v>1322</v>
      </c>
      <c r="DP183" s="1198" t="s">
        <v>841</v>
      </c>
      <c r="DQ183" s="1202">
        <f t="shared" ref="DQ183:DZ183" si="328">1/3</f>
        <v>0.33333333333333331</v>
      </c>
      <c r="DR183" s="1202">
        <f t="shared" si="328"/>
        <v>0.33333333333333331</v>
      </c>
      <c r="DS183" s="1202">
        <f t="shared" si="328"/>
        <v>0.33333333333333331</v>
      </c>
      <c r="DT183" s="1202">
        <f t="shared" si="328"/>
        <v>0.33333333333333331</v>
      </c>
      <c r="DU183" s="1202">
        <f t="shared" si="328"/>
        <v>0.33333333333333331</v>
      </c>
      <c r="DV183" s="1202">
        <f t="shared" si="328"/>
        <v>0.33333333333333331</v>
      </c>
      <c r="DW183" s="1202">
        <f t="shared" si="328"/>
        <v>0.33333333333333331</v>
      </c>
      <c r="DX183" s="1202">
        <f t="shared" si="328"/>
        <v>0.33333333333333331</v>
      </c>
      <c r="DY183" s="1202">
        <f t="shared" si="328"/>
        <v>0.33333333333333331</v>
      </c>
      <c r="DZ183" s="1202">
        <f t="shared" si="328"/>
        <v>0.33333333333333331</v>
      </c>
      <c r="EA183" s="1203"/>
      <c r="EB183" s="1202"/>
      <c r="EC183" s="1202"/>
      <c r="ED183" s="1468"/>
      <c r="EF183" s="1197">
        <v>3</v>
      </c>
      <c r="EG183" s="1201" t="s">
        <v>1322</v>
      </c>
      <c r="EH183" s="1198" t="s">
        <v>841</v>
      </c>
      <c r="EI183" s="1686">
        <f t="shared" ref="EI183:EI194" si="329">DQ183</f>
        <v>0.33333333333333331</v>
      </c>
      <c r="EJ183" s="1686">
        <f t="shared" ref="EJ183:EJ194" si="330">DR183</f>
        <v>0.33333333333333331</v>
      </c>
      <c r="EK183" s="1686">
        <f t="shared" ref="EK183:EK194" si="331">DS183</f>
        <v>0.33333333333333331</v>
      </c>
      <c r="EL183" s="1686">
        <f t="shared" ref="EL183:EL194" si="332">DT183</f>
        <v>0.33333333333333331</v>
      </c>
      <c r="EM183" s="1686">
        <f t="shared" ref="EM183:EM194" si="333">DU183</f>
        <v>0.33333333333333331</v>
      </c>
      <c r="EN183" s="1686">
        <f t="shared" ref="EN183:EN194" si="334">DV183</f>
        <v>0.33333333333333331</v>
      </c>
      <c r="EO183" s="1686">
        <f t="shared" ref="EO183:EO194" si="335">DW183</f>
        <v>0.33333333333333331</v>
      </c>
      <c r="EP183" s="1686">
        <f t="shared" ref="EP183:EP194" si="336">DX183</f>
        <v>0.33333333333333331</v>
      </c>
      <c r="EQ183" s="1686">
        <f t="shared" ref="EQ183:EQ194" si="337">DY183</f>
        <v>0.33333333333333331</v>
      </c>
      <c r="ER183" s="1686">
        <f t="shared" ref="ER183:ER194" si="338">DZ183</f>
        <v>0.33333333333333331</v>
      </c>
      <c r="ES183" s="1688">
        <f t="shared" ref="ES183:ES194" si="339">EA183</f>
        <v>0</v>
      </c>
      <c r="ET183" s="1686">
        <f t="shared" ref="ET183:ET194" si="340">EB183</f>
        <v>0</v>
      </c>
      <c r="EU183" s="1686">
        <f t="shared" ref="EU183:EU194" si="341">EC183</f>
        <v>0</v>
      </c>
      <c r="EW183" s="1197">
        <v>3</v>
      </c>
      <c r="EX183" s="1201" t="s">
        <v>1322</v>
      </c>
      <c r="EY183" s="1198" t="s">
        <v>841</v>
      </c>
      <c r="EZ183" s="1821">
        <v>0</v>
      </c>
      <c r="FA183" s="1676"/>
      <c r="FB183" s="1676"/>
      <c r="FC183" s="1676"/>
      <c r="FD183" s="1676"/>
      <c r="FE183" s="1676"/>
      <c r="FF183" s="1676"/>
      <c r="FG183" s="1676"/>
      <c r="FH183" s="1676"/>
      <c r="FI183" s="1676"/>
      <c r="FJ183" s="1677"/>
      <c r="FK183" s="1676"/>
      <c r="FL183" s="1676"/>
    </row>
    <row r="184" spans="2:168" ht="14.25" thickBot="1">
      <c r="B184" s="2023" t="str">
        <f t="shared" si="274"/>
        <v>3.1</v>
      </c>
      <c r="C184" s="829" t="str">
        <f t="shared" si="285"/>
        <v>騒音・振動・悪臭の防止</v>
      </c>
      <c r="D184" s="2022" t="e">
        <f>IF(I$183=0,0,G184/I$183)</f>
        <v>#REF!</v>
      </c>
      <c r="E184" s="2022" t="e">
        <f>IF(J$183=0,0,H184/J$183)</f>
        <v>#REF!</v>
      </c>
      <c r="G184" s="2021" t="e">
        <f t="shared" si="287"/>
        <v>#REF!</v>
      </c>
      <c r="H184" s="2021" t="e">
        <f t="shared" si="288"/>
        <v>#REF!</v>
      </c>
      <c r="I184" s="2021" t="e">
        <f>SUM(G185:G187)</f>
        <v>#REF!</v>
      </c>
      <c r="J184" s="2021" t="e">
        <f>SUM(H185:H187)</f>
        <v>#REF!</v>
      </c>
      <c r="K184" s="2021" t="e">
        <f>IF(#REF!=0,0,1)</f>
        <v>#REF!</v>
      </c>
      <c r="L184" s="2021" t="e">
        <f>IF(#REF!=0,0,1)</f>
        <v>#REF!</v>
      </c>
      <c r="M184" s="2021">
        <f t="shared" si="289"/>
        <v>0.4</v>
      </c>
      <c r="N184" s="2021">
        <f t="shared" si="268"/>
        <v>0</v>
      </c>
      <c r="P184" s="2047"/>
      <c r="Q184" s="2035">
        <v>3.1</v>
      </c>
      <c r="R184" s="2046" t="s">
        <v>842</v>
      </c>
      <c r="S184" s="2045"/>
      <c r="T184" s="2044"/>
      <c r="U184" s="2017"/>
      <c r="V184" s="2043">
        <f t="shared" si="322"/>
        <v>0</v>
      </c>
      <c r="W184" s="2042">
        <f t="shared" si="323"/>
        <v>0</v>
      </c>
      <c r="Y184" s="1">
        <f t="shared" si="306"/>
        <v>0</v>
      </c>
      <c r="Z184" s="1">
        <f t="shared" si="307"/>
        <v>0</v>
      </c>
      <c r="AA184" s="1">
        <f t="shared" si="308"/>
        <v>0</v>
      </c>
      <c r="AB184" s="1">
        <f t="shared" si="309"/>
        <v>0</v>
      </c>
      <c r="AC184" s="1">
        <f t="shared" si="310"/>
        <v>0</v>
      </c>
      <c r="AD184" s="1">
        <f t="shared" si="311"/>
        <v>0</v>
      </c>
      <c r="AE184" s="1">
        <f t="shared" si="312"/>
        <v>0</v>
      </c>
      <c r="AF184" s="1">
        <f t="shared" si="313"/>
        <v>0</v>
      </c>
      <c r="AG184" s="1">
        <f t="shared" si="314"/>
        <v>0</v>
      </c>
      <c r="AH184" s="1">
        <f t="shared" si="315"/>
        <v>0</v>
      </c>
      <c r="AI184" s="1">
        <f t="shared" si="316"/>
        <v>0</v>
      </c>
      <c r="AJ184" s="1">
        <f t="shared" si="317"/>
        <v>0</v>
      </c>
      <c r="AK184" s="1">
        <f t="shared" si="318"/>
        <v>0</v>
      </c>
      <c r="AM184" s="2041" t="s">
        <v>177</v>
      </c>
      <c r="AN184" s="2041" t="s">
        <v>177</v>
      </c>
      <c r="AO184" s="2041" t="s">
        <v>177</v>
      </c>
      <c r="AP184" s="2041" t="s">
        <v>177</v>
      </c>
      <c r="AQ184" s="2041" t="s">
        <v>3127</v>
      </c>
      <c r="AR184" s="2041" t="s">
        <v>3127</v>
      </c>
      <c r="AS184" s="2041" t="s">
        <v>177</v>
      </c>
      <c r="AT184" s="2041" t="s">
        <v>177</v>
      </c>
      <c r="AU184" s="2041" t="s">
        <v>3127</v>
      </c>
      <c r="AV184" s="2041" t="s">
        <v>177</v>
      </c>
      <c r="AW184" s="2041" t="s">
        <v>177</v>
      </c>
      <c r="AX184" s="2041" t="s">
        <v>177</v>
      </c>
      <c r="AY184" s="2041" t="s">
        <v>177</v>
      </c>
      <c r="BA184" s="2028"/>
      <c r="BB184" s="2028" t="e">
        <f t="shared" si="324"/>
        <v>#REF!</v>
      </c>
      <c r="BC184" s="2028"/>
      <c r="BD184" s="2027" t="e">
        <f>BR184*#REF!</f>
        <v>#REF!</v>
      </c>
      <c r="BE184" s="2027" t="e">
        <f>BS184*#REF!</f>
        <v>#REF!</v>
      </c>
      <c r="BF184" s="2027" t="e">
        <f>BT184*#REF!</f>
        <v>#REF!</v>
      </c>
      <c r="BG184" s="2027" t="e">
        <f>BU184*#REF!</f>
        <v>#REF!</v>
      </c>
      <c r="BH184" s="2027" t="e">
        <f>BV184*#REF!</f>
        <v>#REF!</v>
      </c>
      <c r="BI184" s="2027" t="e">
        <f>BW184*#REF!</f>
        <v>#REF!</v>
      </c>
      <c r="BJ184" s="2027" t="e">
        <f>BX184*#REF!</f>
        <v>#REF!</v>
      </c>
      <c r="BK184" s="2027" t="e">
        <f>BY184*#REF!</f>
        <v>#REF!</v>
      </c>
      <c r="BL184" s="2027" t="e">
        <f>BZ184*#REF!</f>
        <v>#REF!</v>
      </c>
      <c r="BM184" s="2027" t="e">
        <f>CA184*#REF!</f>
        <v>#REF!</v>
      </c>
      <c r="BO184" s="2026" t="str">
        <f t="shared" si="290"/>
        <v>3.1</v>
      </c>
      <c r="BP184" s="2012" t="str">
        <f t="shared" si="291"/>
        <v>LR3 3</v>
      </c>
      <c r="BQ184" s="829" t="str">
        <f t="shared" si="292"/>
        <v>騒音・振動・悪臭の防止</v>
      </c>
      <c r="BR184" s="2008">
        <f t="shared" si="293"/>
        <v>0.4</v>
      </c>
      <c r="BS184" s="2008">
        <f t="shared" si="294"/>
        <v>0.4</v>
      </c>
      <c r="BT184" s="2008">
        <f t="shared" si="295"/>
        <v>0.4</v>
      </c>
      <c r="BU184" s="2008">
        <f t="shared" si="296"/>
        <v>0.4</v>
      </c>
      <c r="BV184" s="2008">
        <f t="shared" si="297"/>
        <v>0.4</v>
      </c>
      <c r="BW184" s="2008">
        <f t="shared" si="298"/>
        <v>0.4</v>
      </c>
      <c r="BX184" s="2008">
        <f t="shared" si="299"/>
        <v>0.4</v>
      </c>
      <c r="BY184" s="2008">
        <f t="shared" si="300"/>
        <v>0.4</v>
      </c>
      <c r="BZ184" s="2008">
        <f t="shared" si="301"/>
        <v>0.4</v>
      </c>
      <c r="CA184" s="2008">
        <f t="shared" si="302"/>
        <v>0.4</v>
      </c>
      <c r="CB184" s="2009">
        <f t="shared" si="303"/>
        <v>0</v>
      </c>
      <c r="CC184" s="2008">
        <f t="shared" si="304"/>
        <v>0</v>
      </c>
      <c r="CD184" s="2008">
        <f t="shared" si="305"/>
        <v>0</v>
      </c>
      <c r="CF184" s="1277" t="s">
        <v>1168</v>
      </c>
      <c r="CG184" s="1211" t="s">
        <v>2114</v>
      </c>
      <c r="CH184" s="1208" t="s">
        <v>842</v>
      </c>
      <c r="CI184" s="1257">
        <v>0.4</v>
      </c>
      <c r="CJ184" s="1257">
        <v>0.4</v>
      </c>
      <c r="CK184" s="1257">
        <v>0.4</v>
      </c>
      <c r="CL184" s="1257">
        <v>0.4</v>
      </c>
      <c r="CM184" s="1257">
        <v>0.4</v>
      </c>
      <c r="CN184" s="1257">
        <v>0.4</v>
      </c>
      <c r="CO184" s="1257">
        <v>0.4</v>
      </c>
      <c r="CP184" s="1257">
        <v>0.4</v>
      </c>
      <c r="CQ184" s="1257">
        <v>0.4</v>
      </c>
      <c r="CR184" s="1257">
        <v>0.4</v>
      </c>
      <c r="CS184" s="1258"/>
      <c r="CT184" s="1257"/>
      <c r="CU184" s="1257"/>
      <c r="CW184" s="1277" t="s">
        <v>1168</v>
      </c>
      <c r="CX184" s="1211" t="s">
        <v>2114</v>
      </c>
      <c r="CY184" s="1208" t="s">
        <v>842</v>
      </c>
      <c r="CZ184" s="1257">
        <v>0.4</v>
      </c>
      <c r="DA184" s="1257">
        <v>0.4</v>
      </c>
      <c r="DB184" s="1257">
        <v>0.4</v>
      </c>
      <c r="DC184" s="1257">
        <v>0.4</v>
      </c>
      <c r="DD184" s="1257">
        <v>0.4</v>
      </c>
      <c r="DE184" s="1257">
        <v>0.4</v>
      </c>
      <c r="DF184" s="1257">
        <v>0.4</v>
      </c>
      <c r="DG184" s="1257">
        <v>0.4</v>
      </c>
      <c r="DH184" s="1257">
        <v>0.4</v>
      </c>
      <c r="DI184" s="1257">
        <v>0.4</v>
      </c>
      <c r="DJ184" s="1258"/>
      <c r="DK184" s="1257"/>
      <c r="DL184" s="1257"/>
      <c r="DN184" s="1277" t="s">
        <v>1168</v>
      </c>
      <c r="DO184" s="1211" t="s">
        <v>2114</v>
      </c>
      <c r="DP184" s="1208" t="s">
        <v>842</v>
      </c>
      <c r="DQ184" s="1257">
        <v>0.4</v>
      </c>
      <c r="DR184" s="1257">
        <v>0.4</v>
      </c>
      <c r="DS184" s="1257">
        <v>0.4</v>
      </c>
      <c r="DT184" s="1257">
        <v>0.4</v>
      </c>
      <c r="DU184" s="1257">
        <v>0.4</v>
      </c>
      <c r="DV184" s="1257">
        <v>0.4</v>
      </c>
      <c r="DW184" s="1257">
        <v>0.4</v>
      </c>
      <c r="DX184" s="1257">
        <v>0.4</v>
      </c>
      <c r="DY184" s="1257">
        <v>0.4</v>
      </c>
      <c r="DZ184" s="1257">
        <v>0.4</v>
      </c>
      <c r="EA184" s="1258"/>
      <c r="EB184" s="1257"/>
      <c r="EC184" s="1257"/>
      <c r="ED184" s="1472"/>
      <c r="EF184" s="1277" t="s">
        <v>1168</v>
      </c>
      <c r="EG184" s="1211" t="s">
        <v>2114</v>
      </c>
      <c r="EH184" s="1208" t="s">
        <v>842</v>
      </c>
      <c r="EI184" s="1704">
        <f t="shared" si="329"/>
        <v>0.4</v>
      </c>
      <c r="EJ184" s="1704">
        <f t="shared" si="330"/>
        <v>0.4</v>
      </c>
      <c r="EK184" s="1704">
        <f t="shared" si="331"/>
        <v>0.4</v>
      </c>
      <c r="EL184" s="1704">
        <f t="shared" si="332"/>
        <v>0.4</v>
      </c>
      <c r="EM184" s="1704">
        <f t="shared" si="333"/>
        <v>0.4</v>
      </c>
      <c r="EN184" s="1704">
        <f t="shared" si="334"/>
        <v>0.4</v>
      </c>
      <c r="EO184" s="1704">
        <f t="shared" si="335"/>
        <v>0.4</v>
      </c>
      <c r="EP184" s="1704">
        <f t="shared" si="336"/>
        <v>0.4</v>
      </c>
      <c r="EQ184" s="1704">
        <f t="shared" si="337"/>
        <v>0.4</v>
      </c>
      <c r="ER184" s="1704">
        <f t="shared" si="338"/>
        <v>0.4</v>
      </c>
      <c r="ES184" s="1705">
        <f t="shared" si="339"/>
        <v>0</v>
      </c>
      <c r="ET184" s="1704">
        <f t="shared" si="340"/>
        <v>0</v>
      </c>
      <c r="EU184" s="1704">
        <f t="shared" si="341"/>
        <v>0</v>
      </c>
      <c r="EW184" s="1277" t="s">
        <v>1168</v>
      </c>
      <c r="EX184" s="1211" t="s">
        <v>2114</v>
      </c>
      <c r="EY184" s="1208"/>
      <c r="EZ184" s="1814">
        <v>0</v>
      </c>
      <c r="FA184" s="1681"/>
      <c r="FB184" s="1681"/>
      <c r="FC184" s="1681"/>
      <c r="FD184" s="1681"/>
      <c r="FE184" s="1681"/>
      <c r="FF184" s="1681"/>
      <c r="FG184" s="1681"/>
      <c r="FH184" s="1681"/>
      <c r="FI184" s="1681"/>
      <c r="FJ184" s="1805"/>
      <c r="FK184" s="1681"/>
      <c r="FL184" s="1681"/>
    </row>
    <row r="185" spans="2:168">
      <c r="B185" s="2023" t="str">
        <f t="shared" si="274"/>
        <v>3.1.1</v>
      </c>
      <c r="C185" s="829" t="str">
        <f t="shared" si="285"/>
        <v>騒音</v>
      </c>
      <c r="D185" s="2022" t="e">
        <f t="shared" ref="D185:E187" si="342">IF(I$184=0,0,G185/I$184)</f>
        <v>#REF!</v>
      </c>
      <c r="E185" s="2022" t="e">
        <f t="shared" si="342"/>
        <v>#REF!</v>
      </c>
      <c r="G185" s="2021" t="e">
        <f t="shared" si="287"/>
        <v>#REF!</v>
      </c>
      <c r="H185" s="2021" t="e">
        <f t="shared" si="288"/>
        <v>#REF!</v>
      </c>
      <c r="I185" s="2021"/>
      <c r="J185" s="2021"/>
      <c r="K185" s="2021" t="e">
        <f>IF(#REF!=0,0,1)</f>
        <v>#REF!</v>
      </c>
      <c r="L185" s="2021" t="e">
        <f>IF(#REF!=0,0,1)</f>
        <v>#REF!</v>
      </c>
      <c r="M185" s="2021">
        <f t="shared" si="289"/>
        <v>0.33333333333333331</v>
      </c>
      <c r="N185" s="2021">
        <f t="shared" ref="N185:N194" si="343">(CB$7*CB185)+(CC$7*CC185)+(CD$7*CD185)</f>
        <v>0</v>
      </c>
      <c r="P185" s="2020"/>
      <c r="Q185" s="2019"/>
      <c r="R185" s="993">
        <v>1</v>
      </c>
      <c r="S185" s="2034" t="s">
        <v>843</v>
      </c>
      <c r="T185" s="2036"/>
      <c r="U185" s="2017"/>
      <c r="V185" s="2025">
        <f t="shared" si="322"/>
        <v>0</v>
      </c>
      <c r="W185" s="2024">
        <f t="shared" si="323"/>
        <v>0</v>
      </c>
      <c r="Y185" s="1">
        <f t="shared" si="306"/>
        <v>0</v>
      </c>
      <c r="Z185" s="1">
        <f t="shared" si="307"/>
        <v>0</v>
      </c>
      <c r="AA185" s="1">
        <f t="shared" si="308"/>
        <v>0</v>
      </c>
      <c r="AB185" s="1">
        <f t="shared" si="309"/>
        <v>0</v>
      </c>
      <c r="AC185" s="1">
        <f t="shared" si="310"/>
        <v>0</v>
      </c>
      <c r="AD185" s="1">
        <f t="shared" si="311"/>
        <v>0</v>
      </c>
      <c r="AE185" s="1">
        <f t="shared" si="312"/>
        <v>0</v>
      </c>
      <c r="AF185" s="1">
        <f t="shared" si="313"/>
        <v>0</v>
      </c>
      <c r="AG185" s="1">
        <f t="shared" si="314"/>
        <v>0</v>
      </c>
      <c r="AH185" s="1">
        <f t="shared" si="315"/>
        <v>0</v>
      </c>
      <c r="AI185" s="1">
        <f t="shared" si="316"/>
        <v>0</v>
      </c>
      <c r="AJ185" s="1">
        <f t="shared" si="317"/>
        <v>0</v>
      </c>
      <c r="AK185" s="1">
        <f t="shared" si="318"/>
        <v>0</v>
      </c>
      <c r="AM185" s="1827"/>
      <c r="AN185" s="1827"/>
      <c r="AO185" s="1827"/>
      <c r="AP185" s="1827"/>
      <c r="AQ185" s="1827"/>
      <c r="AR185" s="1827"/>
      <c r="AS185" s="1827"/>
      <c r="AT185" s="1827"/>
      <c r="AU185" s="1827"/>
      <c r="AV185" s="1827"/>
      <c r="AW185" s="1827"/>
      <c r="AX185" s="1827"/>
      <c r="AY185" s="1827"/>
      <c r="BA185" s="2014"/>
      <c r="BB185" s="2014" t="e">
        <f t="shared" si="324"/>
        <v>#REF!</v>
      </c>
      <c r="BC185" s="2014"/>
      <c r="BD185" s="2013" t="e">
        <f>BR185*#REF!</f>
        <v>#REF!</v>
      </c>
      <c r="BE185" s="2013" t="e">
        <f>BS185*#REF!</f>
        <v>#REF!</v>
      </c>
      <c r="BF185" s="2013" t="e">
        <f>BT185*#REF!</f>
        <v>#REF!</v>
      </c>
      <c r="BG185" s="2013" t="e">
        <f>BU185*#REF!</f>
        <v>#REF!</v>
      </c>
      <c r="BH185" s="2013" t="e">
        <f>BV185*#REF!</f>
        <v>#REF!</v>
      </c>
      <c r="BI185" s="2013" t="e">
        <f>BW185*#REF!</f>
        <v>#REF!</v>
      </c>
      <c r="BJ185" s="2013" t="e">
        <f>BX185*#REF!</f>
        <v>#REF!</v>
      </c>
      <c r="BK185" s="2013" t="e">
        <f>BY185*#REF!</f>
        <v>#REF!</v>
      </c>
      <c r="BL185" s="2013" t="e">
        <f>BZ185*#REF!</f>
        <v>#REF!</v>
      </c>
      <c r="BM185" s="2013" t="e">
        <f>CA185*#REF!</f>
        <v>#REF!</v>
      </c>
      <c r="BO185" s="513" t="str">
        <f t="shared" si="290"/>
        <v>3.1.1</v>
      </c>
      <c r="BP185" s="2040" t="str">
        <f t="shared" si="291"/>
        <v>LR3 3.1</v>
      </c>
      <c r="BQ185" s="829" t="str">
        <f t="shared" si="292"/>
        <v>騒音</v>
      </c>
      <c r="BR185" s="2010">
        <f t="shared" si="293"/>
        <v>0.33333333333333331</v>
      </c>
      <c r="BS185" s="2010">
        <f t="shared" si="294"/>
        <v>0.33333333333333331</v>
      </c>
      <c r="BT185" s="2010">
        <f t="shared" si="295"/>
        <v>0.33333333333333331</v>
      </c>
      <c r="BU185" s="2010">
        <f t="shared" si="296"/>
        <v>0.33333333333333331</v>
      </c>
      <c r="BV185" s="2010">
        <f t="shared" si="297"/>
        <v>0.33333333333333331</v>
      </c>
      <c r="BW185" s="2010">
        <f t="shared" si="298"/>
        <v>0.33333333333333331</v>
      </c>
      <c r="BX185" s="2010">
        <f t="shared" si="299"/>
        <v>0.33333333333333331</v>
      </c>
      <c r="BY185" s="2010">
        <f t="shared" si="300"/>
        <v>0.33333333333333331</v>
      </c>
      <c r="BZ185" s="2010">
        <f t="shared" si="301"/>
        <v>0.33333333333333331</v>
      </c>
      <c r="CA185" s="2010">
        <f t="shared" si="302"/>
        <v>0.33333333333333331</v>
      </c>
      <c r="CB185" s="2039">
        <f t="shared" si="303"/>
        <v>0</v>
      </c>
      <c r="CC185" s="2010">
        <f t="shared" si="304"/>
        <v>0</v>
      </c>
      <c r="CD185" s="2010">
        <f t="shared" si="305"/>
        <v>0</v>
      </c>
      <c r="CF185" s="1277" t="s">
        <v>942</v>
      </c>
      <c r="CG185" s="1207" t="s">
        <v>2115</v>
      </c>
      <c r="CH185" s="1208" t="s">
        <v>843</v>
      </c>
      <c r="CI185" s="1213">
        <v>0.33333333333333331</v>
      </c>
      <c r="CJ185" s="1213">
        <v>0.33333333333333331</v>
      </c>
      <c r="CK185" s="1213">
        <v>0.33333333333333331</v>
      </c>
      <c r="CL185" s="1213">
        <v>0.33333333333333331</v>
      </c>
      <c r="CM185" s="1213">
        <v>0.33333333333333331</v>
      </c>
      <c r="CN185" s="1213">
        <v>0.33333333333333331</v>
      </c>
      <c r="CO185" s="1213">
        <v>0.33333333333333331</v>
      </c>
      <c r="CP185" s="1213">
        <v>0.33333333333333331</v>
      </c>
      <c r="CQ185" s="1213">
        <v>0.33333333333333331</v>
      </c>
      <c r="CR185" s="1213">
        <v>0.33333333333333331</v>
      </c>
      <c r="CS185" s="1214"/>
      <c r="CT185" s="1213"/>
      <c r="CU185" s="1213"/>
      <c r="CW185" s="1277" t="s">
        <v>942</v>
      </c>
      <c r="CX185" s="1207" t="s">
        <v>2115</v>
      </c>
      <c r="CY185" s="1208" t="s">
        <v>843</v>
      </c>
      <c r="CZ185" s="1213">
        <v>0.33333333333333331</v>
      </c>
      <c r="DA185" s="1213">
        <v>0.33333333333333331</v>
      </c>
      <c r="DB185" s="1213">
        <v>0.33333333333333331</v>
      </c>
      <c r="DC185" s="1213">
        <v>0.33333333333333331</v>
      </c>
      <c r="DD185" s="1213">
        <v>0.33333333333333331</v>
      </c>
      <c r="DE185" s="1213">
        <v>0.33333333333333331</v>
      </c>
      <c r="DF185" s="1213">
        <v>0.33333333333333331</v>
      </c>
      <c r="DG185" s="1213">
        <v>0.33333333333333331</v>
      </c>
      <c r="DH185" s="1213">
        <v>0.33333333333333331</v>
      </c>
      <c r="DI185" s="1213">
        <v>0.33333333333333331</v>
      </c>
      <c r="DJ185" s="1214"/>
      <c r="DK185" s="1213"/>
      <c r="DL185" s="1213"/>
      <c r="DN185" s="1277" t="s">
        <v>942</v>
      </c>
      <c r="DO185" s="1207" t="s">
        <v>2115</v>
      </c>
      <c r="DP185" s="1208" t="s">
        <v>843</v>
      </c>
      <c r="DQ185" s="1213">
        <v>0.33333333333333331</v>
      </c>
      <c r="DR185" s="1213">
        <v>0.33333333333333331</v>
      </c>
      <c r="DS185" s="1213">
        <v>0.33333333333333331</v>
      </c>
      <c r="DT185" s="1213">
        <v>0.33333333333333331</v>
      </c>
      <c r="DU185" s="1213">
        <v>0.33333333333333331</v>
      </c>
      <c r="DV185" s="1213">
        <v>0.33333333333333331</v>
      </c>
      <c r="DW185" s="1213">
        <v>0.33333333333333331</v>
      </c>
      <c r="DX185" s="1213">
        <v>0.33333333333333331</v>
      </c>
      <c r="DY185" s="1213">
        <v>0.33333333333333331</v>
      </c>
      <c r="DZ185" s="1213">
        <v>0.33333333333333331</v>
      </c>
      <c r="EA185" s="1213"/>
      <c r="EB185" s="1213"/>
      <c r="EC185" s="1213"/>
      <c r="ED185" s="1469"/>
      <c r="EF185" s="1277" t="s">
        <v>942</v>
      </c>
      <c r="EG185" s="1207" t="s">
        <v>2115</v>
      </c>
      <c r="EH185" s="1208" t="s">
        <v>843</v>
      </c>
      <c r="EI185" s="1689">
        <f t="shared" si="329"/>
        <v>0.33333333333333331</v>
      </c>
      <c r="EJ185" s="1689">
        <f t="shared" si="330"/>
        <v>0.33333333333333331</v>
      </c>
      <c r="EK185" s="1689">
        <f t="shared" si="331"/>
        <v>0.33333333333333331</v>
      </c>
      <c r="EL185" s="1689">
        <f t="shared" si="332"/>
        <v>0.33333333333333331</v>
      </c>
      <c r="EM185" s="1689">
        <f t="shared" si="333"/>
        <v>0.33333333333333331</v>
      </c>
      <c r="EN185" s="1689">
        <f t="shared" si="334"/>
        <v>0.33333333333333331</v>
      </c>
      <c r="EO185" s="1689">
        <f t="shared" si="335"/>
        <v>0.33333333333333331</v>
      </c>
      <c r="EP185" s="1689">
        <f t="shared" si="336"/>
        <v>0.33333333333333331</v>
      </c>
      <c r="EQ185" s="1689">
        <f t="shared" si="337"/>
        <v>0.33333333333333331</v>
      </c>
      <c r="ER185" s="1689">
        <f t="shared" si="338"/>
        <v>0.33333333333333331</v>
      </c>
      <c r="ES185" s="1689">
        <f t="shared" si="339"/>
        <v>0</v>
      </c>
      <c r="ET185" s="1689">
        <f t="shared" si="340"/>
        <v>0</v>
      </c>
      <c r="EU185" s="1689">
        <f t="shared" si="341"/>
        <v>0</v>
      </c>
      <c r="EW185" s="1277" t="s">
        <v>942</v>
      </c>
      <c r="EX185" s="1207" t="s">
        <v>2115</v>
      </c>
      <c r="EY185" s="1208"/>
      <c r="EZ185" s="1814">
        <v>0</v>
      </c>
      <c r="FA185" s="1678"/>
      <c r="FB185" s="1678"/>
      <c r="FC185" s="1678"/>
      <c r="FD185" s="1678"/>
      <c r="FE185" s="1678"/>
      <c r="FF185" s="1678"/>
      <c r="FG185" s="1678"/>
      <c r="FH185" s="1678"/>
      <c r="FI185" s="1678"/>
      <c r="FJ185" s="1678"/>
      <c r="FK185" s="1678"/>
      <c r="FL185" s="1678"/>
    </row>
    <row r="186" spans="2:168">
      <c r="B186" s="2023" t="str">
        <f t="shared" si="274"/>
        <v>3.1.2</v>
      </c>
      <c r="C186" s="829" t="str">
        <f t="shared" si="285"/>
        <v>振動</v>
      </c>
      <c r="D186" s="2022" t="e">
        <f t="shared" si="342"/>
        <v>#REF!</v>
      </c>
      <c r="E186" s="2022" t="e">
        <f t="shared" si="342"/>
        <v>#REF!</v>
      </c>
      <c r="G186" s="2021" t="e">
        <f t="shared" si="287"/>
        <v>#REF!</v>
      </c>
      <c r="H186" s="2021" t="e">
        <f t="shared" si="288"/>
        <v>#REF!</v>
      </c>
      <c r="I186" s="2021"/>
      <c r="J186" s="2021"/>
      <c r="K186" s="2021" t="e">
        <f>IF(#REF!=0,0,1)</f>
        <v>#REF!</v>
      </c>
      <c r="L186" s="2021" t="e">
        <f>IF(#REF!=0,0,1)</f>
        <v>#REF!</v>
      </c>
      <c r="M186" s="2021">
        <f t="shared" si="289"/>
        <v>0.33333333333333331</v>
      </c>
      <c r="N186" s="2021">
        <f t="shared" si="343"/>
        <v>0</v>
      </c>
      <c r="P186" s="2020"/>
      <c r="Q186" s="2019"/>
      <c r="R186" s="2018">
        <v>2</v>
      </c>
      <c r="S186" s="2034" t="s">
        <v>1617</v>
      </c>
      <c r="T186" s="2036"/>
      <c r="U186" s="2017"/>
      <c r="V186" s="2038">
        <f t="shared" si="322"/>
        <v>0</v>
      </c>
      <c r="W186" s="2037">
        <f t="shared" si="323"/>
        <v>0</v>
      </c>
      <c r="Y186" s="1">
        <f t="shared" si="306"/>
        <v>0</v>
      </c>
      <c r="Z186" s="1">
        <f t="shared" si="307"/>
        <v>0</v>
      </c>
      <c r="AA186" s="1">
        <f t="shared" si="308"/>
        <v>0</v>
      </c>
      <c r="AB186" s="1">
        <f t="shared" si="309"/>
        <v>0</v>
      </c>
      <c r="AC186" s="1">
        <f t="shared" si="310"/>
        <v>0</v>
      </c>
      <c r="AD186" s="1">
        <f t="shared" si="311"/>
        <v>0</v>
      </c>
      <c r="AE186" s="1">
        <f t="shared" si="312"/>
        <v>0</v>
      </c>
      <c r="AF186" s="1">
        <f t="shared" si="313"/>
        <v>0</v>
      </c>
      <c r="AG186" s="1">
        <f t="shared" si="314"/>
        <v>0</v>
      </c>
      <c r="AH186" s="1">
        <f t="shared" si="315"/>
        <v>0</v>
      </c>
      <c r="AI186" s="1">
        <f t="shared" si="316"/>
        <v>0</v>
      </c>
      <c r="AJ186" s="1">
        <f t="shared" si="317"/>
        <v>0</v>
      </c>
      <c r="AK186" s="1">
        <f t="shared" si="318"/>
        <v>0</v>
      </c>
      <c r="AM186" s="1828"/>
      <c r="AN186" s="1828"/>
      <c r="AO186" s="1828"/>
      <c r="AP186" s="1828"/>
      <c r="AQ186" s="1828"/>
      <c r="AR186" s="1828"/>
      <c r="AS186" s="1828"/>
      <c r="AT186" s="1828"/>
      <c r="AU186" s="1828"/>
      <c r="AV186" s="1828"/>
      <c r="AW186" s="1828"/>
      <c r="AX186" s="1828"/>
      <c r="AY186" s="1828"/>
      <c r="BA186" s="2014"/>
      <c r="BB186" s="2014" t="e">
        <f t="shared" si="324"/>
        <v>#REF!</v>
      </c>
      <c r="BC186" s="2014"/>
      <c r="BD186" s="2013" t="e">
        <f>BR186*#REF!</f>
        <v>#REF!</v>
      </c>
      <c r="BE186" s="2013" t="e">
        <f>BS186*#REF!</f>
        <v>#REF!</v>
      </c>
      <c r="BF186" s="2013" t="e">
        <f>BT186*#REF!</f>
        <v>#REF!</v>
      </c>
      <c r="BG186" s="2013" t="e">
        <f>BU186*#REF!</f>
        <v>#REF!</v>
      </c>
      <c r="BH186" s="2013" t="e">
        <f>BV186*#REF!</f>
        <v>#REF!</v>
      </c>
      <c r="BI186" s="2013" t="e">
        <f>BW186*#REF!</f>
        <v>#REF!</v>
      </c>
      <c r="BJ186" s="2013" t="e">
        <f>BX186*#REF!</f>
        <v>#REF!</v>
      </c>
      <c r="BK186" s="2013" t="e">
        <f>BY186*#REF!</f>
        <v>#REF!</v>
      </c>
      <c r="BL186" s="2013" t="e">
        <f>BZ186*#REF!</f>
        <v>#REF!</v>
      </c>
      <c r="BM186" s="2013" t="e">
        <f>CA186*#REF!</f>
        <v>#REF!</v>
      </c>
      <c r="BO186" s="513" t="str">
        <f t="shared" si="290"/>
        <v>3.1.2</v>
      </c>
      <c r="BP186" s="2040" t="str">
        <f t="shared" si="291"/>
        <v>LR3 3.1</v>
      </c>
      <c r="BQ186" s="829" t="str">
        <f t="shared" si="292"/>
        <v>振動</v>
      </c>
      <c r="BR186" s="2010">
        <f t="shared" si="293"/>
        <v>0.33333333333333331</v>
      </c>
      <c r="BS186" s="2010">
        <f t="shared" si="294"/>
        <v>0.33333333333333331</v>
      </c>
      <c r="BT186" s="2010">
        <f t="shared" si="295"/>
        <v>0.33333333333333331</v>
      </c>
      <c r="BU186" s="2010">
        <f t="shared" si="296"/>
        <v>0.33333333333333331</v>
      </c>
      <c r="BV186" s="2010">
        <f t="shared" si="297"/>
        <v>0.33333333333333331</v>
      </c>
      <c r="BW186" s="2010">
        <f t="shared" si="298"/>
        <v>0.33333333333333331</v>
      </c>
      <c r="BX186" s="2010">
        <f t="shared" si="299"/>
        <v>0.33333333333333331</v>
      </c>
      <c r="BY186" s="2010">
        <f t="shared" si="300"/>
        <v>0.33333333333333331</v>
      </c>
      <c r="BZ186" s="2010">
        <f t="shared" si="301"/>
        <v>0.33333333333333331</v>
      </c>
      <c r="CA186" s="2010">
        <f t="shared" si="302"/>
        <v>0.33333333333333331</v>
      </c>
      <c r="CB186" s="2039">
        <f t="shared" si="303"/>
        <v>0</v>
      </c>
      <c r="CC186" s="2010">
        <f t="shared" si="304"/>
        <v>0</v>
      </c>
      <c r="CD186" s="2010">
        <f t="shared" si="305"/>
        <v>0</v>
      </c>
      <c r="CF186" s="1277" t="s">
        <v>943</v>
      </c>
      <c r="CG186" s="1207" t="s">
        <v>2115</v>
      </c>
      <c r="CH186" s="1208" t="s">
        <v>2116</v>
      </c>
      <c r="CI186" s="1213">
        <v>0.33333333333333331</v>
      </c>
      <c r="CJ186" s="1213">
        <v>0.33333333333333331</v>
      </c>
      <c r="CK186" s="1213">
        <v>0.33333333333333331</v>
      </c>
      <c r="CL186" s="1213">
        <v>0.33333333333333331</v>
      </c>
      <c r="CM186" s="1213">
        <v>0.33333333333333331</v>
      </c>
      <c r="CN186" s="1213">
        <v>0.33333333333333331</v>
      </c>
      <c r="CO186" s="1213">
        <v>0.33333333333333331</v>
      </c>
      <c r="CP186" s="1213">
        <v>0.33333333333333331</v>
      </c>
      <c r="CQ186" s="1213">
        <v>0.33333333333333331</v>
      </c>
      <c r="CR186" s="1213">
        <v>0.33333333333333331</v>
      </c>
      <c r="CS186" s="1214"/>
      <c r="CT186" s="1213"/>
      <c r="CU186" s="1213"/>
      <c r="CW186" s="1277" t="s">
        <v>943</v>
      </c>
      <c r="CX186" s="1207" t="s">
        <v>2115</v>
      </c>
      <c r="CY186" s="1208" t="s">
        <v>2116</v>
      </c>
      <c r="CZ186" s="1213">
        <v>0.33333333333333331</v>
      </c>
      <c r="DA186" s="1213">
        <v>0.33333333333333331</v>
      </c>
      <c r="DB186" s="1213">
        <v>0.33333333333333331</v>
      </c>
      <c r="DC186" s="1213">
        <v>0.33333333333333331</v>
      </c>
      <c r="DD186" s="1213">
        <v>0.33333333333333331</v>
      </c>
      <c r="DE186" s="1213">
        <v>0.33333333333333331</v>
      </c>
      <c r="DF186" s="1213">
        <v>0.33333333333333331</v>
      </c>
      <c r="DG186" s="1213">
        <v>0.33333333333333331</v>
      </c>
      <c r="DH186" s="1213">
        <v>0.33333333333333331</v>
      </c>
      <c r="DI186" s="1213">
        <v>0.33333333333333331</v>
      </c>
      <c r="DJ186" s="1214"/>
      <c r="DK186" s="1213"/>
      <c r="DL186" s="1213"/>
      <c r="DN186" s="1277" t="s">
        <v>943</v>
      </c>
      <c r="DO186" s="1207" t="s">
        <v>2115</v>
      </c>
      <c r="DP186" s="1208" t="s">
        <v>2116</v>
      </c>
      <c r="DQ186" s="1213">
        <v>0.33333333333333331</v>
      </c>
      <c r="DR186" s="1213">
        <v>0.33333333333333331</v>
      </c>
      <c r="DS186" s="1213">
        <v>0.33333333333333331</v>
      </c>
      <c r="DT186" s="1213">
        <v>0.33333333333333331</v>
      </c>
      <c r="DU186" s="1213">
        <v>0.33333333333333331</v>
      </c>
      <c r="DV186" s="1213">
        <v>0.33333333333333331</v>
      </c>
      <c r="DW186" s="1213">
        <v>0.33333333333333331</v>
      </c>
      <c r="DX186" s="1213">
        <v>0.33333333333333331</v>
      </c>
      <c r="DY186" s="1213">
        <v>0.33333333333333331</v>
      </c>
      <c r="DZ186" s="1213">
        <v>0.33333333333333331</v>
      </c>
      <c r="EA186" s="1213"/>
      <c r="EB186" s="1213"/>
      <c r="EC186" s="1213"/>
      <c r="ED186" s="1469"/>
      <c r="EF186" s="1277" t="s">
        <v>943</v>
      </c>
      <c r="EG186" s="1207" t="s">
        <v>2115</v>
      </c>
      <c r="EH186" s="1208" t="s">
        <v>2116</v>
      </c>
      <c r="EI186" s="1689">
        <f t="shared" si="329"/>
        <v>0.33333333333333331</v>
      </c>
      <c r="EJ186" s="1689">
        <f t="shared" si="330"/>
        <v>0.33333333333333331</v>
      </c>
      <c r="EK186" s="1689">
        <f t="shared" si="331"/>
        <v>0.33333333333333331</v>
      </c>
      <c r="EL186" s="1689">
        <f t="shared" si="332"/>
        <v>0.33333333333333331</v>
      </c>
      <c r="EM186" s="1689">
        <f t="shared" si="333"/>
        <v>0.33333333333333331</v>
      </c>
      <c r="EN186" s="1689">
        <f t="shared" si="334"/>
        <v>0.33333333333333331</v>
      </c>
      <c r="EO186" s="1689">
        <f t="shared" si="335"/>
        <v>0.33333333333333331</v>
      </c>
      <c r="EP186" s="1689">
        <f t="shared" si="336"/>
        <v>0.33333333333333331</v>
      </c>
      <c r="EQ186" s="1689">
        <f t="shared" si="337"/>
        <v>0.33333333333333331</v>
      </c>
      <c r="ER186" s="1689">
        <f t="shared" si="338"/>
        <v>0.33333333333333331</v>
      </c>
      <c r="ES186" s="1689">
        <f t="shared" si="339"/>
        <v>0</v>
      </c>
      <c r="ET186" s="1689">
        <f t="shared" si="340"/>
        <v>0</v>
      </c>
      <c r="EU186" s="1689">
        <f t="shared" si="341"/>
        <v>0</v>
      </c>
      <c r="EW186" s="1277" t="s">
        <v>943</v>
      </c>
      <c r="EX186" s="1207" t="s">
        <v>2115</v>
      </c>
      <c r="EY186" s="1208"/>
      <c r="EZ186" s="1814">
        <v>0</v>
      </c>
      <c r="FA186" s="1678"/>
      <c r="FB186" s="1678"/>
      <c r="FC186" s="1678"/>
      <c r="FD186" s="1678"/>
      <c r="FE186" s="1678"/>
      <c r="FF186" s="1678"/>
      <c r="FG186" s="1678"/>
      <c r="FH186" s="1678"/>
      <c r="FI186" s="1678"/>
      <c r="FJ186" s="1678"/>
      <c r="FK186" s="1678"/>
      <c r="FL186" s="1678"/>
    </row>
    <row r="187" spans="2:168" ht="14.25" thickBot="1">
      <c r="B187" s="2023" t="str">
        <f t="shared" si="274"/>
        <v>3.1.3</v>
      </c>
      <c r="C187" s="829" t="str">
        <f t="shared" si="285"/>
        <v>悪臭</v>
      </c>
      <c r="D187" s="2022" t="e">
        <f t="shared" si="342"/>
        <v>#REF!</v>
      </c>
      <c r="E187" s="2022" t="e">
        <f t="shared" si="342"/>
        <v>#REF!</v>
      </c>
      <c r="G187" s="2021" t="e">
        <f t="shared" si="287"/>
        <v>#REF!</v>
      </c>
      <c r="H187" s="2021" t="e">
        <f t="shared" si="288"/>
        <v>#REF!</v>
      </c>
      <c r="I187" s="2021"/>
      <c r="J187" s="2021"/>
      <c r="K187" s="2021" t="e">
        <f>IF(#REF!=0,0,1)</f>
        <v>#REF!</v>
      </c>
      <c r="L187" s="2021" t="e">
        <f>IF(#REF!=0,0,1)</f>
        <v>#REF!</v>
      </c>
      <c r="M187" s="2021">
        <f t="shared" si="289"/>
        <v>0.33333333333333331</v>
      </c>
      <c r="N187" s="2021">
        <f t="shared" si="343"/>
        <v>0</v>
      </c>
      <c r="P187" s="2020"/>
      <c r="Q187" s="2019"/>
      <c r="R187" s="993">
        <v>3</v>
      </c>
      <c r="S187" s="2034" t="s">
        <v>1618</v>
      </c>
      <c r="T187" s="2036"/>
      <c r="U187" s="2017"/>
      <c r="V187" s="2016">
        <f t="shared" si="322"/>
        <v>0</v>
      </c>
      <c r="W187" s="2015">
        <f t="shared" si="323"/>
        <v>0</v>
      </c>
      <c r="Y187" s="1">
        <f t="shared" si="306"/>
        <v>0</v>
      </c>
      <c r="Z187" s="1">
        <f t="shared" si="307"/>
        <v>0</v>
      </c>
      <c r="AA187" s="1">
        <f t="shared" si="308"/>
        <v>0</v>
      </c>
      <c r="AB187" s="1">
        <f t="shared" si="309"/>
        <v>0</v>
      </c>
      <c r="AC187" s="1">
        <f t="shared" si="310"/>
        <v>0</v>
      </c>
      <c r="AD187" s="1">
        <f t="shared" si="311"/>
        <v>0</v>
      </c>
      <c r="AE187" s="1">
        <f t="shared" si="312"/>
        <v>0</v>
      </c>
      <c r="AF187" s="1">
        <f t="shared" si="313"/>
        <v>0</v>
      </c>
      <c r="AG187" s="1">
        <f t="shared" si="314"/>
        <v>0</v>
      </c>
      <c r="AH187" s="1">
        <f t="shared" si="315"/>
        <v>0</v>
      </c>
      <c r="AI187" s="1">
        <f t="shared" si="316"/>
        <v>0</v>
      </c>
      <c r="AJ187" s="1">
        <f t="shared" si="317"/>
        <v>0</v>
      </c>
      <c r="AK187" s="1">
        <f t="shared" si="318"/>
        <v>0</v>
      </c>
      <c r="AM187" s="1831"/>
      <c r="AN187" s="1831"/>
      <c r="AO187" s="1831"/>
      <c r="AP187" s="1831"/>
      <c r="AQ187" s="1831"/>
      <c r="AR187" s="1831"/>
      <c r="AS187" s="1831"/>
      <c r="AT187" s="1831"/>
      <c r="AU187" s="1831"/>
      <c r="AV187" s="1831"/>
      <c r="AW187" s="1831"/>
      <c r="AX187" s="1831"/>
      <c r="AY187" s="1831"/>
      <c r="BA187" s="2014"/>
      <c r="BB187" s="2014" t="e">
        <f t="shared" si="324"/>
        <v>#REF!</v>
      </c>
      <c r="BC187" s="2014"/>
      <c r="BD187" s="2013" t="e">
        <f>BR187*#REF!</f>
        <v>#REF!</v>
      </c>
      <c r="BE187" s="2013" t="e">
        <f>BS187*#REF!</f>
        <v>#REF!</v>
      </c>
      <c r="BF187" s="2013" t="e">
        <f>BT187*#REF!</f>
        <v>#REF!</v>
      </c>
      <c r="BG187" s="2013" t="e">
        <f>BU187*#REF!</f>
        <v>#REF!</v>
      </c>
      <c r="BH187" s="2013" t="e">
        <f>BV187*#REF!</f>
        <v>#REF!</v>
      </c>
      <c r="BI187" s="2013" t="e">
        <f>BW187*#REF!</f>
        <v>#REF!</v>
      </c>
      <c r="BJ187" s="2013" t="e">
        <f>BX187*#REF!</f>
        <v>#REF!</v>
      </c>
      <c r="BK187" s="2013" t="e">
        <f>BY187*#REF!</f>
        <v>#REF!</v>
      </c>
      <c r="BL187" s="2013" t="e">
        <f>BZ187*#REF!</f>
        <v>#REF!</v>
      </c>
      <c r="BM187" s="2013" t="e">
        <f>CA187*#REF!</f>
        <v>#REF!</v>
      </c>
      <c r="BO187" s="513" t="str">
        <f t="shared" si="290"/>
        <v>3.1.3</v>
      </c>
      <c r="BP187" s="2040" t="str">
        <f t="shared" si="291"/>
        <v>LR3 3.1</v>
      </c>
      <c r="BQ187" s="829" t="str">
        <f t="shared" si="292"/>
        <v>悪臭</v>
      </c>
      <c r="BR187" s="2010">
        <f t="shared" si="293"/>
        <v>0.33333333333333331</v>
      </c>
      <c r="BS187" s="2010">
        <f t="shared" si="294"/>
        <v>0.33333333333333331</v>
      </c>
      <c r="BT187" s="2010">
        <f t="shared" si="295"/>
        <v>0.33333333333333331</v>
      </c>
      <c r="BU187" s="2010">
        <f t="shared" si="296"/>
        <v>0.33333333333333331</v>
      </c>
      <c r="BV187" s="2010">
        <f t="shared" si="297"/>
        <v>0.33333333333333331</v>
      </c>
      <c r="BW187" s="2010">
        <f t="shared" si="298"/>
        <v>0.33333333333333331</v>
      </c>
      <c r="BX187" s="2010">
        <f t="shared" si="299"/>
        <v>0.33333333333333331</v>
      </c>
      <c r="BY187" s="2010">
        <f t="shared" si="300"/>
        <v>0.33333333333333331</v>
      </c>
      <c r="BZ187" s="2010">
        <f t="shared" si="301"/>
        <v>0.33333333333333331</v>
      </c>
      <c r="CA187" s="2010">
        <f t="shared" si="302"/>
        <v>0.33333333333333331</v>
      </c>
      <c r="CB187" s="2039">
        <f t="shared" si="303"/>
        <v>0</v>
      </c>
      <c r="CC187" s="2010">
        <f t="shared" si="304"/>
        <v>0</v>
      </c>
      <c r="CD187" s="2010">
        <f t="shared" si="305"/>
        <v>0</v>
      </c>
      <c r="CF187" s="1277" t="s">
        <v>3126</v>
      </c>
      <c r="CG187" s="1207" t="s">
        <v>2115</v>
      </c>
      <c r="CH187" s="1208" t="s">
        <v>1836</v>
      </c>
      <c r="CI187" s="1213">
        <v>0.33333333333333331</v>
      </c>
      <c r="CJ187" s="1213">
        <v>0.33333333333333331</v>
      </c>
      <c r="CK187" s="1213">
        <v>0.33333333333333331</v>
      </c>
      <c r="CL187" s="1213">
        <v>0.33333333333333331</v>
      </c>
      <c r="CM187" s="1213">
        <v>0.33333333333333331</v>
      </c>
      <c r="CN187" s="1213">
        <v>0.33333333333333331</v>
      </c>
      <c r="CO187" s="1213">
        <v>0.33333333333333331</v>
      </c>
      <c r="CP187" s="1213">
        <v>0.33333333333333331</v>
      </c>
      <c r="CQ187" s="1213">
        <v>0.33333333333333331</v>
      </c>
      <c r="CR187" s="1213">
        <v>0.33333333333333331</v>
      </c>
      <c r="CS187" s="1214"/>
      <c r="CT187" s="1213"/>
      <c r="CU187" s="1213"/>
      <c r="CW187" s="1277" t="s">
        <v>944</v>
      </c>
      <c r="CX187" s="1207" t="s">
        <v>2115</v>
      </c>
      <c r="CY187" s="1208" t="s">
        <v>1836</v>
      </c>
      <c r="CZ187" s="1213">
        <v>0.33333333333333331</v>
      </c>
      <c r="DA187" s="1213">
        <v>0.33333333333333331</v>
      </c>
      <c r="DB187" s="1213">
        <v>0.33333333333333331</v>
      </c>
      <c r="DC187" s="1213">
        <v>0.33333333333333331</v>
      </c>
      <c r="DD187" s="1213">
        <v>0.33333333333333331</v>
      </c>
      <c r="DE187" s="1213">
        <v>0.33333333333333331</v>
      </c>
      <c r="DF187" s="1213">
        <v>0.33333333333333331</v>
      </c>
      <c r="DG187" s="1213">
        <v>0.33333333333333331</v>
      </c>
      <c r="DH187" s="1213">
        <v>0.33333333333333331</v>
      </c>
      <c r="DI187" s="1213">
        <v>0.33333333333333331</v>
      </c>
      <c r="DJ187" s="1214"/>
      <c r="DK187" s="1213"/>
      <c r="DL187" s="1213"/>
      <c r="DN187" s="1277" t="s">
        <v>944</v>
      </c>
      <c r="DO187" s="1207" t="s">
        <v>2115</v>
      </c>
      <c r="DP187" s="1208" t="s">
        <v>1836</v>
      </c>
      <c r="DQ187" s="1213">
        <v>0.33333333333333331</v>
      </c>
      <c r="DR187" s="1213">
        <v>0.33333333333333331</v>
      </c>
      <c r="DS187" s="1213">
        <v>0.33333333333333331</v>
      </c>
      <c r="DT187" s="1213">
        <v>0.33333333333333331</v>
      </c>
      <c r="DU187" s="1213">
        <v>0.33333333333333331</v>
      </c>
      <c r="DV187" s="1213">
        <v>0.33333333333333331</v>
      </c>
      <c r="DW187" s="1213">
        <v>0.33333333333333331</v>
      </c>
      <c r="DX187" s="1213">
        <v>0.33333333333333331</v>
      </c>
      <c r="DY187" s="1213">
        <v>0.33333333333333331</v>
      </c>
      <c r="DZ187" s="1213">
        <v>0.33333333333333331</v>
      </c>
      <c r="EA187" s="1213"/>
      <c r="EB187" s="1213"/>
      <c r="EC187" s="1213"/>
      <c r="ED187" s="1469"/>
      <c r="EF187" s="1277" t="s">
        <v>944</v>
      </c>
      <c r="EG187" s="1207" t="s">
        <v>2115</v>
      </c>
      <c r="EH187" s="1208" t="s">
        <v>1836</v>
      </c>
      <c r="EI187" s="1689">
        <f t="shared" si="329"/>
        <v>0.33333333333333331</v>
      </c>
      <c r="EJ187" s="1689">
        <f t="shared" si="330"/>
        <v>0.33333333333333331</v>
      </c>
      <c r="EK187" s="1689">
        <f t="shared" si="331"/>
        <v>0.33333333333333331</v>
      </c>
      <c r="EL187" s="1689">
        <f t="shared" si="332"/>
        <v>0.33333333333333331</v>
      </c>
      <c r="EM187" s="1689">
        <f t="shared" si="333"/>
        <v>0.33333333333333331</v>
      </c>
      <c r="EN187" s="1689">
        <f t="shared" si="334"/>
        <v>0.33333333333333331</v>
      </c>
      <c r="EO187" s="1689">
        <f t="shared" si="335"/>
        <v>0.33333333333333331</v>
      </c>
      <c r="EP187" s="1689">
        <f t="shared" si="336"/>
        <v>0.33333333333333331</v>
      </c>
      <c r="EQ187" s="1689">
        <f t="shared" si="337"/>
        <v>0.33333333333333331</v>
      </c>
      <c r="ER187" s="1689">
        <f t="shared" si="338"/>
        <v>0.33333333333333331</v>
      </c>
      <c r="ES187" s="1689">
        <f t="shared" si="339"/>
        <v>0</v>
      </c>
      <c r="ET187" s="1689">
        <f t="shared" si="340"/>
        <v>0</v>
      </c>
      <c r="EU187" s="1689">
        <f t="shared" si="341"/>
        <v>0</v>
      </c>
      <c r="EW187" s="1277" t="s">
        <v>944</v>
      </c>
      <c r="EX187" s="1207" t="s">
        <v>2115</v>
      </c>
      <c r="EY187" s="1208"/>
      <c r="EZ187" s="1814">
        <v>0</v>
      </c>
      <c r="FA187" s="1678"/>
      <c r="FB187" s="1678"/>
      <c r="FC187" s="1678"/>
      <c r="FD187" s="1678"/>
      <c r="FE187" s="1678"/>
      <c r="FF187" s="1678"/>
      <c r="FG187" s="1678"/>
      <c r="FH187" s="1678"/>
      <c r="FI187" s="1678"/>
      <c r="FJ187" s="1678"/>
      <c r="FK187" s="1678"/>
      <c r="FL187" s="1678"/>
    </row>
    <row r="188" spans="2:168" ht="14.25" thickBot="1">
      <c r="B188" s="2023" t="str">
        <f t="shared" si="274"/>
        <v>3.2</v>
      </c>
      <c r="C188" s="829" t="str">
        <f t="shared" si="285"/>
        <v>風害・砂塵、日照阻害の抑制</v>
      </c>
      <c r="D188" s="2022" t="e">
        <f>IF(I$183=0,0,G188/I$183)</f>
        <v>#REF!</v>
      </c>
      <c r="E188" s="2022" t="e">
        <f>IF(J$183=0,0,H188/J$183)</f>
        <v>#REF!</v>
      </c>
      <c r="G188" s="2021" t="e">
        <f t="shared" si="287"/>
        <v>#REF!</v>
      </c>
      <c r="H188" s="2021" t="e">
        <f t="shared" si="288"/>
        <v>#REF!</v>
      </c>
      <c r="I188" s="2021" t="e">
        <f>SUM(G189:G191)</f>
        <v>#REF!</v>
      </c>
      <c r="J188" s="2021" t="e">
        <f>SUM(H189:H191)</f>
        <v>#REF!</v>
      </c>
      <c r="K188" s="2021" t="e">
        <f>IF(#REF!=0,0,1)</f>
        <v>#REF!</v>
      </c>
      <c r="L188" s="2021" t="e">
        <f>IF(#REF!=0,0,1)</f>
        <v>#REF!</v>
      </c>
      <c r="M188" s="2021">
        <f t="shared" si="289"/>
        <v>0.4</v>
      </c>
      <c r="N188" s="2021">
        <f t="shared" si="343"/>
        <v>0</v>
      </c>
      <c r="P188" s="2020"/>
      <c r="Q188" s="2035">
        <v>3.2</v>
      </c>
      <c r="R188" s="2034" t="s">
        <v>2045</v>
      </c>
      <c r="S188" s="2033"/>
      <c r="T188" s="2032"/>
      <c r="U188" s="2017"/>
      <c r="V188" s="2031">
        <f t="shared" si="322"/>
        <v>0</v>
      </c>
      <c r="W188" s="2030">
        <f t="shared" si="323"/>
        <v>0</v>
      </c>
      <c r="Y188" s="1">
        <f t="shared" si="306"/>
        <v>0</v>
      </c>
      <c r="Z188" s="1">
        <f t="shared" si="307"/>
        <v>0</v>
      </c>
      <c r="AA188" s="1">
        <f t="shared" si="308"/>
        <v>0</v>
      </c>
      <c r="AB188" s="1">
        <f t="shared" si="309"/>
        <v>0</v>
      </c>
      <c r="AC188" s="1">
        <f t="shared" si="310"/>
        <v>0</v>
      </c>
      <c r="AD188" s="1">
        <f t="shared" si="311"/>
        <v>0</v>
      </c>
      <c r="AE188" s="1">
        <f t="shared" si="312"/>
        <v>0</v>
      </c>
      <c r="AF188" s="1">
        <f t="shared" si="313"/>
        <v>0</v>
      </c>
      <c r="AG188" s="1">
        <f t="shared" si="314"/>
        <v>0</v>
      </c>
      <c r="AH188" s="1">
        <f t="shared" si="315"/>
        <v>0</v>
      </c>
      <c r="AI188" s="1">
        <f t="shared" si="316"/>
        <v>0</v>
      </c>
      <c r="AJ188" s="1">
        <f t="shared" si="317"/>
        <v>0</v>
      </c>
      <c r="AK188" s="1">
        <f t="shared" si="318"/>
        <v>0</v>
      </c>
      <c r="AM188" s="2029" t="s">
        <v>3117</v>
      </c>
      <c r="AN188" s="2029" t="s">
        <v>177</v>
      </c>
      <c r="AO188" s="2029" t="s">
        <v>177</v>
      </c>
      <c r="AP188" s="2029" t="s">
        <v>177</v>
      </c>
      <c r="AQ188" s="2029" t="s">
        <v>177</v>
      </c>
      <c r="AR188" s="2029" t="s">
        <v>177</v>
      </c>
      <c r="AS188" s="2029" t="s">
        <v>177</v>
      </c>
      <c r="AT188" s="2029" t="s">
        <v>3117</v>
      </c>
      <c r="AU188" s="2029" t="s">
        <v>177</v>
      </c>
      <c r="AV188" s="2029" t="s">
        <v>3125</v>
      </c>
      <c r="AW188" s="2029" t="s">
        <v>3124</v>
      </c>
      <c r="AX188" s="2029" t="s">
        <v>3117</v>
      </c>
      <c r="AY188" s="2029" t="s">
        <v>3117</v>
      </c>
      <c r="BA188" s="2028"/>
      <c r="BB188" s="2028" t="e">
        <f t="shared" si="324"/>
        <v>#REF!</v>
      </c>
      <c r="BC188" s="2028"/>
      <c r="BD188" s="2027" t="e">
        <f>BR188*#REF!</f>
        <v>#REF!</v>
      </c>
      <c r="BE188" s="2027" t="e">
        <f>BS188*#REF!</f>
        <v>#REF!</v>
      </c>
      <c r="BF188" s="2027" t="e">
        <f>BT188*#REF!</f>
        <v>#REF!</v>
      </c>
      <c r="BG188" s="2027" t="e">
        <f>BU188*#REF!</f>
        <v>#REF!</v>
      </c>
      <c r="BH188" s="2027" t="e">
        <f>BV188*#REF!</f>
        <v>#REF!</v>
      </c>
      <c r="BI188" s="2027" t="e">
        <f>BW188*#REF!</f>
        <v>#REF!</v>
      </c>
      <c r="BJ188" s="2027" t="e">
        <f>BX188*#REF!</f>
        <v>#REF!</v>
      </c>
      <c r="BK188" s="2027" t="e">
        <f>BY188*#REF!</f>
        <v>#REF!</v>
      </c>
      <c r="BL188" s="2027" t="e">
        <f>BZ188*#REF!</f>
        <v>#REF!</v>
      </c>
      <c r="BM188" s="2027" t="e">
        <f>CA188*#REF!</f>
        <v>#REF!</v>
      </c>
      <c r="BO188" s="2026" t="str">
        <f t="shared" si="290"/>
        <v>3.2</v>
      </c>
      <c r="BP188" s="2012" t="str">
        <f t="shared" si="291"/>
        <v>LR3 3</v>
      </c>
      <c r="BQ188" s="829" t="str">
        <f t="shared" si="292"/>
        <v>風害・砂塵、日照阻害の抑制</v>
      </c>
      <c r="BR188" s="2008">
        <f t="shared" si="293"/>
        <v>0.4</v>
      </c>
      <c r="BS188" s="2008">
        <f t="shared" si="294"/>
        <v>0.4</v>
      </c>
      <c r="BT188" s="2008">
        <f t="shared" si="295"/>
        <v>0.4</v>
      </c>
      <c r="BU188" s="2008">
        <f t="shared" si="296"/>
        <v>0.4</v>
      </c>
      <c r="BV188" s="2008">
        <f t="shared" si="297"/>
        <v>0.4</v>
      </c>
      <c r="BW188" s="2008">
        <f t="shared" si="298"/>
        <v>0.4</v>
      </c>
      <c r="BX188" s="2008">
        <f t="shared" si="299"/>
        <v>0.4</v>
      </c>
      <c r="BY188" s="2008">
        <f t="shared" si="300"/>
        <v>0.4</v>
      </c>
      <c r="BZ188" s="2008">
        <f t="shared" si="301"/>
        <v>0.4</v>
      </c>
      <c r="CA188" s="2008">
        <f t="shared" si="302"/>
        <v>0.4</v>
      </c>
      <c r="CB188" s="2009">
        <f t="shared" si="303"/>
        <v>0</v>
      </c>
      <c r="CC188" s="2008">
        <f t="shared" si="304"/>
        <v>0</v>
      </c>
      <c r="CD188" s="2008">
        <f t="shared" si="305"/>
        <v>0</v>
      </c>
      <c r="CF188" s="1277" t="s">
        <v>1170</v>
      </c>
      <c r="CG188" s="1211" t="s">
        <v>2114</v>
      </c>
      <c r="CH188" s="1208" t="s">
        <v>3123</v>
      </c>
      <c r="CI188" s="1257">
        <v>0.4</v>
      </c>
      <c r="CJ188" s="1257">
        <v>0.4</v>
      </c>
      <c r="CK188" s="1257">
        <v>0.4</v>
      </c>
      <c r="CL188" s="1257">
        <v>0.4</v>
      </c>
      <c r="CM188" s="1257">
        <v>0.4</v>
      </c>
      <c r="CN188" s="1257">
        <v>0.4</v>
      </c>
      <c r="CO188" s="1257">
        <v>0.4</v>
      </c>
      <c r="CP188" s="1257">
        <v>0.4</v>
      </c>
      <c r="CQ188" s="1257">
        <v>0.4</v>
      </c>
      <c r="CR188" s="1257">
        <v>0.4</v>
      </c>
      <c r="CS188" s="1258"/>
      <c r="CT188" s="1257"/>
      <c r="CU188" s="1257"/>
      <c r="CW188" s="1277" t="s">
        <v>1170</v>
      </c>
      <c r="CX188" s="1211" t="s">
        <v>2114</v>
      </c>
      <c r="CY188" s="1208" t="s">
        <v>3122</v>
      </c>
      <c r="CZ188" s="1257">
        <v>0.4</v>
      </c>
      <c r="DA188" s="1257">
        <v>0.4</v>
      </c>
      <c r="DB188" s="1257">
        <v>0.4</v>
      </c>
      <c r="DC188" s="1257">
        <v>0.4</v>
      </c>
      <c r="DD188" s="1257">
        <v>0.4</v>
      </c>
      <c r="DE188" s="1257">
        <v>0.4</v>
      </c>
      <c r="DF188" s="1257">
        <v>0.4</v>
      </c>
      <c r="DG188" s="1257">
        <v>0.4</v>
      </c>
      <c r="DH188" s="1257">
        <v>0.4</v>
      </c>
      <c r="DI188" s="1257">
        <v>0.4</v>
      </c>
      <c r="DJ188" s="1258"/>
      <c r="DK188" s="1257"/>
      <c r="DL188" s="1257"/>
      <c r="DN188" s="1277" t="s">
        <v>1170</v>
      </c>
      <c r="DO188" s="1211" t="s">
        <v>2114</v>
      </c>
      <c r="DP188" s="1208" t="s">
        <v>613</v>
      </c>
      <c r="DQ188" s="1257">
        <v>0.4</v>
      </c>
      <c r="DR188" s="1257">
        <v>0.4</v>
      </c>
      <c r="DS188" s="1257">
        <v>0.4</v>
      </c>
      <c r="DT188" s="1257">
        <v>0.4</v>
      </c>
      <c r="DU188" s="1257">
        <v>0.4</v>
      </c>
      <c r="DV188" s="1257">
        <v>0.4</v>
      </c>
      <c r="DW188" s="1257">
        <v>0.4</v>
      </c>
      <c r="DX188" s="1257">
        <v>0.4</v>
      </c>
      <c r="DY188" s="1257">
        <v>0.4</v>
      </c>
      <c r="DZ188" s="1257">
        <v>0.4</v>
      </c>
      <c r="EA188" s="1258"/>
      <c r="EB188" s="1257"/>
      <c r="EC188" s="1257"/>
      <c r="ED188" s="1472"/>
      <c r="EF188" s="1277" t="s">
        <v>1170</v>
      </c>
      <c r="EG188" s="1211" t="s">
        <v>2114</v>
      </c>
      <c r="EH188" s="1208" t="s">
        <v>613</v>
      </c>
      <c r="EI188" s="1704">
        <f t="shared" si="329"/>
        <v>0.4</v>
      </c>
      <c r="EJ188" s="1704">
        <f t="shared" si="330"/>
        <v>0.4</v>
      </c>
      <c r="EK188" s="1704">
        <f t="shared" si="331"/>
        <v>0.4</v>
      </c>
      <c r="EL188" s="1704">
        <f t="shared" si="332"/>
        <v>0.4</v>
      </c>
      <c r="EM188" s="1704">
        <f t="shared" si="333"/>
        <v>0.4</v>
      </c>
      <c r="EN188" s="1704">
        <f t="shared" si="334"/>
        <v>0.4</v>
      </c>
      <c r="EO188" s="1704">
        <f t="shared" si="335"/>
        <v>0.4</v>
      </c>
      <c r="EP188" s="1704">
        <f t="shared" si="336"/>
        <v>0.4</v>
      </c>
      <c r="EQ188" s="1704">
        <f t="shared" si="337"/>
        <v>0.4</v>
      </c>
      <c r="ER188" s="1704">
        <f t="shared" si="338"/>
        <v>0.4</v>
      </c>
      <c r="ES188" s="1705">
        <f t="shared" si="339"/>
        <v>0</v>
      </c>
      <c r="ET188" s="1704">
        <f t="shared" si="340"/>
        <v>0</v>
      </c>
      <c r="EU188" s="1704">
        <f t="shared" si="341"/>
        <v>0</v>
      </c>
      <c r="EW188" s="1277" t="s">
        <v>1170</v>
      </c>
      <c r="EX188" s="1211" t="s">
        <v>2114</v>
      </c>
      <c r="EY188" s="1208"/>
      <c r="EZ188" s="1814">
        <v>0</v>
      </c>
      <c r="FA188" s="1681"/>
      <c r="FB188" s="1681"/>
      <c r="FC188" s="1681"/>
      <c r="FD188" s="1681"/>
      <c r="FE188" s="1681"/>
      <c r="FF188" s="1681"/>
      <c r="FG188" s="1681"/>
      <c r="FH188" s="1681"/>
      <c r="FI188" s="1681"/>
      <c r="FJ188" s="1805"/>
      <c r="FK188" s="1681"/>
      <c r="FL188" s="1681"/>
    </row>
    <row r="189" spans="2:168">
      <c r="B189" s="2023" t="str">
        <f t="shared" si="274"/>
        <v>3.2.1</v>
      </c>
      <c r="C189" s="2011" t="str">
        <f t="shared" si="285"/>
        <v>風害の抑制</v>
      </c>
      <c r="D189" s="2022" t="e">
        <f t="shared" ref="D189:E191" si="344">IF(I$188=0,0,G189/I$188)</f>
        <v>#REF!</v>
      </c>
      <c r="E189" s="2022" t="e">
        <f t="shared" si="344"/>
        <v>#REF!</v>
      </c>
      <c r="G189" s="2021" t="e">
        <f t="shared" si="287"/>
        <v>#REF!</v>
      </c>
      <c r="H189" s="2021" t="e">
        <f t="shared" si="288"/>
        <v>#REF!</v>
      </c>
      <c r="I189" s="2021"/>
      <c r="J189" s="2021"/>
      <c r="K189" s="2021" t="e">
        <f>IF(#REF!=0,0,1)</f>
        <v>#REF!</v>
      </c>
      <c r="L189" s="2021" t="e">
        <f>IF(#REF!=0,0,1)</f>
        <v>#REF!</v>
      </c>
      <c r="M189" s="2021">
        <f t="shared" si="289"/>
        <v>0.7</v>
      </c>
      <c r="N189" s="2021">
        <f t="shared" si="343"/>
        <v>0</v>
      </c>
      <c r="P189" s="2020"/>
      <c r="Q189" s="2019"/>
      <c r="R189" s="993">
        <v>1</v>
      </c>
      <c r="S189" s="2034" t="s">
        <v>1434</v>
      </c>
      <c r="T189" s="2036"/>
      <c r="U189" s="2017"/>
      <c r="V189" s="2025">
        <f t="shared" si="322"/>
        <v>0</v>
      </c>
      <c r="W189" s="2024">
        <f t="shared" si="323"/>
        <v>0</v>
      </c>
      <c r="Y189" s="1">
        <f t="shared" si="306"/>
        <v>0</v>
      </c>
      <c r="Z189" s="1">
        <f t="shared" si="307"/>
        <v>0</v>
      </c>
      <c r="AA189" s="1">
        <f t="shared" si="308"/>
        <v>0</v>
      </c>
      <c r="AB189" s="1">
        <f t="shared" si="309"/>
        <v>0</v>
      </c>
      <c r="AC189" s="1">
        <f t="shared" si="310"/>
        <v>0</v>
      </c>
      <c r="AD189" s="1">
        <f t="shared" si="311"/>
        <v>0</v>
      </c>
      <c r="AE189" s="1">
        <f t="shared" si="312"/>
        <v>0</v>
      </c>
      <c r="AF189" s="1">
        <f t="shared" si="313"/>
        <v>0</v>
      </c>
      <c r="AG189" s="1">
        <f t="shared" si="314"/>
        <v>0</v>
      </c>
      <c r="AH189" s="1">
        <f t="shared" si="315"/>
        <v>0</v>
      </c>
      <c r="AI189" s="1">
        <f t="shared" si="316"/>
        <v>0</v>
      </c>
      <c r="AJ189" s="1">
        <f t="shared" si="317"/>
        <v>0</v>
      </c>
      <c r="AK189" s="1">
        <f t="shared" si="318"/>
        <v>0</v>
      </c>
      <c r="AM189" s="1827"/>
      <c r="AN189" s="1827"/>
      <c r="AO189" s="1827"/>
      <c r="AP189" s="1827"/>
      <c r="AQ189" s="1827"/>
      <c r="AR189" s="1827"/>
      <c r="AS189" s="1827"/>
      <c r="AT189" s="1827"/>
      <c r="AU189" s="1827"/>
      <c r="AV189" s="1827"/>
      <c r="AW189" s="1827"/>
      <c r="AX189" s="1827"/>
      <c r="AY189" s="1827"/>
      <c r="BA189" s="2014"/>
      <c r="BB189" s="2014" t="e">
        <f t="shared" si="324"/>
        <v>#REF!</v>
      </c>
      <c r="BC189" s="2014"/>
      <c r="BD189" s="2013" t="e">
        <f>BR189*#REF!</f>
        <v>#REF!</v>
      </c>
      <c r="BE189" s="2013" t="e">
        <f>BS189*#REF!</f>
        <v>#REF!</v>
      </c>
      <c r="BF189" s="2013" t="e">
        <f>BT189*#REF!</f>
        <v>#REF!</v>
      </c>
      <c r="BG189" s="2013" t="e">
        <f>BU189*#REF!</f>
        <v>#REF!</v>
      </c>
      <c r="BH189" s="2013" t="e">
        <f>BV189*#REF!</f>
        <v>#REF!</v>
      </c>
      <c r="BI189" s="2013" t="e">
        <f>BW189*#REF!</f>
        <v>#REF!</v>
      </c>
      <c r="BJ189" s="2013" t="e">
        <f>BX189*#REF!</f>
        <v>#REF!</v>
      </c>
      <c r="BK189" s="2013" t="e">
        <f>BY189*#REF!</f>
        <v>#REF!</v>
      </c>
      <c r="BL189" s="2013" t="e">
        <f>BZ189*#REF!</f>
        <v>#REF!</v>
      </c>
      <c r="BM189" s="2013" t="e">
        <f>CA189*#REF!</f>
        <v>#REF!</v>
      </c>
      <c r="BO189" s="513" t="str">
        <f t="shared" si="290"/>
        <v>3.2.1</v>
      </c>
      <c r="BP189" s="2012" t="str">
        <f t="shared" si="291"/>
        <v>LR3 3.2</v>
      </c>
      <c r="BQ189" s="2011" t="str">
        <f t="shared" si="292"/>
        <v>風害の抑制</v>
      </c>
      <c r="BR189" s="2010">
        <f t="shared" si="293"/>
        <v>0.7</v>
      </c>
      <c r="BS189" s="2010">
        <f t="shared" si="294"/>
        <v>0.7</v>
      </c>
      <c r="BT189" s="2010">
        <f t="shared" si="295"/>
        <v>0.7</v>
      </c>
      <c r="BU189" s="2010">
        <f t="shared" si="296"/>
        <v>0.7</v>
      </c>
      <c r="BV189" s="2010">
        <f t="shared" si="297"/>
        <v>0.7</v>
      </c>
      <c r="BW189" s="2010">
        <f t="shared" si="298"/>
        <v>0.7</v>
      </c>
      <c r="BX189" s="2010">
        <f t="shared" si="299"/>
        <v>0.6</v>
      </c>
      <c r="BY189" s="2010">
        <f t="shared" si="300"/>
        <v>0.7</v>
      </c>
      <c r="BZ189" s="2010">
        <f t="shared" si="301"/>
        <v>0.7</v>
      </c>
      <c r="CA189" s="2010">
        <f t="shared" si="302"/>
        <v>0.7</v>
      </c>
      <c r="CB189" s="2009">
        <f t="shared" si="303"/>
        <v>0</v>
      </c>
      <c r="CC189" s="2008">
        <f t="shared" si="304"/>
        <v>0</v>
      </c>
      <c r="CD189" s="2008">
        <f t="shared" si="305"/>
        <v>0</v>
      </c>
      <c r="CF189" s="1277" t="s">
        <v>945</v>
      </c>
      <c r="CG189" s="1211" t="s">
        <v>1837</v>
      </c>
      <c r="CH189" s="1278" t="s">
        <v>3121</v>
      </c>
      <c r="CI189" s="1213">
        <v>0.7</v>
      </c>
      <c r="CJ189" s="1213">
        <v>0.7</v>
      </c>
      <c r="CK189" s="1213">
        <v>0.7</v>
      </c>
      <c r="CL189" s="1213">
        <v>0.7</v>
      </c>
      <c r="CM189" s="1213">
        <v>0.7</v>
      </c>
      <c r="CN189" s="1213">
        <v>0.7</v>
      </c>
      <c r="CO189" s="1226">
        <v>0.6</v>
      </c>
      <c r="CP189" s="1213">
        <v>0.7</v>
      </c>
      <c r="CQ189" s="1213">
        <v>0.7</v>
      </c>
      <c r="CR189" s="1213">
        <v>0.7</v>
      </c>
      <c r="CS189" s="1258"/>
      <c r="CT189" s="1257"/>
      <c r="CU189" s="1257"/>
      <c r="CW189" s="1277" t="s">
        <v>3120</v>
      </c>
      <c r="CX189" s="1211" t="s">
        <v>1837</v>
      </c>
      <c r="CY189" s="1278" t="s">
        <v>1434</v>
      </c>
      <c r="CZ189" s="1213">
        <v>0.7</v>
      </c>
      <c r="DA189" s="1213">
        <v>0.7</v>
      </c>
      <c r="DB189" s="1213">
        <v>0.7</v>
      </c>
      <c r="DC189" s="1213">
        <v>0.7</v>
      </c>
      <c r="DD189" s="1213">
        <v>0.7</v>
      </c>
      <c r="DE189" s="1213">
        <v>0.7</v>
      </c>
      <c r="DF189" s="1257">
        <v>0.6</v>
      </c>
      <c r="DG189" s="1213">
        <v>0.7</v>
      </c>
      <c r="DH189" s="1213">
        <v>0.7</v>
      </c>
      <c r="DI189" s="1213">
        <v>0.7</v>
      </c>
      <c r="DJ189" s="1258"/>
      <c r="DK189" s="1257"/>
      <c r="DL189" s="1257"/>
      <c r="DN189" s="1277" t="s">
        <v>945</v>
      </c>
      <c r="DO189" s="1211" t="s">
        <v>1837</v>
      </c>
      <c r="DP189" s="1278" t="s">
        <v>1434</v>
      </c>
      <c r="DQ189" s="1213">
        <v>0.7</v>
      </c>
      <c r="DR189" s="1213">
        <v>0.7</v>
      </c>
      <c r="DS189" s="1213">
        <v>0.7</v>
      </c>
      <c r="DT189" s="1213">
        <v>0.7</v>
      </c>
      <c r="DU189" s="1213">
        <v>0.7</v>
      </c>
      <c r="DV189" s="1213">
        <v>0.7</v>
      </c>
      <c r="DW189" s="1257">
        <v>0.6</v>
      </c>
      <c r="DX189" s="1213">
        <v>0.7</v>
      </c>
      <c r="DY189" s="1213">
        <v>0.7</v>
      </c>
      <c r="DZ189" s="1213">
        <v>0.7</v>
      </c>
      <c r="EA189" s="1258"/>
      <c r="EB189" s="1257"/>
      <c r="EC189" s="1257"/>
      <c r="ED189" s="1472"/>
      <c r="EF189" s="1277" t="s">
        <v>945</v>
      </c>
      <c r="EG189" s="1211" t="s">
        <v>1837</v>
      </c>
      <c r="EH189" s="1278" t="s">
        <v>1434</v>
      </c>
      <c r="EI189" s="1689">
        <f t="shared" si="329"/>
        <v>0.7</v>
      </c>
      <c r="EJ189" s="1689">
        <f t="shared" si="330"/>
        <v>0.7</v>
      </c>
      <c r="EK189" s="1689">
        <f t="shared" si="331"/>
        <v>0.7</v>
      </c>
      <c r="EL189" s="1689">
        <f t="shared" si="332"/>
        <v>0.7</v>
      </c>
      <c r="EM189" s="1689">
        <f t="shared" si="333"/>
        <v>0.7</v>
      </c>
      <c r="EN189" s="1689">
        <f t="shared" si="334"/>
        <v>0.7</v>
      </c>
      <c r="EO189" s="1704">
        <f t="shared" si="335"/>
        <v>0.6</v>
      </c>
      <c r="EP189" s="1689">
        <f t="shared" si="336"/>
        <v>0.7</v>
      </c>
      <c r="EQ189" s="1689">
        <f t="shared" si="337"/>
        <v>0.7</v>
      </c>
      <c r="ER189" s="1689">
        <f t="shared" si="338"/>
        <v>0.7</v>
      </c>
      <c r="ES189" s="1705">
        <f t="shared" si="339"/>
        <v>0</v>
      </c>
      <c r="ET189" s="1704">
        <f t="shared" si="340"/>
        <v>0</v>
      </c>
      <c r="EU189" s="1704">
        <f t="shared" si="341"/>
        <v>0</v>
      </c>
      <c r="EW189" s="1277" t="s">
        <v>945</v>
      </c>
      <c r="EX189" s="1211" t="s">
        <v>1837</v>
      </c>
      <c r="EY189" s="1278"/>
      <c r="EZ189" s="1814">
        <v>0</v>
      </c>
      <c r="FA189" s="1678"/>
      <c r="FB189" s="1678"/>
      <c r="FC189" s="1678"/>
      <c r="FD189" s="1678"/>
      <c r="FE189" s="1678"/>
      <c r="FF189" s="1681"/>
      <c r="FG189" s="1678"/>
      <c r="FH189" s="1678"/>
      <c r="FI189" s="1678"/>
      <c r="FJ189" s="1805"/>
      <c r="FK189" s="1681"/>
      <c r="FL189" s="1681"/>
    </row>
    <row r="190" spans="2:168">
      <c r="B190" s="2023" t="str">
        <f t="shared" si="274"/>
        <v>3.2.2</v>
      </c>
      <c r="C190" s="2011" t="str">
        <f t="shared" si="285"/>
        <v>砂塵の抑制</v>
      </c>
      <c r="D190" s="2022" t="e">
        <f t="shared" si="344"/>
        <v>#REF!</v>
      </c>
      <c r="E190" s="2022" t="e">
        <f t="shared" si="344"/>
        <v>#REF!</v>
      </c>
      <c r="G190" s="2021" t="e">
        <f t="shared" si="287"/>
        <v>#REF!</v>
      </c>
      <c r="H190" s="2021" t="e">
        <f t="shared" si="288"/>
        <v>#REF!</v>
      </c>
      <c r="I190" s="2021"/>
      <c r="J190" s="2021"/>
      <c r="K190" s="2021" t="e">
        <f>IF(#REF!=0,0,1)</f>
        <v>#REF!</v>
      </c>
      <c r="L190" s="2021" t="e">
        <f>IF(#REF!=0,0,1)</f>
        <v>#REF!</v>
      </c>
      <c r="M190" s="2021">
        <f t="shared" si="289"/>
        <v>0</v>
      </c>
      <c r="N190" s="2021">
        <f t="shared" si="343"/>
        <v>0</v>
      </c>
      <c r="P190" s="2020"/>
      <c r="Q190" s="2019"/>
      <c r="R190" s="993">
        <v>2</v>
      </c>
      <c r="S190" s="2034" t="s">
        <v>844</v>
      </c>
      <c r="T190" s="2036"/>
      <c r="U190" s="2017"/>
      <c r="V190" s="2038">
        <f t="shared" si="322"/>
        <v>0</v>
      </c>
      <c r="W190" s="2037">
        <f t="shared" si="323"/>
        <v>0</v>
      </c>
      <c r="Y190" s="1">
        <f t="shared" si="306"/>
        <v>0</v>
      </c>
      <c r="Z190" s="1">
        <f t="shared" si="307"/>
        <v>0</v>
      </c>
      <c r="AA190" s="1">
        <f t="shared" si="308"/>
        <v>0</v>
      </c>
      <c r="AB190" s="1">
        <f t="shared" si="309"/>
        <v>0</v>
      </c>
      <c r="AC190" s="1">
        <f t="shared" si="310"/>
        <v>0</v>
      </c>
      <c r="AD190" s="1">
        <f t="shared" si="311"/>
        <v>0</v>
      </c>
      <c r="AE190" s="1">
        <f t="shared" si="312"/>
        <v>0</v>
      </c>
      <c r="AF190" s="1">
        <f t="shared" si="313"/>
        <v>0</v>
      </c>
      <c r="AG190" s="1">
        <f t="shared" si="314"/>
        <v>0</v>
      </c>
      <c r="AH190" s="1">
        <f t="shared" si="315"/>
        <v>0</v>
      </c>
      <c r="AI190" s="1">
        <f t="shared" si="316"/>
        <v>0</v>
      </c>
      <c r="AJ190" s="1">
        <f t="shared" si="317"/>
        <v>0</v>
      </c>
      <c r="AK190" s="1">
        <f t="shared" si="318"/>
        <v>0</v>
      </c>
      <c r="AM190" s="1828"/>
      <c r="AN190" s="1828"/>
      <c r="AO190" s="1828"/>
      <c r="AP190" s="1828"/>
      <c r="AQ190" s="1828"/>
      <c r="AR190" s="1828"/>
      <c r="AS190" s="1828"/>
      <c r="AT190" s="1828"/>
      <c r="AU190" s="1828"/>
      <c r="AV190" s="1828"/>
      <c r="AW190" s="1828"/>
      <c r="AX190" s="1828"/>
      <c r="AY190" s="1828"/>
      <c r="BA190" s="2014"/>
      <c r="BB190" s="2014" t="e">
        <f t="shared" si="324"/>
        <v>#REF!</v>
      </c>
      <c r="BC190" s="2014"/>
      <c r="BD190" s="2013" t="e">
        <f>BR190*#REF!</f>
        <v>#REF!</v>
      </c>
      <c r="BE190" s="2013" t="e">
        <f>BS190*#REF!</f>
        <v>#REF!</v>
      </c>
      <c r="BF190" s="2013" t="e">
        <f>BT190*#REF!</f>
        <v>#REF!</v>
      </c>
      <c r="BG190" s="2013" t="e">
        <f>BU190*#REF!</f>
        <v>#REF!</v>
      </c>
      <c r="BH190" s="2013" t="e">
        <f>BV190*#REF!</f>
        <v>#REF!</v>
      </c>
      <c r="BI190" s="2013" t="e">
        <f>BW190*#REF!</f>
        <v>#REF!</v>
      </c>
      <c r="BJ190" s="2013" t="e">
        <f>BX190*#REF!</f>
        <v>#REF!</v>
      </c>
      <c r="BK190" s="2013" t="e">
        <f>BY190*#REF!</f>
        <v>#REF!</v>
      </c>
      <c r="BL190" s="2013" t="e">
        <f>BZ190*#REF!</f>
        <v>#REF!</v>
      </c>
      <c r="BM190" s="2013" t="e">
        <f>CA190*#REF!</f>
        <v>#REF!</v>
      </c>
      <c r="BO190" s="513" t="str">
        <f t="shared" si="290"/>
        <v>3.2.2</v>
      </c>
      <c r="BP190" s="2012" t="str">
        <f t="shared" si="291"/>
        <v>LR3 3.2</v>
      </c>
      <c r="BQ190" s="2011" t="str">
        <f t="shared" si="292"/>
        <v>砂塵の抑制</v>
      </c>
      <c r="BR190" s="2010">
        <f t="shared" si="293"/>
        <v>0</v>
      </c>
      <c r="BS190" s="2010">
        <f t="shared" si="294"/>
        <v>0</v>
      </c>
      <c r="BT190" s="2010">
        <f t="shared" si="295"/>
        <v>0</v>
      </c>
      <c r="BU190" s="2010">
        <f t="shared" si="296"/>
        <v>0</v>
      </c>
      <c r="BV190" s="2010">
        <f t="shared" si="297"/>
        <v>0</v>
      </c>
      <c r="BW190" s="2010">
        <f t="shared" si="298"/>
        <v>0</v>
      </c>
      <c r="BX190" s="2010">
        <f t="shared" si="299"/>
        <v>0.2</v>
      </c>
      <c r="BY190" s="2010">
        <f t="shared" si="300"/>
        <v>0</v>
      </c>
      <c r="BZ190" s="2010">
        <f t="shared" si="301"/>
        <v>0</v>
      </c>
      <c r="CA190" s="2010">
        <f t="shared" si="302"/>
        <v>0</v>
      </c>
      <c r="CB190" s="2009">
        <f t="shared" si="303"/>
        <v>0</v>
      </c>
      <c r="CC190" s="2008">
        <f t="shared" si="304"/>
        <v>0</v>
      </c>
      <c r="CD190" s="2008">
        <f t="shared" si="305"/>
        <v>0</v>
      </c>
      <c r="CF190" s="1277" t="s">
        <v>2138</v>
      </c>
      <c r="CG190" s="1211" t="s">
        <v>1838</v>
      </c>
      <c r="CH190" s="1278" t="s">
        <v>844</v>
      </c>
      <c r="CI190" s="1213"/>
      <c r="CJ190" s="1213"/>
      <c r="CK190" s="1213"/>
      <c r="CL190" s="1213"/>
      <c r="CM190" s="1213"/>
      <c r="CN190" s="1213"/>
      <c r="CO190" s="1226">
        <v>0.2</v>
      </c>
      <c r="CP190" s="1213"/>
      <c r="CQ190" s="1213"/>
      <c r="CR190" s="1213"/>
      <c r="CS190" s="1258"/>
      <c r="CT190" s="1257"/>
      <c r="CU190" s="1257"/>
      <c r="CW190" s="1277" t="s">
        <v>946</v>
      </c>
      <c r="CX190" s="1211" t="s">
        <v>1436</v>
      </c>
      <c r="CY190" s="1278" t="s">
        <v>844</v>
      </c>
      <c r="CZ190" s="1213"/>
      <c r="DA190" s="1213"/>
      <c r="DB190" s="1213"/>
      <c r="DC190" s="1213"/>
      <c r="DD190" s="1213"/>
      <c r="DE190" s="1213"/>
      <c r="DF190" s="1257">
        <v>0.2</v>
      </c>
      <c r="DG190" s="1213"/>
      <c r="DH190" s="1213"/>
      <c r="DI190" s="1213"/>
      <c r="DJ190" s="1258"/>
      <c r="DK190" s="1257"/>
      <c r="DL190" s="1257"/>
      <c r="DN190" s="1277" t="s">
        <v>946</v>
      </c>
      <c r="DO190" s="1211" t="s">
        <v>1436</v>
      </c>
      <c r="DP190" s="1278" t="s">
        <v>844</v>
      </c>
      <c r="DQ190" s="1213"/>
      <c r="DR190" s="1213"/>
      <c r="DS190" s="1213"/>
      <c r="DT190" s="1213"/>
      <c r="DU190" s="1213"/>
      <c r="DV190" s="1213"/>
      <c r="DW190" s="1257">
        <v>0.2</v>
      </c>
      <c r="DX190" s="1213"/>
      <c r="DY190" s="1213"/>
      <c r="DZ190" s="1213"/>
      <c r="EA190" s="1258"/>
      <c r="EB190" s="1257"/>
      <c r="EC190" s="1257"/>
      <c r="ED190" s="1472"/>
      <c r="EF190" s="1277" t="s">
        <v>946</v>
      </c>
      <c r="EG190" s="1211" t="s">
        <v>1436</v>
      </c>
      <c r="EH190" s="1278" t="s">
        <v>844</v>
      </c>
      <c r="EI190" s="1689">
        <f t="shared" si="329"/>
        <v>0</v>
      </c>
      <c r="EJ190" s="1689">
        <f t="shared" si="330"/>
        <v>0</v>
      </c>
      <c r="EK190" s="1689">
        <f t="shared" si="331"/>
        <v>0</v>
      </c>
      <c r="EL190" s="1689">
        <f t="shared" si="332"/>
        <v>0</v>
      </c>
      <c r="EM190" s="1689">
        <f t="shared" si="333"/>
        <v>0</v>
      </c>
      <c r="EN190" s="1689">
        <f t="shared" si="334"/>
        <v>0</v>
      </c>
      <c r="EO190" s="1704">
        <f t="shared" si="335"/>
        <v>0.2</v>
      </c>
      <c r="EP190" s="1689">
        <f t="shared" si="336"/>
        <v>0</v>
      </c>
      <c r="EQ190" s="1689">
        <f t="shared" si="337"/>
        <v>0</v>
      </c>
      <c r="ER190" s="1689">
        <f t="shared" si="338"/>
        <v>0</v>
      </c>
      <c r="ES190" s="1705">
        <f t="shared" si="339"/>
        <v>0</v>
      </c>
      <c r="ET190" s="1704">
        <f t="shared" si="340"/>
        <v>0</v>
      </c>
      <c r="EU190" s="1704">
        <f t="shared" si="341"/>
        <v>0</v>
      </c>
      <c r="EW190" s="1277" t="s">
        <v>946</v>
      </c>
      <c r="EX190" s="1211" t="s">
        <v>1436</v>
      </c>
      <c r="EY190" s="1278"/>
      <c r="EZ190" s="1678">
        <f>DQ190</f>
        <v>0</v>
      </c>
      <c r="FA190" s="1678"/>
      <c r="FB190" s="1678"/>
      <c r="FC190" s="1678"/>
      <c r="FD190" s="1678"/>
      <c r="FE190" s="1678"/>
      <c r="FF190" s="1681"/>
      <c r="FG190" s="1678"/>
      <c r="FH190" s="1678"/>
      <c r="FI190" s="1678"/>
      <c r="FJ190" s="1805"/>
      <c r="FK190" s="1681"/>
      <c r="FL190" s="1681"/>
    </row>
    <row r="191" spans="2:168" ht="14.25" thickBot="1">
      <c r="B191" s="2023" t="str">
        <f t="shared" si="274"/>
        <v>3.2.3</v>
      </c>
      <c r="C191" s="2011" t="str">
        <f t="shared" si="285"/>
        <v>日照阻害の抑制</v>
      </c>
      <c r="D191" s="2022" t="e">
        <f t="shared" si="344"/>
        <v>#REF!</v>
      </c>
      <c r="E191" s="2022" t="e">
        <f t="shared" si="344"/>
        <v>#REF!</v>
      </c>
      <c r="G191" s="2021" t="e">
        <f t="shared" si="287"/>
        <v>#REF!</v>
      </c>
      <c r="H191" s="2021" t="e">
        <f t="shared" si="288"/>
        <v>#REF!</v>
      </c>
      <c r="I191" s="2021"/>
      <c r="J191" s="2021"/>
      <c r="K191" s="2021" t="e">
        <f>IF(#REF!=0,0,1)</f>
        <v>#REF!</v>
      </c>
      <c r="L191" s="2021" t="e">
        <f>IF(#REF!=0,0,1)</f>
        <v>#REF!</v>
      </c>
      <c r="M191" s="2021">
        <f t="shared" si="289"/>
        <v>0.3</v>
      </c>
      <c r="N191" s="2021">
        <f t="shared" si="343"/>
        <v>0</v>
      </c>
      <c r="P191" s="2020"/>
      <c r="Q191" s="2019"/>
      <c r="R191" s="2018">
        <v>3</v>
      </c>
      <c r="S191" s="2034" t="s">
        <v>1620</v>
      </c>
      <c r="T191" s="2036"/>
      <c r="U191" s="2017"/>
      <c r="V191" s="2016">
        <f t="shared" si="322"/>
        <v>0</v>
      </c>
      <c r="W191" s="2015">
        <f t="shared" si="323"/>
        <v>0</v>
      </c>
      <c r="Y191" s="1">
        <f t="shared" si="306"/>
        <v>0</v>
      </c>
      <c r="Z191" s="1">
        <f t="shared" si="307"/>
        <v>0</v>
      </c>
      <c r="AA191" s="1">
        <f t="shared" si="308"/>
        <v>0</v>
      </c>
      <c r="AB191" s="1">
        <f t="shared" si="309"/>
        <v>0</v>
      </c>
      <c r="AC191" s="1">
        <f t="shared" si="310"/>
        <v>0</v>
      </c>
      <c r="AD191" s="1">
        <f t="shared" si="311"/>
        <v>0</v>
      </c>
      <c r="AE191" s="1">
        <f t="shared" si="312"/>
        <v>0</v>
      </c>
      <c r="AF191" s="1">
        <f t="shared" si="313"/>
        <v>0</v>
      </c>
      <c r="AG191" s="1">
        <f t="shared" si="314"/>
        <v>0</v>
      </c>
      <c r="AH191" s="1">
        <f t="shared" si="315"/>
        <v>0</v>
      </c>
      <c r="AI191" s="1">
        <f t="shared" si="316"/>
        <v>0</v>
      </c>
      <c r="AJ191" s="1">
        <f t="shared" si="317"/>
        <v>0</v>
      </c>
      <c r="AK191" s="1">
        <f t="shared" si="318"/>
        <v>0</v>
      </c>
      <c r="AM191" s="1828"/>
      <c r="AN191" s="1828"/>
      <c r="AO191" s="1828"/>
      <c r="AP191" s="1828"/>
      <c r="AQ191" s="1828"/>
      <c r="AR191" s="1828"/>
      <c r="AS191" s="1828"/>
      <c r="AT191" s="1828"/>
      <c r="AU191" s="1828"/>
      <c r="AV191" s="1828"/>
      <c r="AW191" s="1828"/>
      <c r="AX191" s="1828"/>
      <c r="AY191" s="1828"/>
      <c r="BA191" s="2014"/>
      <c r="BB191" s="2014" t="e">
        <f t="shared" si="324"/>
        <v>#REF!</v>
      </c>
      <c r="BC191" s="2014"/>
      <c r="BD191" s="2013" t="e">
        <f>BR191*#REF!</f>
        <v>#REF!</v>
      </c>
      <c r="BE191" s="2013" t="e">
        <f>BS191*#REF!</f>
        <v>#REF!</v>
      </c>
      <c r="BF191" s="2013" t="e">
        <f>BT191*#REF!</f>
        <v>#REF!</v>
      </c>
      <c r="BG191" s="2013" t="e">
        <f>BU191*#REF!</f>
        <v>#REF!</v>
      </c>
      <c r="BH191" s="2013" t="e">
        <f>BV191*#REF!</f>
        <v>#REF!</v>
      </c>
      <c r="BI191" s="2013" t="e">
        <f>BW191*#REF!</f>
        <v>#REF!</v>
      </c>
      <c r="BJ191" s="2013" t="e">
        <f>BX191*#REF!</f>
        <v>#REF!</v>
      </c>
      <c r="BK191" s="2013" t="e">
        <f>BY191*#REF!</f>
        <v>#REF!</v>
      </c>
      <c r="BL191" s="2013" t="e">
        <f>BZ191*#REF!</f>
        <v>#REF!</v>
      </c>
      <c r="BM191" s="2013" t="e">
        <f>CA191*#REF!</f>
        <v>#REF!</v>
      </c>
      <c r="BO191" s="513" t="str">
        <f t="shared" si="290"/>
        <v>3.2.3</v>
      </c>
      <c r="BP191" s="2012" t="str">
        <f t="shared" si="291"/>
        <v>LR3 3.2</v>
      </c>
      <c r="BQ191" s="2011" t="str">
        <f t="shared" si="292"/>
        <v>日照阻害の抑制</v>
      </c>
      <c r="BR191" s="2010">
        <f t="shared" si="293"/>
        <v>0.3</v>
      </c>
      <c r="BS191" s="2010">
        <f t="shared" si="294"/>
        <v>0.3</v>
      </c>
      <c r="BT191" s="2010">
        <f t="shared" si="295"/>
        <v>0.3</v>
      </c>
      <c r="BU191" s="2010">
        <f t="shared" si="296"/>
        <v>0.3</v>
      </c>
      <c r="BV191" s="2010">
        <f t="shared" si="297"/>
        <v>0.3</v>
      </c>
      <c r="BW191" s="2010">
        <f t="shared" si="298"/>
        <v>0.3</v>
      </c>
      <c r="BX191" s="2010">
        <f t="shared" si="299"/>
        <v>0.2</v>
      </c>
      <c r="BY191" s="2010">
        <f t="shared" si="300"/>
        <v>0.3</v>
      </c>
      <c r="BZ191" s="2010">
        <f t="shared" si="301"/>
        <v>0.3</v>
      </c>
      <c r="CA191" s="2010">
        <f t="shared" si="302"/>
        <v>0.3</v>
      </c>
      <c r="CB191" s="2009">
        <f t="shared" si="303"/>
        <v>0</v>
      </c>
      <c r="CC191" s="2008">
        <f t="shared" si="304"/>
        <v>0</v>
      </c>
      <c r="CD191" s="2008">
        <f t="shared" si="305"/>
        <v>0</v>
      </c>
      <c r="CF191" s="1277" t="s">
        <v>946</v>
      </c>
      <c r="CG191" s="1211" t="s">
        <v>1837</v>
      </c>
      <c r="CH191" s="1278" t="s">
        <v>1620</v>
      </c>
      <c r="CI191" s="1213">
        <v>0.3</v>
      </c>
      <c r="CJ191" s="1213">
        <v>0.3</v>
      </c>
      <c r="CK191" s="1213">
        <v>0.3</v>
      </c>
      <c r="CL191" s="1213">
        <v>0.3</v>
      </c>
      <c r="CM191" s="1213">
        <v>0.3</v>
      </c>
      <c r="CN191" s="1213">
        <v>0.3</v>
      </c>
      <c r="CO191" s="1226">
        <v>0.2</v>
      </c>
      <c r="CP191" s="1213">
        <v>0.3</v>
      </c>
      <c r="CQ191" s="1213">
        <v>0.3</v>
      </c>
      <c r="CR191" s="1213">
        <v>0.3</v>
      </c>
      <c r="CS191" s="1258"/>
      <c r="CT191" s="1257"/>
      <c r="CU191" s="1257"/>
      <c r="CW191" s="1277" t="s">
        <v>3119</v>
      </c>
      <c r="CX191" s="1211" t="s">
        <v>1837</v>
      </c>
      <c r="CY191" s="1278" t="s">
        <v>1620</v>
      </c>
      <c r="CZ191" s="1213">
        <v>0.3</v>
      </c>
      <c r="DA191" s="1213">
        <v>0.3</v>
      </c>
      <c r="DB191" s="1213">
        <v>0.3</v>
      </c>
      <c r="DC191" s="1213">
        <v>0.3</v>
      </c>
      <c r="DD191" s="1213">
        <v>0.3</v>
      </c>
      <c r="DE191" s="1213">
        <v>0.3</v>
      </c>
      <c r="DF191" s="1257">
        <v>0.2</v>
      </c>
      <c r="DG191" s="1213">
        <v>0.3</v>
      </c>
      <c r="DH191" s="1213">
        <v>0.3</v>
      </c>
      <c r="DI191" s="1213">
        <v>0.3</v>
      </c>
      <c r="DJ191" s="1258"/>
      <c r="DK191" s="1257"/>
      <c r="DL191" s="1257"/>
      <c r="DN191" s="1277" t="s">
        <v>947</v>
      </c>
      <c r="DO191" s="1211" t="s">
        <v>1837</v>
      </c>
      <c r="DP191" s="1278" t="s">
        <v>1620</v>
      </c>
      <c r="DQ191" s="1213">
        <v>0.3</v>
      </c>
      <c r="DR191" s="1213">
        <v>0.3</v>
      </c>
      <c r="DS191" s="1213">
        <v>0.3</v>
      </c>
      <c r="DT191" s="1213">
        <v>0.3</v>
      </c>
      <c r="DU191" s="1213">
        <v>0.3</v>
      </c>
      <c r="DV191" s="1213">
        <v>0.3</v>
      </c>
      <c r="DW191" s="1257">
        <v>0.2</v>
      </c>
      <c r="DX191" s="1213">
        <v>0.3</v>
      </c>
      <c r="DY191" s="1213">
        <v>0.3</v>
      </c>
      <c r="DZ191" s="1213">
        <v>0.3</v>
      </c>
      <c r="EA191" s="1258"/>
      <c r="EB191" s="1257"/>
      <c r="EC191" s="1257"/>
      <c r="ED191" s="1472"/>
      <c r="EF191" s="1277" t="s">
        <v>947</v>
      </c>
      <c r="EG191" s="1211" t="s">
        <v>1837</v>
      </c>
      <c r="EH191" s="1278" t="s">
        <v>1620</v>
      </c>
      <c r="EI191" s="1689">
        <f t="shared" si="329"/>
        <v>0.3</v>
      </c>
      <c r="EJ191" s="1689">
        <f t="shared" si="330"/>
        <v>0.3</v>
      </c>
      <c r="EK191" s="1689">
        <f t="shared" si="331"/>
        <v>0.3</v>
      </c>
      <c r="EL191" s="1689">
        <f t="shared" si="332"/>
        <v>0.3</v>
      </c>
      <c r="EM191" s="1689">
        <f t="shared" si="333"/>
        <v>0.3</v>
      </c>
      <c r="EN191" s="1689">
        <f t="shared" si="334"/>
        <v>0.3</v>
      </c>
      <c r="EO191" s="1704">
        <f t="shared" si="335"/>
        <v>0.2</v>
      </c>
      <c r="EP191" s="1689">
        <f t="shared" si="336"/>
        <v>0.3</v>
      </c>
      <c r="EQ191" s="1689">
        <f t="shared" si="337"/>
        <v>0.3</v>
      </c>
      <c r="ER191" s="1689">
        <f t="shared" si="338"/>
        <v>0.3</v>
      </c>
      <c r="ES191" s="1705">
        <f t="shared" si="339"/>
        <v>0</v>
      </c>
      <c r="ET191" s="1704">
        <f t="shared" si="340"/>
        <v>0</v>
      </c>
      <c r="EU191" s="1704">
        <f t="shared" si="341"/>
        <v>0</v>
      </c>
      <c r="EW191" s="1277" t="s">
        <v>947</v>
      </c>
      <c r="EX191" s="1211" t="s">
        <v>1837</v>
      </c>
      <c r="EY191" s="1278"/>
      <c r="EZ191" s="1814">
        <v>0</v>
      </c>
      <c r="FA191" s="1678"/>
      <c r="FB191" s="1678"/>
      <c r="FC191" s="1678"/>
      <c r="FD191" s="1678"/>
      <c r="FE191" s="1678"/>
      <c r="FF191" s="1681"/>
      <c r="FG191" s="1678"/>
      <c r="FH191" s="1678"/>
      <c r="FI191" s="1678"/>
      <c r="FJ191" s="1805"/>
      <c r="FK191" s="1681"/>
      <c r="FL191" s="1681"/>
    </row>
    <row r="192" spans="2:168" ht="14.25" thickBot="1">
      <c r="B192" s="2023" t="str">
        <f t="shared" si="274"/>
        <v>3.3</v>
      </c>
      <c r="C192" s="829" t="str">
        <f t="shared" si="285"/>
        <v>光害の抑制</v>
      </c>
      <c r="D192" s="2022" t="e">
        <f>IF(I$183=0,0,G192/I$183)</f>
        <v>#REF!</v>
      </c>
      <c r="E192" s="2022" t="e">
        <f>IF(J$183=0,0,H192/J$183)</f>
        <v>#REF!</v>
      </c>
      <c r="G192" s="2021" t="e">
        <f t="shared" si="287"/>
        <v>#REF!</v>
      </c>
      <c r="H192" s="2021" t="e">
        <f t="shared" si="288"/>
        <v>#REF!</v>
      </c>
      <c r="I192" s="2021" t="e">
        <f>SUM(G193:G194)</f>
        <v>#REF!</v>
      </c>
      <c r="J192" s="2021" t="e">
        <f>SUM(H193:H194)</f>
        <v>#REF!</v>
      </c>
      <c r="K192" s="2021" t="e">
        <f>IF(#REF!=0,0,1)</f>
        <v>#REF!</v>
      </c>
      <c r="L192" s="2021" t="e">
        <f>IF(#REF!=0,0,1)</f>
        <v>#REF!</v>
      </c>
      <c r="M192" s="2021">
        <f t="shared" si="289"/>
        <v>0.2</v>
      </c>
      <c r="N192" s="2021">
        <f t="shared" si="343"/>
        <v>0</v>
      </c>
      <c r="P192" s="2020"/>
      <c r="Q192" s="2035">
        <v>3.3</v>
      </c>
      <c r="R192" s="2034" t="s">
        <v>845</v>
      </c>
      <c r="S192" s="2033"/>
      <c r="T192" s="2032"/>
      <c r="U192" s="2017"/>
      <c r="V192" s="2031">
        <f t="shared" si="322"/>
        <v>0</v>
      </c>
      <c r="W192" s="2030">
        <f t="shared" si="323"/>
        <v>0</v>
      </c>
      <c r="Y192" s="1">
        <f t="shared" si="306"/>
        <v>0</v>
      </c>
      <c r="Z192" s="1">
        <f t="shared" si="307"/>
        <v>0</v>
      </c>
      <c r="AA192" s="1">
        <f t="shared" si="308"/>
        <v>0</v>
      </c>
      <c r="AB192" s="1">
        <f t="shared" si="309"/>
        <v>0</v>
      </c>
      <c r="AC192" s="1">
        <f t="shared" si="310"/>
        <v>0</v>
      </c>
      <c r="AD192" s="1">
        <f t="shared" si="311"/>
        <v>0</v>
      </c>
      <c r="AE192" s="1">
        <f t="shared" si="312"/>
        <v>0</v>
      </c>
      <c r="AF192" s="1">
        <f t="shared" si="313"/>
        <v>0</v>
      </c>
      <c r="AG192" s="1">
        <f t="shared" si="314"/>
        <v>0</v>
      </c>
      <c r="AH192" s="1">
        <f t="shared" si="315"/>
        <v>0</v>
      </c>
      <c r="AI192" s="1">
        <f t="shared" si="316"/>
        <v>0</v>
      </c>
      <c r="AJ192" s="1">
        <f t="shared" si="317"/>
        <v>0</v>
      </c>
      <c r="AK192" s="1">
        <f t="shared" si="318"/>
        <v>0</v>
      </c>
      <c r="AM192" s="2029" t="s">
        <v>3116</v>
      </c>
      <c r="AN192" s="2029" t="s">
        <v>177</v>
      </c>
      <c r="AO192" s="2029" t="s">
        <v>177</v>
      </c>
      <c r="AP192" s="2029" t="s">
        <v>177</v>
      </c>
      <c r="AQ192" s="2029" t="s">
        <v>3117</v>
      </c>
      <c r="AR192" s="2029" t="s">
        <v>177</v>
      </c>
      <c r="AS192" s="2029" t="s">
        <v>3117</v>
      </c>
      <c r="AT192" s="2029" t="s">
        <v>3118</v>
      </c>
      <c r="AU192" s="2029" t="s">
        <v>3117</v>
      </c>
      <c r="AV192" s="2029" t="s">
        <v>3117</v>
      </c>
      <c r="AW192" s="2029" t="s">
        <v>177</v>
      </c>
      <c r="AX192" s="2029" t="s">
        <v>177</v>
      </c>
      <c r="AY192" s="2029" t="s">
        <v>3116</v>
      </c>
      <c r="BA192" s="2028"/>
      <c r="BB192" s="2028" t="e">
        <f t="shared" si="324"/>
        <v>#REF!</v>
      </c>
      <c r="BC192" s="2028"/>
      <c r="BD192" s="2027" t="e">
        <f>BR192*#REF!</f>
        <v>#REF!</v>
      </c>
      <c r="BE192" s="2027" t="e">
        <f>BS192*#REF!</f>
        <v>#REF!</v>
      </c>
      <c r="BF192" s="2027" t="e">
        <f>BT192*#REF!</f>
        <v>#REF!</v>
      </c>
      <c r="BG192" s="2027" t="e">
        <f>BU192*#REF!</f>
        <v>#REF!</v>
      </c>
      <c r="BH192" s="2027" t="e">
        <f>BV192*#REF!</f>
        <v>#REF!</v>
      </c>
      <c r="BI192" s="2027" t="e">
        <f>BW192*#REF!</f>
        <v>#REF!</v>
      </c>
      <c r="BJ192" s="2027" t="e">
        <f>BX192*#REF!</f>
        <v>#REF!</v>
      </c>
      <c r="BK192" s="2027" t="e">
        <f>BY192*#REF!</f>
        <v>#REF!</v>
      </c>
      <c r="BL192" s="2027" t="e">
        <f>BZ192*#REF!</f>
        <v>#REF!</v>
      </c>
      <c r="BM192" s="2027" t="e">
        <f>CA192*#REF!</f>
        <v>#REF!</v>
      </c>
      <c r="BO192" s="2026" t="str">
        <f t="shared" si="290"/>
        <v>3.3</v>
      </c>
      <c r="BP192" s="2012" t="str">
        <f t="shared" si="291"/>
        <v>LR3 3</v>
      </c>
      <c r="BQ192" s="829" t="str">
        <f t="shared" si="292"/>
        <v>光害の抑制</v>
      </c>
      <c r="BR192" s="2008">
        <f t="shared" si="293"/>
        <v>0.2</v>
      </c>
      <c r="BS192" s="2008">
        <f t="shared" si="294"/>
        <v>0.2</v>
      </c>
      <c r="BT192" s="2008">
        <f t="shared" si="295"/>
        <v>0.2</v>
      </c>
      <c r="BU192" s="2008">
        <f t="shared" si="296"/>
        <v>0.2</v>
      </c>
      <c r="BV192" s="2008">
        <f t="shared" si="297"/>
        <v>0.2</v>
      </c>
      <c r="BW192" s="2008">
        <f t="shared" si="298"/>
        <v>0.2</v>
      </c>
      <c r="BX192" s="2008">
        <f t="shared" si="299"/>
        <v>0.2</v>
      </c>
      <c r="BY192" s="2008">
        <f t="shared" si="300"/>
        <v>0.2</v>
      </c>
      <c r="BZ192" s="2008">
        <f t="shared" si="301"/>
        <v>0.2</v>
      </c>
      <c r="CA192" s="2008">
        <f t="shared" si="302"/>
        <v>0.2</v>
      </c>
      <c r="CB192" s="2009">
        <f t="shared" si="303"/>
        <v>0</v>
      </c>
      <c r="CC192" s="2008">
        <f t="shared" si="304"/>
        <v>0</v>
      </c>
      <c r="CD192" s="2008">
        <f t="shared" si="305"/>
        <v>0</v>
      </c>
      <c r="CF192" s="1277" t="s">
        <v>1438</v>
      </c>
      <c r="CG192" s="1211" t="s">
        <v>2114</v>
      </c>
      <c r="CH192" s="1278" t="s">
        <v>1839</v>
      </c>
      <c r="CI192" s="1213">
        <v>0.2</v>
      </c>
      <c r="CJ192" s="1213">
        <v>0.2</v>
      </c>
      <c r="CK192" s="1213">
        <v>0.2</v>
      </c>
      <c r="CL192" s="1213">
        <v>0.2</v>
      </c>
      <c r="CM192" s="1213">
        <v>0.2</v>
      </c>
      <c r="CN192" s="1213">
        <v>0.2</v>
      </c>
      <c r="CO192" s="1257">
        <v>0.2</v>
      </c>
      <c r="CP192" s="1213">
        <v>0.2</v>
      </c>
      <c r="CQ192" s="1213">
        <v>0.2</v>
      </c>
      <c r="CR192" s="1213">
        <v>0.2</v>
      </c>
      <c r="CS192" s="1258"/>
      <c r="CT192" s="1257"/>
      <c r="CU192" s="1257"/>
      <c r="CW192" s="1277" t="s">
        <v>1438</v>
      </c>
      <c r="CX192" s="1211" t="s">
        <v>2114</v>
      </c>
      <c r="CY192" s="1278" t="s">
        <v>1839</v>
      </c>
      <c r="CZ192" s="1257">
        <v>0.2</v>
      </c>
      <c r="DA192" s="1257">
        <v>0.2</v>
      </c>
      <c r="DB192" s="1257">
        <v>0.2</v>
      </c>
      <c r="DC192" s="1257">
        <v>0.2</v>
      </c>
      <c r="DD192" s="1257">
        <v>0.2</v>
      </c>
      <c r="DE192" s="1257">
        <v>0.2</v>
      </c>
      <c r="DF192" s="1257">
        <v>0.2</v>
      </c>
      <c r="DG192" s="1257">
        <v>0.2</v>
      </c>
      <c r="DH192" s="1257">
        <v>0.2</v>
      </c>
      <c r="DI192" s="1257">
        <v>0.2</v>
      </c>
      <c r="DJ192" s="1258"/>
      <c r="DK192" s="1257"/>
      <c r="DL192" s="1257"/>
      <c r="DN192" s="1277" t="s">
        <v>3115</v>
      </c>
      <c r="DO192" s="1211" t="s">
        <v>2114</v>
      </c>
      <c r="DP192" s="1278" t="s">
        <v>1839</v>
      </c>
      <c r="DQ192" s="1257">
        <v>0.2</v>
      </c>
      <c r="DR192" s="1257">
        <v>0.2</v>
      </c>
      <c r="DS192" s="1257">
        <v>0.2</v>
      </c>
      <c r="DT192" s="1257">
        <v>0.2</v>
      </c>
      <c r="DU192" s="1257">
        <v>0.2</v>
      </c>
      <c r="DV192" s="1257">
        <v>0.2</v>
      </c>
      <c r="DW192" s="1257">
        <v>0.2</v>
      </c>
      <c r="DX192" s="1257">
        <v>0.2</v>
      </c>
      <c r="DY192" s="1257">
        <v>0.2</v>
      </c>
      <c r="DZ192" s="1257">
        <v>0.2</v>
      </c>
      <c r="EA192" s="1258"/>
      <c r="EB192" s="1257"/>
      <c r="EC192" s="1257"/>
      <c r="ED192" s="1472"/>
      <c r="EF192" s="1277" t="s">
        <v>1438</v>
      </c>
      <c r="EG192" s="1211" t="s">
        <v>2114</v>
      </c>
      <c r="EH192" s="1278" t="s">
        <v>1839</v>
      </c>
      <c r="EI192" s="1704">
        <f t="shared" si="329"/>
        <v>0.2</v>
      </c>
      <c r="EJ192" s="1704">
        <f t="shared" si="330"/>
        <v>0.2</v>
      </c>
      <c r="EK192" s="1704">
        <f t="shared" si="331"/>
        <v>0.2</v>
      </c>
      <c r="EL192" s="1704">
        <f t="shared" si="332"/>
        <v>0.2</v>
      </c>
      <c r="EM192" s="1704">
        <f t="shared" si="333"/>
        <v>0.2</v>
      </c>
      <c r="EN192" s="1704">
        <f t="shared" si="334"/>
        <v>0.2</v>
      </c>
      <c r="EO192" s="1704">
        <f t="shared" si="335"/>
        <v>0.2</v>
      </c>
      <c r="EP192" s="1704">
        <f t="shared" si="336"/>
        <v>0.2</v>
      </c>
      <c r="EQ192" s="1704">
        <f t="shared" si="337"/>
        <v>0.2</v>
      </c>
      <c r="ER192" s="1704">
        <f t="shared" si="338"/>
        <v>0.2</v>
      </c>
      <c r="ES192" s="1705">
        <f t="shared" si="339"/>
        <v>0</v>
      </c>
      <c r="ET192" s="1704">
        <f t="shared" si="340"/>
        <v>0</v>
      </c>
      <c r="EU192" s="1704">
        <f t="shared" si="341"/>
        <v>0</v>
      </c>
      <c r="EW192" s="1277" t="s">
        <v>1438</v>
      </c>
      <c r="EX192" s="1211" t="s">
        <v>2114</v>
      </c>
      <c r="EY192" s="1278"/>
      <c r="EZ192" s="1814">
        <v>0</v>
      </c>
      <c r="FA192" s="1681"/>
      <c r="FB192" s="1681"/>
      <c r="FC192" s="1681"/>
      <c r="FD192" s="1681"/>
      <c r="FE192" s="1681"/>
      <c r="FF192" s="1681"/>
      <c r="FG192" s="1681"/>
      <c r="FH192" s="1681"/>
      <c r="FI192" s="1681"/>
      <c r="FJ192" s="1805"/>
      <c r="FK192" s="1681"/>
      <c r="FL192" s="1681"/>
    </row>
    <row r="193" spans="2:168">
      <c r="B193" s="2023" t="str">
        <f t="shared" si="274"/>
        <v>3.3.1</v>
      </c>
      <c r="C193" s="2011" t="str">
        <f t="shared" si="285"/>
        <v>屋外照明及び屋内照明のうち外に漏れる光への対策</v>
      </c>
      <c r="D193" s="2022" t="e">
        <f>IF(I$192=0,0,G193/I$192)</f>
        <v>#REF!</v>
      </c>
      <c r="E193" s="2022" t="e">
        <f>IF(J$192=0,0,H193/J$192)</f>
        <v>#REF!</v>
      </c>
      <c r="G193" s="2021" t="e">
        <f t="shared" si="287"/>
        <v>#REF!</v>
      </c>
      <c r="H193" s="2021" t="e">
        <f t="shared" si="288"/>
        <v>#REF!</v>
      </c>
      <c r="I193" s="2021"/>
      <c r="J193" s="2021"/>
      <c r="K193" s="2021" t="e">
        <f>IF(#REF!=0,0,1)</f>
        <v>#REF!</v>
      </c>
      <c r="L193" s="2021" t="e">
        <f>IF(#REF!=0,0,1)</f>
        <v>#REF!</v>
      </c>
      <c r="M193" s="2021">
        <f t="shared" si="289"/>
        <v>0.7</v>
      </c>
      <c r="N193" s="2021">
        <f t="shared" si="343"/>
        <v>0</v>
      </c>
      <c r="P193" s="2020"/>
      <c r="Q193" s="2019"/>
      <c r="R193" s="993">
        <v>1</v>
      </c>
      <c r="S193" s="3118" t="s">
        <v>846</v>
      </c>
      <c r="T193" s="3117"/>
      <c r="U193" s="2017"/>
      <c r="V193" s="2025">
        <f t="shared" si="322"/>
        <v>0</v>
      </c>
      <c r="W193" s="2024">
        <f t="shared" si="323"/>
        <v>0</v>
      </c>
      <c r="Y193" s="1">
        <f t="shared" si="306"/>
        <v>0</v>
      </c>
      <c r="Z193" s="1">
        <f t="shared" si="307"/>
        <v>0</v>
      </c>
      <c r="AA193" s="1">
        <f t="shared" si="308"/>
        <v>0</v>
      </c>
      <c r="AB193" s="1">
        <f t="shared" si="309"/>
        <v>0</v>
      </c>
      <c r="AC193" s="1">
        <f t="shared" si="310"/>
        <v>0</v>
      </c>
      <c r="AD193" s="1">
        <f t="shared" si="311"/>
        <v>0</v>
      </c>
      <c r="AE193" s="1">
        <f t="shared" si="312"/>
        <v>0</v>
      </c>
      <c r="AF193" s="1">
        <f t="shared" si="313"/>
        <v>0</v>
      </c>
      <c r="AG193" s="1">
        <f t="shared" si="314"/>
        <v>0</v>
      </c>
      <c r="AH193" s="1">
        <f t="shared" si="315"/>
        <v>0</v>
      </c>
      <c r="AI193" s="1">
        <f t="shared" si="316"/>
        <v>0</v>
      </c>
      <c r="AJ193" s="1">
        <f t="shared" si="317"/>
        <v>0</v>
      </c>
      <c r="AK193" s="1">
        <f t="shared" si="318"/>
        <v>0</v>
      </c>
      <c r="AM193" s="1827"/>
      <c r="AN193" s="1827"/>
      <c r="AO193" s="1827"/>
      <c r="AP193" s="1827"/>
      <c r="AQ193" s="1827"/>
      <c r="AR193" s="1827"/>
      <c r="AS193" s="1827"/>
      <c r="AT193" s="1827"/>
      <c r="AU193" s="1827"/>
      <c r="AV193" s="1827"/>
      <c r="AW193" s="1827"/>
      <c r="AX193" s="1827"/>
      <c r="AY193" s="1827"/>
      <c r="BA193" s="2014"/>
      <c r="BB193" s="2014" t="e">
        <f t="shared" si="324"/>
        <v>#REF!</v>
      </c>
      <c r="BC193" s="2014"/>
      <c r="BD193" s="2013" t="e">
        <f>BR193*#REF!</f>
        <v>#REF!</v>
      </c>
      <c r="BE193" s="2013" t="e">
        <f>BS193*#REF!</f>
        <v>#REF!</v>
      </c>
      <c r="BF193" s="2013" t="e">
        <f>BT193*#REF!</f>
        <v>#REF!</v>
      </c>
      <c r="BG193" s="2013" t="e">
        <f>BU193*#REF!</f>
        <v>#REF!</v>
      </c>
      <c r="BH193" s="2013" t="e">
        <f>BV193*#REF!</f>
        <v>#REF!</v>
      </c>
      <c r="BI193" s="2013" t="e">
        <f>BW193*#REF!</f>
        <v>#REF!</v>
      </c>
      <c r="BJ193" s="2013" t="e">
        <f>BX193*#REF!</f>
        <v>#REF!</v>
      </c>
      <c r="BK193" s="2013" t="e">
        <f>BY193*#REF!</f>
        <v>#REF!</v>
      </c>
      <c r="BL193" s="2013" t="e">
        <f>BZ193*#REF!</f>
        <v>#REF!</v>
      </c>
      <c r="BM193" s="2013" t="e">
        <f>CA193*#REF!</f>
        <v>#REF!</v>
      </c>
      <c r="BO193" s="513" t="str">
        <f t="shared" si="290"/>
        <v>3.3.1</v>
      </c>
      <c r="BP193" s="2012" t="str">
        <f t="shared" si="291"/>
        <v>LR3 3.3</v>
      </c>
      <c r="BQ193" s="2011" t="str">
        <f t="shared" si="292"/>
        <v>屋外照明及び屋内照明のうち外に漏れる光への対策</v>
      </c>
      <c r="BR193" s="2010">
        <f t="shared" si="293"/>
        <v>0.7</v>
      </c>
      <c r="BS193" s="2010">
        <f t="shared" si="294"/>
        <v>0.7</v>
      </c>
      <c r="BT193" s="2010">
        <f t="shared" si="295"/>
        <v>0.7</v>
      </c>
      <c r="BU193" s="2010">
        <f t="shared" si="296"/>
        <v>0.7</v>
      </c>
      <c r="BV193" s="2010">
        <f t="shared" si="297"/>
        <v>0.7</v>
      </c>
      <c r="BW193" s="2010">
        <f t="shared" si="298"/>
        <v>0.7</v>
      </c>
      <c r="BX193" s="2010">
        <f t="shared" si="299"/>
        <v>0.7</v>
      </c>
      <c r="BY193" s="2010">
        <f t="shared" si="300"/>
        <v>0.7</v>
      </c>
      <c r="BZ193" s="2010">
        <f t="shared" si="301"/>
        <v>0.7</v>
      </c>
      <c r="CA193" s="2010">
        <f t="shared" si="302"/>
        <v>0.7</v>
      </c>
      <c r="CB193" s="2009">
        <f t="shared" si="303"/>
        <v>0</v>
      </c>
      <c r="CC193" s="2008">
        <f t="shared" si="304"/>
        <v>0</v>
      </c>
      <c r="CD193" s="2008">
        <f t="shared" si="305"/>
        <v>0</v>
      </c>
      <c r="CF193" s="1277" t="s">
        <v>1158</v>
      </c>
      <c r="CG193" s="1211" t="s">
        <v>1838</v>
      </c>
      <c r="CH193" s="1278" t="s">
        <v>1440</v>
      </c>
      <c r="CI193" s="1257">
        <v>0.7</v>
      </c>
      <c r="CJ193" s="1257">
        <v>0.7</v>
      </c>
      <c r="CK193" s="1257">
        <v>0.7</v>
      </c>
      <c r="CL193" s="1257">
        <v>0.7</v>
      </c>
      <c r="CM193" s="1257">
        <v>0.7</v>
      </c>
      <c r="CN193" s="1257">
        <v>0.7</v>
      </c>
      <c r="CO193" s="1213">
        <v>0.7</v>
      </c>
      <c r="CP193" s="1257">
        <v>0.7</v>
      </c>
      <c r="CQ193" s="1257">
        <v>0.7</v>
      </c>
      <c r="CR193" s="1257">
        <v>0.7</v>
      </c>
      <c r="CS193" s="1258"/>
      <c r="CT193" s="1257"/>
      <c r="CU193" s="1257"/>
      <c r="CW193" s="1277" t="s">
        <v>1158</v>
      </c>
      <c r="CX193" s="1211" t="s">
        <v>1838</v>
      </c>
      <c r="CY193" s="1278" t="s">
        <v>1440</v>
      </c>
      <c r="CZ193" s="1213">
        <v>0.7</v>
      </c>
      <c r="DA193" s="1213">
        <v>0.7</v>
      </c>
      <c r="DB193" s="1213">
        <v>0.7</v>
      </c>
      <c r="DC193" s="1213">
        <v>0.7</v>
      </c>
      <c r="DD193" s="1213">
        <v>0.7</v>
      </c>
      <c r="DE193" s="1213">
        <v>0.7</v>
      </c>
      <c r="DF193" s="1213">
        <v>0.7</v>
      </c>
      <c r="DG193" s="1213">
        <v>0.7</v>
      </c>
      <c r="DH193" s="1213">
        <v>0.7</v>
      </c>
      <c r="DI193" s="1213">
        <v>0.7</v>
      </c>
      <c r="DJ193" s="1258"/>
      <c r="DK193" s="1257"/>
      <c r="DL193" s="1257"/>
      <c r="DN193" s="1277" t="s">
        <v>1158</v>
      </c>
      <c r="DO193" s="1211" t="s">
        <v>1838</v>
      </c>
      <c r="DP193" s="1278" t="s">
        <v>1440</v>
      </c>
      <c r="DQ193" s="1213">
        <v>0.7</v>
      </c>
      <c r="DR193" s="1213">
        <v>0.7</v>
      </c>
      <c r="DS193" s="1213">
        <v>0.7</v>
      </c>
      <c r="DT193" s="1213">
        <v>0.7</v>
      </c>
      <c r="DU193" s="1213">
        <v>0.7</v>
      </c>
      <c r="DV193" s="1213">
        <v>0.7</v>
      </c>
      <c r="DW193" s="1213">
        <v>0.7</v>
      </c>
      <c r="DX193" s="1213">
        <v>0.7</v>
      </c>
      <c r="DY193" s="1213">
        <v>0.7</v>
      </c>
      <c r="DZ193" s="1213">
        <v>0.7</v>
      </c>
      <c r="EA193" s="1258"/>
      <c r="EB193" s="1257"/>
      <c r="EC193" s="1257"/>
      <c r="ED193" s="1472"/>
      <c r="EF193" s="1277" t="s">
        <v>1158</v>
      </c>
      <c r="EG193" s="1211" t="s">
        <v>1838</v>
      </c>
      <c r="EH193" s="1278" t="s">
        <v>1440</v>
      </c>
      <c r="EI193" s="1689">
        <f t="shared" si="329"/>
        <v>0.7</v>
      </c>
      <c r="EJ193" s="1689">
        <f t="shared" si="330"/>
        <v>0.7</v>
      </c>
      <c r="EK193" s="1689">
        <f t="shared" si="331"/>
        <v>0.7</v>
      </c>
      <c r="EL193" s="1689">
        <f t="shared" si="332"/>
        <v>0.7</v>
      </c>
      <c r="EM193" s="1689">
        <f t="shared" si="333"/>
        <v>0.7</v>
      </c>
      <c r="EN193" s="1689">
        <f t="shared" si="334"/>
        <v>0.7</v>
      </c>
      <c r="EO193" s="1689">
        <f t="shared" si="335"/>
        <v>0.7</v>
      </c>
      <c r="EP193" s="1689">
        <f t="shared" si="336"/>
        <v>0.7</v>
      </c>
      <c r="EQ193" s="1689">
        <f t="shared" si="337"/>
        <v>0.7</v>
      </c>
      <c r="ER193" s="1689">
        <f t="shared" si="338"/>
        <v>0.7</v>
      </c>
      <c r="ES193" s="1705">
        <f t="shared" si="339"/>
        <v>0</v>
      </c>
      <c r="ET193" s="1704">
        <f t="shared" si="340"/>
        <v>0</v>
      </c>
      <c r="EU193" s="1704">
        <f t="shared" si="341"/>
        <v>0</v>
      </c>
      <c r="EW193" s="1277" t="s">
        <v>1158</v>
      </c>
      <c r="EX193" s="1211" t="s">
        <v>1838</v>
      </c>
      <c r="EY193" s="1278"/>
      <c r="EZ193" s="1814">
        <v>0</v>
      </c>
      <c r="FA193" s="1678"/>
      <c r="FB193" s="1678"/>
      <c r="FC193" s="1678"/>
      <c r="FD193" s="1678"/>
      <c r="FE193" s="1678"/>
      <c r="FF193" s="1678"/>
      <c r="FG193" s="1678"/>
      <c r="FH193" s="1678"/>
      <c r="FI193" s="1678"/>
      <c r="FJ193" s="1805"/>
      <c r="FK193" s="1681"/>
      <c r="FL193" s="1681"/>
    </row>
    <row r="194" spans="2:168" ht="14.25" thickBot="1">
      <c r="B194" s="2023" t="str">
        <f t="shared" si="274"/>
        <v>3.3.2</v>
      </c>
      <c r="C194" s="2011" t="str">
        <f t="shared" si="285"/>
        <v>昼光の建物外壁による反射光（グレア）への対策</v>
      </c>
      <c r="D194" s="2022" t="e">
        <f>IF(I$192=0,0,G194/I$192)</f>
        <v>#REF!</v>
      </c>
      <c r="E194" s="2022" t="e">
        <f>IF(J$192=0,0,H194/J$192)</f>
        <v>#REF!</v>
      </c>
      <c r="G194" s="2021" t="e">
        <f t="shared" si="287"/>
        <v>#REF!</v>
      </c>
      <c r="H194" s="2021" t="e">
        <f t="shared" si="288"/>
        <v>#REF!</v>
      </c>
      <c r="I194" s="2021"/>
      <c r="J194" s="2021"/>
      <c r="K194" s="2021" t="e">
        <f>IF(#REF!=0,0,1)</f>
        <v>#REF!</v>
      </c>
      <c r="L194" s="2021" t="e">
        <f>IF(#REF!=0,0,1)</f>
        <v>#REF!</v>
      </c>
      <c r="M194" s="2021">
        <f t="shared" si="289"/>
        <v>0.3</v>
      </c>
      <c r="N194" s="2021">
        <f t="shared" si="343"/>
        <v>0</v>
      </c>
      <c r="P194" s="2020"/>
      <c r="Q194" s="2019"/>
      <c r="R194" s="2018">
        <v>2</v>
      </c>
      <c r="S194" s="3119" t="s">
        <v>2000</v>
      </c>
      <c r="T194" s="3120"/>
      <c r="U194" s="2017"/>
      <c r="V194" s="2016">
        <f t="shared" si="322"/>
        <v>0</v>
      </c>
      <c r="W194" s="2015">
        <f t="shared" si="323"/>
        <v>0</v>
      </c>
      <c r="Y194" s="1">
        <f t="shared" si="306"/>
        <v>0</v>
      </c>
      <c r="Z194" s="1">
        <f t="shared" si="307"/>
        <v>0</v>
      </c>
      <c r="AA194" s="1">
        <f t="shared" si="308"/>
        <v>0</v>
      </c>
      <c r="AB194" s="1">
        <f t="shared" si="309"/>
        <v>0</v>
      </c>
      <c r="AC194" s="1">
        <f t="shared" si="310"/>
        <v>0</v>
      </c>
      <c r="AD194" s="1">
        <f t="shared" si="311"/>
        <v>0</v>
      </c>
      <c r="AE194" s="1">
        <f t="shared" si="312"/>
        <v>0</v>
      </c>
      <c r="AF194" s="1">
        <f t="shared" si="313"/>
        <v>0</v>
      </c>
      <c r="AG194" s="1">
        <f t="shared" si="314"/>
        <v>0</v>
      </c>
      <c r="AH194" s="1">
        <f t="shared" si="315"/>
        <v>0</v>
      </c>
      <c r="AI194" s="1">
        <f t="shared" si="316"/>
        <v>0</v>
      </c>
      <c r="AJ194" s="1">
        <f t="shared" si="317"/>
        <v>0</v>
      </c>
      <c r="AK194" s="1">
        <f t="shared" si="318"/>
        <v>0</v>
      </c>
      <c r="AM194" s="1831"/>
      <c r="AN194" s="1831"/>
      <c r="AO194" s="1831"/>
      <c r="AP194" s="1831"/>
      <c r="AQ194" s="1831"/>
      <c r="AR194" s="1831"/>
      <c r="AS194" s="1831"/>
      <c r="AT194" s="1831"/>
      <c r="AU194" s="1831"/>
      <c r="AV194" s="1831"/>
      <c r="AW194" s="1831"/>
      <c r="AX194" s="1831"/>
      <c r="AY194" s="1831"/>
      <c r="BA194" s="2014"/>
      <c r="BB194" s="2014" t="e">
        <f t="shared" si="324"/>
        <v>#REF!</v>
      </c>
      <c r="BC194" s="2014"/>
      <c r="BD194" s="2013" t="e">
        <f>BR194*#REF!</f>
        <v>#REF!</v>
      </c>
      <c r="BE194" s="2013" t="e">
        <f>BS194*#REF!</f>
        <v>#REF!</v>
      </c>
      <c r="BF194" s="2013" t="e">
        <f>BT194*#REF!</f>
        <v>#REF!</v>
      </c>
      <c r="BG194" s="2013" t="e">
        <f>BU194*#REF!</f>
        <v>#REF!</v>
      </c>
      <c r="BH194" s="2013" t="e">
        <f>BV194*#REF!</f>
        <v>#REF!</v>
      </c>
      <c r="BI194" s="2013" t="e">
        <f>BW194*#REF!</f>
        <v>#REF!</v>
      </c>
      <c r="BJ194" s="2013" t="e">
        <f>BX194*#REF!</f>
        <v>#REF!</v>
      </c>
      <c r="BK194" s="2013" t="e">
        <f>BY194*#REF!</f>
        <v>#REF!</v>
      </c>
      <c r="BL194" s="2013" t="e">
        <f>BZ194*#REF!</f>
        <v>#REF!</v>
      </c>
      <c r="BM194" s="2013" t="e">
        <f>CA194*#REF!</f>
        <v>#REF!</v>
      </c>
      <c r="BO194" s="513" t="str">
        <f t="shared" si="290"/>
        <v>3.3.2</v>
      </c>
      <c r="BP194" s="2012" t="str">
        <f t="shared" si="291"/>
        <v>LR3 3.3</v>
      </c>
      <c r="BQ194" s="2011" t="str">
        <f t="shared" si="292"/>
        <v>昼光の建物外壁による反射光（グレア）への対策</v>
      </c>
      <c r="BR194" s="2010">
        <f t="shared" si="293"/>
        <v>0.3</v>
      </c>
      <c r="BS194" s="2010">
        <f t="shared" si="294"/>
        <v>0.3</v>
      </c>
      <c r="BT194" s="2010">
        <f t="shared" si="295"/>
        <v>0.3</v>
      </c>
      <c r="BU194" s="2010">
        <f t="shared" si="296"/>
        <v>0.3</v>
      </c>
      <c r="BV194" s="2010">
        <f t="shared" si="297"/>
        <v>0.3</v>
      </c>
      <c r="BW194" s="2010">
        <f t="shared" si="298"/>
        <v>0.3</v>
      </c>
      <c r="BX194" s="2010">
        <f t="shared" si="299"/>
        <v>0.3</v>
      </c>
      <c r="BY194" s="2010">
        <f t="shared" si="300"/>
        <v>0.3</v>
      </c>
      <c r="BZ194" s="2010">
        <f t="shared" si="301"/>
        <v>0.3</v>
      </c>
      <c r="CA194" s="2010">
        <f t="shared" si="302"/>
        <v>0.3</v>
      </c>
      <c r="CB194" s="2009">
        <f t="shared" si="303"/>
        <v>0</v>
      </c>
      <c r="CC194" s="2008">
        <f t="shared" si="304"/>
        <v>0</v>
      </c>
      <c r="CD194" s="2008">
        <f t="shared" si="305"/>
        <v>0</v>
      </c>
      <c r="CF194" s="1277" t="s">
        <v>1159</v>
      </c>
      <c r="CG194" s="1211" t="s">
        <v>1838</v>
      </c>
      <c r="CH194" s="1278" t="s">
        <v>2464</v>
      </c>
      <c r="CI194" s="1213">
        <v>0.3</v>
      </c>
      <c r="CJ194" s="1213">
        <v>0.3</v>
      </c>
      <c r="CK194" s="1213">
        <v>0.3</v>
      </c>
      <c r="CL194" s="1213">
        <v>0.3</v>
      </c>
      <c r="CM194" s="1213">
        <v>0.3</v>
      </c>
      <c r="CN194" s="1213">
        <v>0.3</v>
      </c>
      <c r="CO194" s="1213">
        <v>0.3</v>
      </c>
      <c r="CP194" s="1213">
        <v>0.3</v>
      </c>
      <c r="CQ194" s="1213">
        <v>0.3</v>
      </c>
      <c r="CR194" s="1213">
        <v>0.3</v>
      </c>
      <c r="CS194" s="1258"/>
      <c r="CT194" s="1257"/>
      <c r="CU194" s="1257"/>
      <c r="CW194" s="1277" t="s">
        <v>1159</v>
      </c>
      <c r="CX194" s="1211" t="s">
        <v>1838</v>
      </c>
      <c r="CY194" s="1278" t="s">
        <v>2464</v>
      </c>
      <c r="CZ194" s="1213">
        <v>0.3</v>
      </c>
      <c r="DA194" s="1213">
        <v>0.3</v>
      </c>
      <c r="DB194" s="1213">
        <v>0.3</v>
      </c>
      <c r="DC194" s="1213">
        <v>0.3</v>
      </c>
      <c r="DD194" s="1213">
        <v>0.3</v>
      </c>
      <c r="DE194" s="1213">
        <v>0.3</v>
      </c>
      <c r="DF194" s="1213">
        <v>0.3</v>
      </c>
      <c r="DG194" s="1213">
        <v>0.3</v>
      </c>
      <c r="DH194" s="1213">
        <v>0.3</v>
      </c>
      <c r="DI194" s="1213">
        <v>0.3</v>
      </c>
      <c r="DJ194" s="1258"/>
      <c r="DK194" s="1257"/>
      <c r="DL194" s="1257"/>
      <c r="DN194" s="1277" t="s">
        <v>3114</v>
      </c>
      <c r="DO194" s="1211" t="s">
        <v>1838</v>
      </c>
      <c r="DP194" s="1278" t="s">
        <v>2464</v>
      </c>
      <c r="DQ194" s="1213">
        <v>0.3</v>
      </c>
      <c r="DR194" s="1213">
        <v>0.3</v>
      </c>
      <c r="DS194" s="1213">
        <v>0.3</v>
      </c>
      <c r="DT194" s="1213">
        <v>0.3</v>
      </c>
      <c r="DU194" s="1213">
        <v>0.3</v>
      </c>
      <c r="DV194" s="1213">
        <v>0.3</v>
      </c>
      <c r="DW194" s="1213">
        <v>0.3</v>
      </c>
      <c r="DX194" s="1213">
        <v>0.3</v>
      </c>
      <c r="DY194" s="1213">
        <v>0.3</v>
      </c>
      <c r="DZ194" s="1213">
        <v>0.3</v>
      </c>
      <c r="EA194" s="1258"/>
      <c r="EB194" s="1257"/>
      <c r="EC194" s="1257"/>
      <c r="ED194" s="1472"/>
      <c r="EF194" s="1277" t="s">
        <v>1159</v>
      </c>
      <c r="EG194" s="1211" t="s">
        <v>1838</v>
      </c>
      <c r="EH194" s="1278" t="s">
        <v>2464</v>
      </c>
      <c r="EI194" s="1689">
        <f t="shared" si="329"/>
        <v>0.3</v>
      </c>
      <c r="EJ194" s="1689">
        <f t="shared" si="330"/>
        <v>0.3</v>
      </c>
      <c r="EK194" s="1689">
        <f t="shared" si="331"/>
        <v>0.3</v>
      </c>
      <c r="EL194" s="1689">
        <f t="shared" si="332"/>
        <v>0.3</v>
      </c>
      <c r="EM194" s="1689">
        <f t="shared" si="333"/>
        <v>0.3</v>
      </c>
      <c r="EN194" s="1689">
        <f t="shared" si="334"/>
        <v>0.3</v>
      </c>
      <c r="EO194" s="1689">
        <f t="shared" si="335"/>
        <v>0.3</v>
      </c>
      <c r="EP194" s="1689">
        <f t="shared" si="336"/>
        <v>0.3</v>
      </c>
      <c r="EQ194" s="1689">
        <f t="shared" si="337"/>
        <v>0.3</v>
      </c>
      <c r="ER194" s="1689">
        <f t="shared" si="338"/>
        <v>0.3</v>
      </c>
      <c r="ES194" s="1705">
        <f t="shared" si="339"/>
        <v>0</v>
      </c>
      <c r="ET194" s="1704">
        <f t="shared" si="340"/>
        <v>0</v>
      </c>
      <c r="EU194" s="1704">
        <f t="shared" si="341"/>
        <v>0</v>
      </c>
      <c r="EW194" s="1277" t="s">
        <v>1159</v>
      </c>
      <c r="EX194" s="1211" t="s">
        <v>1838</v>
      </c>
      <c r="EY194" s="1278"/>
      <c r="EZ194" s="1814">
        <v>0</v>
      </c>
      <c r="FA194" s="1678"/>
      <c r="FB194" s="1678"/>
      <c r="FC194" s="1678"/>
      <c r="FD194" s="1678"/>
      <c r="FE194" s="1678"/>
      <c r="FF194" s="1678"/>
      <c r="FG194" s="1678"/>
      <c r="FH194" s="1678"/>
      <c r="FI194" s="1678"/>
      <c r="FJ194" s="1805"/>
      <c r="FK194" s="1681"/>
      <c r="FL194" s="1681"/>
    </row>
    <row r="195" spans="2:168">
      <c r="D195" s="2007"/>
      <c r="E195" s="2006"/>
      <c r="G195" s="2006"/>
      <c r="H195" s="2006"/>
      <c r="I195" s="2006"/>
      <c r="J195" s="2006"/>
      <c r="K195" s="2006"/>
      <c r="L195" s="2006"/>
      <c r="M195" s="2006"/>
      <c r="N195" s="2006"/>
      <c r="P195" s="1522"/>
      <c r="Q195" s="1522"/>
      <c r="R195" s="1522"/>
      <c r="S195" s="1522"/>
      <c r="T195" s="1522"/>
      <c r="BO195" s="2005"/>
      <c r="BP195" s="2005"/>
    </row>
    <row r="196" spans="2:168" hidden="1">
      <c r="D196" s="2007"/>
      <c r="E196" s="2006"/>
      <c r="G196" s="2006"/>
      <c r="H196" s="2006"/>
      <c r="I196" s="2006"/>
      <c r="J196" s="2006"/>
      <c r="K196" s="2006"/>
      <c r="L196" s="2006"/>
      <c r="M196" s="2006"/>
      <c r="N196" s="2006"/>
      <c r="BO196" s="2005"/>
      <c r="BP196" s="2005"/>
    </row>
    <row r="197" spans="2:168" hidden="1">
      <c r="D197" s="2007"/>
      <c r="E197" s="2006"/>
      <c r="G197" s="2006"/>
      <c r="H197" s="2006"/>
      <c r="I197" s="2006"/>
      <c r="J197" s="2006"/>
      <c r="K197" s="2006"/>
      <c r="L197" s="2006"/>
      <c r="M197" s="2006"/>
      <c r="N197" s="2006"/>
      <c r="BO197" s="2005"/>
      <c r="BP197" s="2005"/>
    </row>
    <row r="198" spans="2:168" hidden="1">
      <c r="D198" s="2007"/>
      <c r="E198" s="2006"/>
      <c r="G198" s="2006"/>
      <c r="H198" s="2006"/>
      <c r="I198" s="2006"/>
      <c r="J198" s="2006"/>
      <c r="K198" s="2006"/>
      <c r="L198" s="2006"/>
      <c r="M198" s="2006"/>
      <c r="N198" s="2006"/>
      <c r="BO198" s="2005"/>
      <c r="BP198" s="2005"/>
    </row>
    <row r="199" spans="2:168" hidden="1">
      <c r="D199" s="2007"/>
      <c r="E199" s="2006"/>
      <c r="G199" s="2006"/>
      <c r="H199" s="2006"/>
      <c r="I199" s="2006"/>
      <c r="J199" s="2006"/>
      <c r="K199" s="2006"/>
      <c r="L199" s="2006"/>
      <c r="M199" s="2006"/>
      <c r="N199" s="2006"/>
      <c r="BO199" s="2005"/>
      <c r="BP199" s="2005"/>
    </row>
    <row r="200" spans="2:168" hidden="1">
      <c r="D200" s="2007"/>
      <c r="E200" s="2006"/>
      <c r="G200" s="2006"/>
      <c r="H200" s="2006"/>
      <c r="I200" s="2006"/>
      <c r="J200" s="2006"/>
      <c r="K200" s="2006"/>
      <c r="L200" s="2006"/>
      <c r="M200" s="2006"/>
      <c r="N200" s="2006"/>
      <c r="BO200" s="2005"/>
      <c r="BP200" s="2005"/>
    </row>
    <row r="201" spans="2:168" hidden="1">
      <c r="D201" s="2007"/>
      <c r="E201" s="2006"/>
      <c r="G201" s="2006"/>
      <c r="H201" s="2006"/>
      <c r="I201" s="2006"/>
      <c r="J201" s="2006"/>
      <c r="K201" s="2006"/>
      <c r="L201" s="2006"/>
      <c r="M201" s="2006"/>
      <c r="N201" s="2006"/>
      <c r="BO201" s="2005"/>
      <c r="BP201" s="2005"/>
    </row>
    <row r="202" spans="2:168" hidden="1">
      <c r="D202" s="2007"/>
      <c r="E202" s="2006"/>
      <c r="G202" s="2006"/>
      <c r="H202" s="2006"/>
      <c r="I202" s="2006"/>
      <c r="J202" s="2006"/>
      <c r="K202" s="2006"/>
      <c r="L202" s="2006"/>
      <c r="M202" s="2006"/>
      <c r="N202" s="2006"/>
      <c r="BO202" s="2005"/>
      <c r="BP202" s="2005"/>
    </row>
    <row r="203" spans="2:168" hidden="1">
      <c r="D203" s="2007"/>
      <c r="E203" s="2006"/>
      <c r="G203" s="2006"/>
      <c r="H203" s="2006"/>
      <c r="I203" s="2006"/>
      <c r="J203" s="2006"/>
      <c r="K203" s="2006"/>
      <c r="L203" s="2006"/>
      <c r="M203" s="2006"/>
      <c r="N203" s="2006"/>
      <c r="BO203" s="2005"/>
      <c r="BP203" s="2005"/>
    </row>
    <row r="204" spans="2:168" hidden="1">
      <c r="D204" s="2007"/>
      <c r="E204" s="2006"/>
      <c r="G204" s="2006"/>
      <c r="H204" s="2006"/>
      <c r="I204" s="2006"/>
      <c r="J204" s="2006"/>
      <c r="K204" s="2006"/>
      <c r="L204" s="2006"/>
      <c r="M204" s="2006"/>
      <c r="N204" s="2006"/>
      <c r="BO204" s="2005"/>
      <c r="BP204" s="2005"/>
    </row>
    <row r="205" spans="2:168" hidden="1">
      <c r="D205" s="2007"/>
      <c r="E205" s="2006"/>
      <c r="G205" s="2006"/>
      <c r="H205" s="2006"/>
      <c r="I205" s="2006"/>
      <c r="J205" s="2006"/>
      <c r="K205" s="2006"/>
      <c r="L205" s="2006"/>
      <c r="M205" s="2006"/>
      <c r="N205" s="2006"/>
      <c r="BO205" s="2005"/>
      <c r="BP205" s="2005"/>
    </row>
    <row r="206" spans="2:168" hidden="1">
      <c r="D206" s="2007"/>
      <c r="E206" s="2006"/>
      <c r="G206" s="2006"/>
      <c r="H206" s="2006"/>
      <c r="I206" s="2006"/>
      <c r="J206" s="2006"/>
      <c r="K206" s="2006"/>
      <c r="L206" s="2006"/>
      <c r="M206" s="2006"/>
      <c r="N206" s="2006"/>
      <c r="BO206" s="2005"/>
      <c r="BP206" s="2005"/>
    </row>
    <row r="207" spans="2:168" hidden="1">
      <c r="D207" s="2007"/>
      <c r="E207" s="2006"/>
      <c r="G207" s="2006"/>
      <c r="H207" s="2006"/>
      <c r="I207" s="2006"/>
      <c r="J207" s="2006"/>
      <c r="K207" s="2006"/>
      <c r="L207" s="2006"/>
      <c r="M207" s="2006"/>
      <c r="N207" s="2006"/>
      <c r="BO207" s="2005"/>
      <c r="BP207" s="2005"/>
    </row>
    <row r="208" spans="2:168" hidden="1">
      <c r="D208" s="2007"/>
      <c r="E208" s="2006"/>
      <c r="G208" s="2006"/>
      <c r="H208" s="2006"/>
      <c r="I208" s="2006"/>
      <c r="J208" s="2006"/>
      <c r="K208" s="2006"/>
      <c r="L208" s="2006"/>
      <c r="M208" s="2006"/>
      <c r="N208" s="2006"/>
      <c r="BO208" s="2005"/>
      <c r="BP208" s="2005"/>
    </row>
    <row r="209" spans="4:68" hidden="1">
      <c r="D209" s="2007"/>
      <c r="E209" s="2006"/>
      <c r="G209" s="2006"/>
      <c r="H209" s="2006"/>
      <c r="I209" s="2006"/>
      <c r="J209" s="2006"/>
      <c r="K209" s="2006"/>
      <c r="L209" s="2006"/>
      <c r="M209" s="2006"/>
      <c r="N209" s="2006"/>
      <c r="BO209" s="2005"/>
      <c r="BP209" s="2005"/>
    </row>
    <row r="210" spans="4:68" hidden="1">
      <c r="D210" s="2007"/>
      <c r="E210" s="2006"/>
      <c r="G210" s="2006"/>
      <c r="H210" s="2006"/>
      <c r="I210" s="2006"/>
      <c r="J210" s="2006"/>
      <c r="K210" s="2006"/>
      <c r="L210" s="2006"/>
      <c r="M210" s="2006"/>
      <c r="N210" s="2006"/>
      <c r="BO210" s="2005"/>
      <c r="BP210" s="2005"/>
    </row>
    <row r="211" spans="4:68" hidden="1">
      <c r="D211" s="2007"/>
      <c r="E211" s="2006"/>
      <c r="G211" s="2006"/>
      <c r="H211" s="2006"/>
      <c r="I211" s="2006"/>
      <c r="J211" s="2006"/>
      <c r="K211" s="2006"/>
      <c r="L211" s="2006"/>
      <c r="M211" s="2006"/>
      <c r="N211" s="2006"/>
      <c r="BO211" s="2005"/>
      <c r="BP211" s="2005"/>
    </row>
    <row r="212" spans="4:68" hidden="1">
      <c r="D212" s="2007"/>
      <c r="E212" s="2006"/>
      <c r="G212" s="2006"/>
      <c r="H212" s="2006"/>
      <c r="I212" s="2006"/>
      <c r="J212" s="2006"/>
      <c r="K212" s="2006"/>
      <c r="L212" s="2006"/>
      <c r="M212" s="2006"/>
      <c r="N212" s="2006"/>
      <c r="BO212" s="2005"/>
      <c r="BP212" s="2005"/>
    </row>
    <row r="213" spans="4:68" hidden="1">
      <c r="D213" s="2007"/>
      <c r="E213" s="2006"/>
      <c r="G213" s="2006"/>
      <c r="H213" s="2006"/>
      <c r="I213" s="2006"/>
      <c r="J213" s="2006"/>
      <c r="K213" s="2006"/>
      <c r="L213" s="2006"/>
      <c r="M213" s="2006"/>
      <c r="N213" s="2006"/>
      <c r="BO213" s="2005"/>
      <c r="BP213" s="2005"/>
    </row>
    <row r="214" spans="4:68" hidden="1">
      <c r="D214" s="2007"/>
      <c r="E214" s="2006"/>
      <c r="G214" s="2006"/>
      <c r="H214" s="2006"/>
      <c r="I214" s="2006"/>
      <c r="J214" s="2006"/>
      <c r="K214" s="2006"/>
      <c r="L214" s="2006"/>
      <c r="M214" s="2006"/>
      <c r="N214" s="2006"/>
      <c r="BO214" s="2005"/>
      <c r="BP214" s="2005"/>
    </row>
    <row r="215" spans="4:68" hidden="1">
      <c r="D215" s="2007"/>
      <c r="E215" s="2006"/>
      <c r="G215" s="2006"/>
      <c r="H215" s="2006"/>
      <c r="I215" s="2006"/>
      <c r="J215" s="2006"/>
      <c r="K215" s="2006"/>
      <c r="L215" s="2006"/>
      <c r="M215" s="2006"/>
      <c r="N215" s="2006"/>
      <c r="BO215" s="2005"/>
      <c r="BP215" s="2005"/>
    </row>
    <row r="216" spans="4:68" hidden="1">
      <c r="D216" s="2007"/>
      <c r="E216" s="2006"/>
      <c r="G216" s="2006"/>
      <c r="H216" s="2006"/>
      <c r="I216" s="2006"/>
      <c r="J216" s="2006"/>
      <c r="K216" s="2006"/>
      <c r="L216" s="2006"/>
      <c r="M216" s="2006"/>
      <c r="N216" s="2006"/>
      <c r="BO216" s="2005"/>
      <c r="BP216" s="2005"/>
    </row>
    <row r="217" spans="4:68" hidden="1">
      <c r="D217" s="2007"/>
      <c r="E217" s="2006"/>
      <c r="G217" s="2006"/>
      <c r="H217" s="2006"/>
      <c r="I217" s="2006"/>
      <c r="J217" s="2006"/>
      <c r="K217" s="2006"/>
      <c r="L217" s="2006"/>
      <c r="M217" s="2006"/>
      <c r="N217" s="2006"/>
      <c r="BO217" s="2005"/>
      <c r="BP217" s="2005"/>
    </row>
    <row r="218" spans="4:68" hidden="1">
      <c r="D218" s="2007"/>
      <c r="E218" s="2006"/>
      <c r="G218" s="2006"/>
      <c r="H218" s="2006"/>
      <c r="I218" s="2006"/>
      <c r="J218" s="2006"/>
      <c r="K218" s="2006"/>
      <c r="L218" s="2006"/>
      <c r="M218" s="2006"/>
      <c r="N218" s="2006"/>
      <c r="BO218" s="2005"/>
      <c r="BP218" s="2005"/>
    </row>
    <row r="219" spans="4:68" hidden="1">
      <c r="D219" s="2007"/>
      <c r="E219" s="2006"/>
      <c r="G219" s="2006"/>
      <c r="H219" s="2006"/>
      <c r="I219" s="2006"/>
      <c r="J219" s="2006"/>
      <c r="K219" s="2006"/>
      <c r="L219" s="2006"/>
      <c r="M219" s="2006"/>
      <c r="N219" s="2006"/>
      <c r="BO219" s="2005"/>
      <c r="BP219" s="2005"/>
    </row>
    <row r="220" spans="4:68" hidden="1">
      <c r="D220" s="2007"/>
      <c r="E220" s="2006"/>
      <c r="G220" s="2006"/>
      <c r="H220" s="2006"/>
      <c r="I220" s="2006"/>
      <c r="J220" s="2006"/>
      <c r="K220" s="2006"/>
      <c r="L220" s="2006"/>
      <c r="M220" s="2006"/>
      <c r="N220" s="2006"/>
      <c r="BO220" s="2005"/>
      <c r="BP220" s="2005"/>
    </row>
    <row r="221" spans="4:68" hidden="1">
      <c r="D221" s="2007"/>
      <c r="E221" s="2006"/>
      <c r="G221" s="2006"/>
      <c r="H221" s="2006"/>
      <c r="I221" s="2006"/>
      <c r="J221" s="2006"/>
      <c r="K221" s="2006"/>
      <c r="L221" s="2006"/>
      <c r="M221" s="2006"/>
      <c r="N221" s="2006"/>
      <c r="BO221" s="2005"/>
      <c r="BP221" s="2005"/>
    </row>
    <row r="222" spans="4:68" hidden="1">
      <c r="D222" s="2007"/>
      <c r="E222" s="2006"/>
      <c r="G222" s="2006"/>
      <c r="H222" s="2006"/>
      <c r="I222" s="2006"/>
      <c r="J222" s="2006"/>
      <c r="K222" s="2006"/>
      <c r="L222" s="2006"/>
      <c r="M222" s="2006"/>
      <c r="N222" s="2006"/>
      <c r="BO222" s="2005"/>
      <c r="BP222" s="2005"/>
    </row>
    <row r="223" spans="4:68" hidden="1">
      <c r="D223" s="2007"/>
      <c r="E223" s="2006"/>
      <c r="G223" s="2006"/>
      <c r="H223" s="2006"/>
      <c r="I223" s="2006"/>
      <c r="J223" s="2006"/>
      <c r="K223" s="2006"/>
      <c r="L223" s="2006"/>
      <c r="M223" s="2006"/>
      <c r="N223" s="2006"/>
      <c r="BO223" s="2005"/>
      <c r="BP223" s="2005"/>
    </row>
    <row r="224" spans="4:68" hidden="1">
      <c r="D224" s="2007"/>
      <c r="E224" s="2006"/>
      <c r="G224" s="2006"/>
      <c r="H224" s="2006"/>
      <c r="I224" s="2006"/>
      <c r="J224" s="2006"/>
      <c r="K224" s="2006"/>
      <c r="L224" s="2006"/>
      <c r="M224" s="2006"/>
      <c r="N224" s="2006"/>
      <c r="BO224" s="2005"/>
      <c r="BP224" s="2005"/>
    </row>
    <row r="225" spans="4:68" hidden="1">
      <c r="D225" s="2007"/>
      <c r="E225" s="2006"/>
      <c r="G225" s="2006"/>
      <c r="H225" s="2006"/>
      <c r="I225" s="2006"/>
      <c r="J225" s="2006"/>
      <c r="K225" s="2006"/>
      <c r="L225" s="2006"/>
      <c r="M225" s="2006"/>
      <c r="N225" s="2006"/>
      <c r="BO225" s="2005"/>
      <c r="BP225" s="2005"/>
    </row>
    <row r="226" spans="4:68" hidden="1">
      <c r="D226" s="2007"/>
      <c r="E226" s="2006"/>
      <c r="G226" s="2006"/>
      <c r="H226" s="2006"/>
      <c r="I226" s="2006"/>
      <c r="J226" s="2006"/>
      <c r="K226" s="2006"/>
      <c r="L226" s="2006"/>
      <c r="M226" s="2006"/>
      <c r="N226" s="2006"/>
      <c r="BO226" s="2005"/>
      <c r="BP226" s="2005"/>
    </row>
    <row r="227" spans="4:68" hidden="1">
      <c r="D227" s="2007"/>
      <c r="E227" s="2006"/>
      <c r="G227" s="2006"/>
      <c r="H227" s="2006"/>
      <c r="I227" s="2006"/>
      <c r="J227" s="2006"/>
      <c r="K227" s="2006"/>
      <c r="L227" s="2006"/>
      <c r="M227" s="2006"/>
      <c r="N227" s="2006"/>
      <c r="BO227" s="2005"/>
      <c r="BP227" s="2005"/>
    </row>
    <row r="228" spans="4:68" hidden="1">
      <c r="D228" s="2007"/>
      <c r="E228" s="2006"/>
      <c r="G228" s="2006"/>
      <c r="H228" s="2006"/>
      <c r="I228" s="2006"/>
      <c r="J228" s="2006"/>
      <c r="K228" s="2006"/>
      <c r="L228" s="2006"/>
      <c r="M228" s="2006"/>
      <c r="N228" s="2006"/>
      <c r="BO228" s="2005"/>
      <c r="BP228" s="2005"/>
    </row>
    <row r="229" spans="4:68" hidden="1">
      <c r="D229" s="2007"/>
      <c r="E229" s="2006"/>
      <c r="G229" s="2006"/>
      <c r="H229" s="2006"/>
      <c r="I229" s="2006"/>
      <c r="J229" s="2006"/>
      <c r="K229" s="2006"/>
      <c r="L229" s="2006"/>
      <c r="M229" s="2006"/>
      <c r="N229" s="2006"/>
      <c r="BO229" s="2005"/>
      <c r="BP229" s="2005"/>
    </row>
    <row r="230" spans="4:68" hidden="1">
      <c r="D230" s="2007"/>
      <c r="E230" s="2006"/>
      <c r="G230" s="2006"/>
      <c r="H230" s="2006"/>
      <c r="I230" s="2006"/>
      <c r="J230" s="2006"/>
      <c r="K230" s="2006"/>
      <c r="L230" s="2006"/>
      <c r="M230" s="2006"/>
      <c r="N230" s="2006"/>
      <c r="BO230" s="2005"/>
      <c r="BP230" s="2005"/>
    </row>
    <row r="231" spans="4:68" hidden="1">
      <c r="D231" s="2007"/>
      <c r="E231" s="2006"/>
      <c r="G231" s="2006"/>
      <c r="H231" s="2006"/>
      <c r="I231" s="2006"/>
      <c r="J231" s="2006"/>
      <c r="K231" s="2006"/>
      <c r="L231" s="2006"/>
      <c r="M231" s="2006"/>
      <c r="N231" s="2006"/>
      <c r="BO231" s="2005"/>
      <c r="BP231" s="2005"/>
    </row>
    <row r="232" spans="4:68" hidden="1">
      <c r="D232" s="2007"/>
      <c r="E232" s="2006"/>
      <c r="G232" s="2006"/>
      <c r="H232" s="2006"/>
      <c r="I232" s="2006"/>
      <c r="J232" s="2006"/>
      <c r="K232" s="2006"/>
      <c r="L232" s="2006"/>
      <c r="M232" s="2006"/>
      <c r="N232" s="2006"/>
      <c r="BO232" s="2005"/>
      <c r="BP232" s="2005"/>
    </row>
    <row r="233" spans="4:68" hidden="1">
      <c r="D233" s="2007"/>
      <c r="E233" s="2006"/>
      <c r="G233" s="2006"/>
      <c r="H233" s="2006"/>
      <c r="I233" s="2006"/>
      <c r="J233" s="2006"/>
      <c r="K233" s="2006"/>
      <c r="L233" s="2006"/>
      <c r="M233" s="2006"/>
      <c r="N233" s="2006"/>
      <c r="BO233" s="2005"/>
      <c r="BP233" s="2005"/>
    </row>
    <row r="234" spans="4:68">
      <c r="D234" s="2007"/>
      <c r="E234" s="2006"/>
      <c r="G234" s="2006"/>
      <c r="H234" s="2006"/>
      <c r="I234" s="2006"/>
      <c r="J234" s="2006"/>
      <c r="K234" s="2006"/>
      <c r="L234" s="2006"/>
      <c r="M234" s="2006"/>
      <c r="N234" s="2006"/>
      <c r="BO234" s="2005"/>
      <c r="BP234" s="2005"/>
    </row>
  </sheetData>
  <mergeCells count="9">
    <mergeCell ref="R155:T155"/>
    <mergeCell ref="S193:T193"/>
    <mergeCell ref="S194:T194"/>
    <mergeCell ref="P3:T3"/>
    <mergeCell ref="S5:T5"/>
    <mergeCell ref="R47:S47"/>
    <mergeCell ref="S85:T85"/>
    <mergeCell ref="S87:T87"/>
    <mergeCell ref="S150:T150"/>
  </mergeCells>
  <phoneticPr fontId="22"/>
  <conditionalFormatting sqref="AM10:AY61">
    <cfRule type="expression" dxfId="116" priority="1" stopIfTrue="1">
      <formula>(BR10=0)</formula>
    </cfRule>
    <cfRule type="expression" dxfId="115" priority="2" stopIfTrue="1">
      <formula>AND(AM$7&gt;0,AM10="")</formula>
    </cfRule>
  </conditionalFormatting>
  <conditionalFormatting sqref="AM63:AY111 AM113:AY120 AM123:AY144 AM146:AY171 AM174:AY194">
    <cfRule type="expression" dxfId="114" priority="7" stopIfTrue="1">
      <formula>(BR63=0)</formula>
    </cfRule>
    <cfRule type="expression" dxfId="113" priority="8" stopIfTrue="1">
      <formula>AND(AM$7&gt;0,AM63="")</formula>
    </cfRule>
  </conditionalFormatting>
  <conditionalFormatting sqref="AW173:AY173">
    <cfRule type="expression" dxfId="112" priority="5" stopIfTrue="1">
      <formula>(CB173=0)</formula>
    </cfRule>
    <cfRule type="expression" dxfId="111" priority="6" stopIfTrue="1">
      <formula>AND(AW$7&gt;0,AW173="")</formula>
    </cfRule>
  </conditionalFormatting>
  <dataValidations count="1">
    <dataValidation allowBlank="1" showErrorMessage="1" sqref="AM10:AY61 AM173:AY194 AM63:AY111 AM113:AY121 AM123:AY144 AM146:AY171 V10:W194" xr:uid="{00000000-0002-0000-0600-000000000000}"/>
  </dataValidations>
  <printOptions horizontalCentered="1"/>
  <pageMargins left="0.59055118110236227" right="0.59055118110236227" top="0.78740157480314965" bottom="0.59055118110236227" header="0.51181102362204722" footer="0.51181102362204722"/>
  <pageSetup paperSize="9" scale="45" fitToWidth="2" fitToHeight="0" orientation="portrait" verticalDpi="4294967293" r:id="rId1"/>
  <headerFooter alignWithMargins="0">
    <oddHeader>&amp;L&amp;F&amp;R&amp;A</oddHeader>
    <oddFooter>&amp;C&amp;P/&amp;N</oddFooter>
  </headerFooter>
  <rowBreaks count="1" manualBreakCount="1">
    <brk id="111" max="30" man="1"/>
  </rowBreaks>
  <colBreaks count="1" manualBreakCount="1">
    <brk id="66" max="193" man="1"/>
  </col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pageSetUpPr autoPageBreaks="0" fitToPage="1"/>
  </sheetPr>
  <dimension ref="A1:AL576"/>
  <sheetViews>
    <sheetView showGridLines="0" zoomScaleNormal="100" workbookViewId="0"/>
  </sheetViews>
  <sheetFormatPr defaultColWidth="0" defaultRowHeight="14.25" zeroHeight="1"/>
  <cols>
    <col min="1" max="1" width="0.875" customWidth="1"/>
    <col min="2" max="2" width="4" style="541" customWidth="1"/>
    <col min="3" max="3" width="5.125" customWidth="1"/>
    <col min="4" max="4" width="5.375" customWidth="1"/>
    <col min="5" max="8" width="7.375" customWidth="1"/>
    <col min="9" max="15" width="5.625" customWidth="1"/>
    <col min="16" max="21" width="7.25" customWidth="1"/>
    <col min="22" max="22" width="2" customWidth="1"/>
    <col min="23" max="24" width="6.625" style="1850" hidden="1" customWidth="1"/>
    <col min="25" max="32" width="6.625" hidden="1" customWidth="1"/>
    <col min="33" max="33" width="6.25" hidden="1" customWidth="1"/>
    <col min="34" max="34" width="12.375" hidden="1" customWidth="1"/>
    <col min="35" max="36" width="5.25" hidden="1" customWidth="1"/>
    <col min="37" max="37" width="14" customWidth="1"/>
    <col min="38" max="38" width="0" hidden="1" customWidth="1"/>
    <col min="39" max="237" width="9" hidden="1" customWidth="1"/>
    <col min="238" max="16384" width="9" hidden="1"/>
  </cols>
  <sheetData>
    <row r="1" spans="1:37" ht="6" customHeight="1" thickBot="1"/>
    <row r="2" spans="1:37" ht="17.25">
      <c r="B2" s="2783" t="str">
        <f>メイン!C6</f>
        <v>CASBEE-建築(新築)2016年版</v>
      </c>
      <c r="C2" s="471"/>
      <c r="D2" s="472"/>
      <c r="E2" s="2378"/>
      <c r="F2" s="2378"/>
      <c r="G2" s="2378"/>
      <c r="H2" s="473"/>
      <c r="I2" s="2372"/>
      <c r="J2" s="2372"/>
      <c r="K2" s="2372"/>
      <c r="L2" s="2372"/>
      <c r="M2" s="2372"/>
      <c r="P2" s="543" t="s">
        <v>1798</v>
      </c>
      <c r="Q2" s="543"/>
      <c r="R2" s="2784" t="str">
        <f>メイン!C6</f>
        <v>CASBEE-建築(新築)2016年版</v>
      </c>
      <c r="T2" s="1474"/>
      <c r="U2" s="1474"/>
      <c r="V2" s="2785"/>
      <c r="W2" s="1851"/>
      <c r="X2" s="1851"/>
    </row>
    <row r="3" spans="1:37" ht="14.25" customHeight="1" thickBot="1">
      <c r="B3" s="3121" t="str">
        <f>メイン!$C$11</f>
        <v>○○ビル</v>
      </c>
      <c r="C3" s="3122"/>
      <c r="D3" s="3122"/>
      <c r="E3" s="3122"/>
      <c r="F3" s="3122"/>
      <c r="G3" s="3122"/>
      <c r="H3" s="3123"/>
      <c r="I3" s="2372"/>
      <c r="P3" s="543" t="s">
        <v>2170</v>
      </c>
      <c r="R3" s="2786" t="str">
        <f>メイン!C5</f>
        <v>CASBEE-BD_NC_2016(v4.02)</v>
      </c>
      <c r="T3" s="2787"/>
      <c r="U3" s="2787"/>
      <c r="V3" s="2788"/>
      <c r="W3" s="1837"/>
      <c r="X3" s="1837"/>
      <c r="Z3" s="1">
        <f>メイン!I3</f>
        <v>2</v>
      </c>
      <c r="AA3" s="1" t="str">
        <f>メイン!J3</f>
        <v>NC</v>
      </c>
    </row>
    <row r="4" spans="1:37" ht="3.75" customHeight="1" thickBot="1">
      <c r="B4" s="2789"/>
      <c r="C4" s="2363"/>
      <c r="D4" s="2362"/>
      <c r="E4" s="44"/>
      <c r="F4" s="44"/>
      <c r="G4" s="44"/>
      <c r="H4" s="44"/>
      <c r="I4" s="44"/>
      <c r="J4" s="44"/>
      <c r="K4" s="44"/>
      <c r="L4" s="44"/>
      <c r="M4" s="44"/>
      <c r="N4" s="44"/>
      <c r="O4" s="44"/>
      <c r="P4" s="2790"/>
      <c r="Q4" s="2790"/>
      <c r="R4" s="44"/>
      <c r="S4" s="44"/>
      <c r="T4" s="44"/>
      <c r="U4" s="807"/>
      <c r="V4" s="2788"/>
      <c r="W4" s="1837"/>
      <c r="X4" s="1837"/>
    </row>
    <row r="5" spans="1:37" ht="17.25" customHeight="1" thickBot="1">
      <c r="B5" s="2354" t="s">
        <v>2171</v>
      </c>
      <c r="C5" s="2353"/>
      <c r="D5" s="2352"/>
      <c r="E5" s="3124" t="str">
        <f>IF(メイン!E39=0,"",メイン!E39)</f>
        <v/>
      </c>
      <c r="F5" s="3124"/>
      <c r="G5" s="3124"/>
      <c r="H5" s="3129"/>
      <c r="I5" s="2791"/>
      <c r="J5" s="2792"/>
      <c r="K5" s="2792"/>
      <c r="L5" s="2792"/>
      <c r="M5" s="2792"/>
      <c r="N5" s="2792"/>
      <c r="O5" s="2792"/>
      <c r="P5" s="2792"/>
      <c r="Q5" s="2792"/>
      <c r="R5" s="2792"/>
      <c r="S5" s="2792"/>
      <c r="T5" s="2792"/>
      <c r="U5" s="2793"/>
      <c r="V5" s="2788"/>
      <c r="W5" s="3130" t="s">
        <v>2949</v>
      </c>
      <c r="X5" s="3131"/>
      <c r="Z5" s="436"/>
      <c r="AA5" s="434"/>
      <c r="AB5" s="436"/>
      <c r="AC5" s="434"/>
      <c r="AD5" s="434"/>
      <c r="AE5" s="434"/>
      <c r="AF5" s="437" t="s">
        <v>2172</v>
      </c>
      <c r="AG5" s="182"/>
      <c r="AH5" s="437" t="s">
        <v>2173</v>
      </c>
    </row>
    <row r="6" spans="1:37" ht="12.75" customHeight="1">
      <c r="B6" s="2794"/>
      <c r="C6" s="2795"/>
      <c r="D6" s="2796"/>
      <c r="E6" s="2797"/>
      <c r="F6" s="2797"/>
      <c r="G6" s="2797"/>
      <c r="H6" s="2798"/>
      <c r="I6" s="2799"/>
      <c r="J6" s="2800"/>
      <c r="K6" s="2800"/>
      <c r="L6" s="2800"/>
      <c r="M6" s="2800"/>
      <c r="N6" s="2800"/>
      <c r="O6" s="2800"/>
      <c r="P6" s="2800"/>
      <c r="Q6" s="2801"/>
      <c r="R6" s="2802"/>
      <c r="S6" s="2801"/>
      <c r="T6" s="2803"/>
      <c r="U6" s="2804"/>
      <c r="V6" s="2788"/>
      <c r="W6" s="3132"/>
      <c r="X6" s="3133"/>
      <c r="Z6" s="439" t="s">
        <v>2174</v>
      </c>
      <c r="AA6" s="440"/>
      <c r="AB6" s="441" t="s">
        <v>2175</v>
      </c>
      <c r="AC6" s="440"/>
      <c r="AD6" s="440"/>
      <c r="AE6" s="434"/>
      <c r="AF6" s="442">
        <f>重み!D7</f>
        <v>1</v>
      </c>
      <c r="AG6" s="182"/>
      <c r="AH6" s="442">
        <f>重み!E7</f>
        <v>0</v>
      </c>
    </row>
    <row r="7" spans="1:37" ht="23.25" customHeight="1" thickBot="1">
      <c r="B7" s="2805" t="s">
        <v>1594</v>
      </c>
      <c r="C7" s="2317"/>
      <c r="D7" s="2316"/>
      <c r="E7" s="2315"/>
      <c r="F7" s="2315"/>
      <c r="G7" s="2315"/>
      <c r="H7" s="2806"/>
      <c r="I7" s="2807" t="s">
        <v>1595</v>
      </c>
      <c r="J7" s="2808"/>
      <c r="K7" s="2808"/>
      <c r="L7" s="2808"/>
      <c r="M7" s="2808"/>
      <c r="N7" s="2808"/>
      <c r="O7" s="2808"/>
      <c r="P7" s="2809"/>
      <c r="Q7" s="2810" t="s">
        <v>1789</v>
      </c>
      <c r="R7" s="2811" t="s">
        <v>1790</v>
      </c>
      <c r="S7" s="2812" t="s">
        <v>1789</v>
      </c>
      <c r="T7" s="2813" t="s">
        <v>1790</v>
      </c>
      <c r="U7" s="2814" t="s">
        <v>1596</v>
      </c>
      <c r="V7" s="2788"/>
      <c r="W7" s="1838" t="s">
        <v>2950</v>
      </c>
      <c r="X7" s="1838" t="s">
        <v>2951</v>
      </c>
      <c r="Z7" s="443" t="s">
        <v>2483</v>
      </c>
      <c r="AA7" s="444" t="s">
        <v>1790</v>
      </c>
      <c r="AB7" s="443" t="s">
        <v>2483</v>
      </c>
      <c r="AC7" s="444" t="s">
        <v>1790</v>
      </c>
      <c r="AD7" s="445" t="s">
        <v>1791</v>
      </c>
      <c r="AE7" s="434"/>
      <c r="AF7" s="442" t="s">
        <v>1597</v>
      </c>
      <c r="AG7" s="182"/>
      <c r="AH7" s="442" t="s">
        <v>1597</v>
      </c>
    </row>
    <row r="8" spans="1:37" ht="14.25" customHeight="1" thickBot="1">
      <c r="B8" s="2815" t="s">
        <v>1598</v>
      </c>
      <c r="C8" s="2305"/>
      <c r="D8" s="2304"/>
      <c r="E8" s="2303"/>
      <c r="F8" s="2303"/>
      <c r="G8" s="2303"/>
      <c r="H8" s="2816"/>
      <c r="I8" s="2817"/>
      <c r="J8" s="2818"/>
      <c r="K8" s="2818"/>
      <c r="L8" s="2818"/>
      <c r="M8" s="2818"/>
      <c r="N8" s="2818"/>
      <c r="O8" s="2818"/>
      <c r="P8" s="2819"/>
      <c r="Q8" s="2820"/>
      <c r="R8" s="2821"/>
      <c r="S8" s="2822"/>
      <c r="T8" s="2823"/>
      <c r="U8" s="2824">
        <f>ROUNDDOWN(AD8,1)</f>
        <v>2.9</v>
      </c>
      <c r="V8" s="2788"/>
      <c r="W8" s="1837"/>
      <c r="X8" s="1837"/>
      <c r="Z8" s="446"/>
      <c r="AA8" s="447"/>
      <c r="AB8" s="446"/>
      <c r="AC8" s="447"/>
      <c r="AD8" s="1858">
        <f>AA9*AD9+AA62*AD62+AA112*AD112</f>
        <v>2.988</v>
      </c>
      <c r="AE8" s="434"/>
      <c r="AF8" s="442">
        <f>重み!M8</f>
        <v>0</v>
      </c>
      <c r="AG8" s="182"/>
      <c r="AH8" s="442">
        <f>重み!N8</f>
        <v>0</v>
      </c>
    </row>
    <row r="9" spans="1:37" ht="14.25" customHeight="1" thickBot="1">
      <c r="B9" s="2825" t="s">
        <v>1599</v>
      </c>
      <c r="C9" s="2170" t="s">
        <v>1792</v>
      </c>
      <c r="D9" s="2170"/>
      <c r="E9" s="2170"/>
      <c r="F9" s="2170"/>
      <c r="G9" s="2170"/>
      <c r="H9" s="2826"/>
      <c r="I9" s="2827"/>
      <c r="J9" s="2828"/>
      <c r="K9" s="2828"/>
      <c r="L9" s="2828"/>
      <c r="M9" s="2828"/>
      <c r="N9" s="2828"/>
      <c r="O9" s="2828"/>
      <c r="P9" s="2829"/>
      <c r="Q9" s="2830"/>
      <c r="R9" s="2831">
        <f t="shared" ref="R9:R44" si="0">AA9</f>
        <v>0.4</v>
      </c>
      <c r="S9" s="2832"/>
      <c r="T9" s="2831">
        <f>AC9</f>
        <v>0</v>
      </c>
      <c r="U9" s="2833">
        <f>ROUNDDOWN(AD9,1)</f>
        <v>3</v>
      </c>
      <c r="V9" s="2788"/>
      <c r="W9" s="1837"/>
      <c r="X9" s="1837"/>
      <c r="Z9" s="446"/>
      <c r="AA9" s="448">
        <f>重み!D9</f>
        <v>0.4</v>
      </c>
      <c r="AB9" s="446"/>
      <c r="AC9" s="448"/>
      <c r="AD9" s="1858">
        <f>AD10*AA10+AD20*AA20+AD35*AA35+AD48*AA48</f>
        <v>3</v>
      </c>
      <c r="AE9" s="434"/>
      <c r="AF9" s="449">
        <f>重み!M9</f>
        <v>0.4</v>
      </c>
      <c r="AG9" s="182"/>
      <c r="AH9" s="442">
        <f>重み!N9</f>
        <v>0</v>
      </c>
      <c r="AI9" s="442" t="s">
        <v>3112</v>
      </c>
      <c r="AJ9" s="442" t="s">
        <v>3360</v>
      </c>
      <c r="AK9" s="182"/>
    </row>
    <row r="10" spans="1:37" ht="14.25" customHeight="1" thickBot="1">
      <c r="B10" s="2834">
        <v>1</v>
      </c>
      <c r="C10" s="2233" t="s">
        <v>1793</v>
      </c>
      <c r="D10" s="2045"/>
      <c r="E10" s="1309"/>
      <c r="F10" s="1309"/>
      <c r="G10" s="1309"/>
      <c r="H10" s="2835"/>
      <c r="I10" s="2836"/>
      <c r="J10" s="2837"/>
      <c r="K10" s="2837"/>
      <c r="L10" s="2837"/>
      <c r="M10" s="2837"/>
      <c r="N10" s="2837"/>
      <c r="O10" s="2837"/>
      <c r="P10" s="2838"/>
      <c r="Q10" s="2839">
        <f>ROUNDDOWN(Z10,1)</f>
        <v>3</v>
      </c>
      <c r="R10" s="2840">
        <f>AA10</f>
        <v>0.15</v>
      </c>
      <c r="S10" s="2839">
        <f>ROUNDDOWN(AB10,1)</f>
        <v>0</v>
      </c>
      <c r="T10" s="2841">
        <f t="shared" ref="T10:T44" si="1">AC10</f>
        <v>0</v>
      </c>
      <c r="U10" s="2842">
        <f>ROUNDDOWN(AD10,1)</f>
        <v>3</v>
      </c>
      <c r="V10" s="2788"/>
      <c r="W10" s="1839"/>
      <c r="X10" s="1839"/>
      <c r="Z10" s="1833">
        <f>Z11*AA11+Z14*AA14+Z19*AA19</f>
        <v>3.0000000000000004</v>
      </c>
      <c r="AA10" s="1658">
        <f>重み!D10</f>
        <v>0.15</v>
      </c>
      <c r="AB10" s="1833">
        <f>AB11*AC11+AB14*AC14+AB19*AC19</f>
        <v>0</v>
      </c>
      <c r="AC10" s="451">
        <f>SUM(AC11,AC14,AC19)</f>
        <v>0</v>
      </c>
      <c r="AD10" s="447">
        <f>IF(AB10=0,Z10,IF(Z10=0,AB10,Z10*AF$6+AB10*AH$6))</f>
        <v>3.0000000000000004</v>
      </c>
      <c r="AE10" s="434"/>
      <c r="AF10" s="442">
        <f>重み!M10</f>
        <v>0.15</v>
      </c>
      <c r="AG10" s="182"/>
      <c r="AH10" s="451">
        <f>SUM(AH11,AH14,AH19)</f>
        <v>0</v>
      </c>
      <c r="AI10" s="2563"/>
      <c r="AJ10" s="2563"/>
      <c r="AK10" s="2564"/>
    </row>
    <row r="11" spans="1:37" thickBot="1">
      <c r="B11" s="2843"/>
      <c r="C11" s="2035">
        <v>1.1000000000000001</v>
      </c>
      <c r="D11" s="2107" t="s">
        <v>2914</v>
      </c>
      <c r="E11" s="1655"/>
      <c r="F11" s="1655"/>
      <c r="G11" s="1655"/>
      <c r="H11" s="2844"/>
      <c r="I11" s="3134">
        <f>採点Q1!G20</f>
        <v>0</v>
      </c>
      <c r="J11" s="3135"/>
      <c r="K11" s="3135"/>
      <c r="L11" s="3135"/>
      <c r="M11" s="3135"/>
      <c r="N11" s="3135"/>
      <c r="O11" s="3135"/>
      <c r="P11" s="3136"/>
      <c r="Q11" s="2162">
        <f t="shared" ref="Q11:Q74" si="2">ROUNDDOWN(Z11,1)</f>
        <v>3</v>
      </c>
      <c r="R11" s="2845">
        <f t="shared" si="0"/>
        <v>0.4</v>
      </c>
      <c r="S11" s="2162">
        <f t="shared" ref="S11:S74" si="3">ROUNDDOWN(AB11,1)</f>
        <v>3</v>
      </c>
      <c r="T11" s="2845">
        <f t="shared" si="1"/>
        <v>0</v>
      </c>
      <c r="U11" s="2846"/>
      <c r="V11" s="2788"/>
      <c r="W11" s="1659">
        <f>IF(採点Q1!F14="対象外",0,採点Q1!F14)</f>
        <v>3</v>
      </c>
      <c r="X11" s="1660">
        <f>IF(採点Q1!L14="対象外",0,採点Q1!L14)</f>
        <v>3</v>
      </c>
      <c r="Z11" s="1832">
        <f>IF($Z$3=4,#REF!,W11)</f>
        <v>3</v>
      </c>
      <c r="AA11" s="1658">
        <f>重み!D11</f>
        <v>0.4</v>
      </c>
      <c r="AB11" s="1832">
        <f>IF($Z$3=4,#REF!,X11)</f>
        <v>3</v>
      </c>
      <c r="AC11" s="1658">
        <f>重み!E11</f>
        <v>0</v>
      </c>
      <c r="AD11" s="447"/>
      <c r="AE11" s="434"/>
      <c r="AF11" s="442">
        <f>重み!M11</f>
        <v>0.4</v>
      </c>
      <c r="AG11" s="182"/>
      <c r="AH11" s="442">
        <f>重み!N11</f>
        <v>0</v>
      </c>
      <c r="AI11" s="2563"/>
      <c r="AJ11" s="2563"/>
      <c r="AK11" s="2564"/>
    </row>
    <row r="12" spans="1:37" ht="15" hidden="1" thickBot="1">
      <c r="A12" t="s">
        <v>3596</v>
      </c>
      <c r="B12" s="2847"/>
      <c r="C12" s="2284"/>
      <c r="D12" s="2283">
        <v>1</v>
      </c>
      <c r="E12" s="2282" t="s">
        <v>1794</v>
      </c>
      <c r="F12" s="2282"/>
      <c r="G12" s="2282"/>
      <c r="H12" s="2848"/>
      <c r="I12" s="3126"/>
      <c r="J12" s="3127"/>
      <c r="K12" s="3127"/>
      <c r="L12" s="3127"/>
      <c r="M12" s="3127"/>
      <c r="N12" s="3127"/>
      <c r="O12" s="3127"/>
      <c r="P12" s="3128"/>
      <c r="Q12" s="2063">
        <f t="shared" si="2"/>
        <v>0</v>
      </c>
      <c r="R12" s="2849">
        <f t="shared" si="0"/>
        <v>0</v>
      </c>
      <c r="S12" s="2063">
        <f t="shared" si="3"/>
        <v>0</v>
      </c>
      <c r="T12" s="2849">
        <f t="shared" si="1"/>
        <v>0</v>
      </c>
      <c r="U12" s="2842"/>
      <c r="V12" s="2788"/>
      <c r="Z12" s="1668"/>
      <c r="AA12" s="1658">
        <f>重み!D12</f>
        <v>0</v>
      </c>
      <c r="AB12" s="1668"/>
      <c r="AC12" s="1658">
        <f>重み!E12</f>
        <v>0</v>
      </c>
      <c r="AD12" s="447"/>
      <c r="AE12" s="434"/>
      <c r="AF12" s="442">
        <f>重み!M12</f>
        <v>0</v>
      </c>
      <c r="AG12" s="182"/>
      <c r="AH12" s="442">
        <f>重み!N12</f>
        <v>0</v>
      </c>
      <c r="AI12" s="2563"/>
      <c r="AJ12" s="2563"/>
      <c r="AK12" s="2564"/>
    </row>
    <row r="13" spans="1:37" hidden="1" thickBot="1">
      <c r="B13" s="2850"/>
      <c r="C13" s="2246"/>
      <c r="D13" s="2245">
        <v>2</v>
      </c>
      <c r="E13" s="2244" t="s">
        <v>1795</v>
      </c>
      <c r="F13" s="2244"/>
      <c r="G13" s="2244"/>
      <c r="H13" s="2851"/>
      <c r="I13" s="3126"/>
      <c r="J13" s="3127"/>
      <c r="K13" s="3127"/>
      <c r="L13" s="3127"/>
      <c r="M13" s="3127"/>
      <c r="N13" s="3127"/>
      <c r="O13" s="3127"/>
      <c r="P13" s="3128"/>
      <c r="Q13" s="2143">
        <f t="shared" si="2"/>
        <v>0</v>
      </c>
      <c r="R13" s="2849">
        <f t="shared" si="0"/>
        <v>0</v>
      </c>
      <c r="S13" s="2143">
        <f t="shared" si="3"/>
        <v>0</v>
      </c>
      <c r="T13" s="2849">
        <f t="shared" ref="T13" si="4">AC13</f>
        <v>0</v>
      </c>
      <c r="U13" s="2842"/>
      <c r="V13" s="2788"/>
      <c r="W13" s="1661">
        <f>IF(採点Q1!F40="対象外",0,採点Q1!F40)</f>
        <v>0</v>
      </c>
      <c r="X13" s="1662">
        <f>採点Q1!K40</f>
        <v>0</v>
      </c>
      <c r="Z13" s="1668"/>
      <c r="AA13" s="1658">
        <f>重み!D13</f>
        <v>0</v>
      </c>
      <c r="AB13" s="1668"/>
      <c r="AC13" s="1658">
        <f>重み!E13</f>
        <v>0</v>
      </c>
      <c r="AD13" s="447"/>
      <c r="AE13" s="434"/>
      <c r="AF13" s="442">
        <f>重み!M13</f>
        <v>0</v>
      </c>
      <c r="AG13" s="182"/>
      <c r="AH13" s="442">
        <f>重み!N13</f>
        <v>0</v>
      </c>
      <c r="AI13" s="2563"/>
      <c r="AJ13" s="2563"/>
      <c r="AK13" s="2564"/>
    </row>
    <row r="14" spans="1:37" thickBot="1">
      <c r="B14" s="2843"/>
      <c r="C14" s="2035">
        <v>1.2</v>
      </c>
      <c r="D14" s="1655" t="s">
        <v>1796</v>
      </c>
      <c r="E14" s="7"/>
      <c r="F14" s="7"/>
      <c r="G14" s="7"/>
      <c r="H14" s="1412"/>
      <c r="I14" s="2836"/>
      <c r="J14" s="2837"/>
      <c r="K14" s="2837"/>
      <c r="L14" s="2837"/>
      <c r="M14" s="2837"/>
      <c r="N14" s="2837"/>
      <c r="O14" s="2837"/>
      <c r="P14" s="2838"/>
      <c r="Q14" s="2852">
        <f t="shared" si="2"/>
        <v>3</v>
      </c>
      <c r="R14" s="2849">
        <f t="shared" si="0"/>
        <v>0.4</v>
      </c>
      <c r="S14" s="2852">
        <f t="shared" si="3"/>
        <v>0</v>
      </c>
      <c r="T14" s="2849">
        <f t="shared" si="1"/>
        <v>0</v>
      </c>
      <c r="U14" s="2842"/>
      <c r="V14" s="2788"/>
      <c r="W14" s="1840"/>
      <c r="X14" s="1840"/>
      <c r="Z14" s="450">
        <f>SUMPRODUCT(Z15:Z18,AA15:AA18)</f>
        <v>3</v>
      </c>
      <c r="AA14" s="1658">
        <f>重み!D14</f>
        <v>0.4</v>
      </c>
      <c r="AB14" s="450">
        <f>SUMPRODUCT(AB15:AB18,AC15:AC18)</f>
        <v>0</v>
      </c>
      <c r="AC14" s="1658">
        <f>重み!E14</f>
        <v>0</v>
      </c>
      <c r="AD14" s="447"/>
      <c r="AE14" s="434"/>
      <c r="AF14" s="442">
        <f>重み!M14</f>
        <v>0.4</v>
      </c>
      <c r="AG14" s="182"/>
      <c r="AH14" s="442">
        <f>重み!N14</f>
        <v>0</v>
      </c>
      <c r="AI14" s="1"/>
      <c r="AJ14" s="1"/>
    </row>
    <row r="15" spans="1:37" ht="14.25" customHeight="1">
      <c r="B15" s="2843"/>
      <c r="C15" s="2068"/>
      <c r="D15" s="993">
        <v>1</v>
      </c>
      <c r="E15" s="507" t="s">
        <v>601</v>
      </c>
      <c r="F15" s="1655"/>
      <c r="G15" s="1655"/>
      <c r="H15" s="2844"/>
      <c r="I15" s="3126">
        <f>採点Q1!G88</f>
        <v>0</v>
      </c>
      <c r="J15" s="3127"/>
      <c r="K15" s="3127"/>
      <c r="L15" s="3127"/>
      <c r="M15" s="3127"/>
      <c r="N15" s="3127"/>
      <c r="O15" s="3127"/>
      <c r="P15" s="3128"/>
      <c r="Q15" s="2149">
        <f t="shared" si="2"/>
        <v>3</v>
      </c>
      <c r="R15" s="2849">
        <f t="shared" si="0"/>
        <v>0.6</v>
      </c>
      <c r="S15" s="2149">
        <f t="shared" si="3"/>
        <v>3</v>
      </c>
      <c r="T15" s="2849">
        <f t="shared" si="1"/>
        <v>0</v>
      </c>
      <c r="U15" s="2842"/>
      <c r="V15" s="2788"/>
      <c r="W15" s="1659">
        <f>IF(採点Q1!F75="対象外",0,採点Q1!F75)</f>
        <v>3</v>
      </c>
      <c r="X15" s="1660">
        <f>採点Q1!K75</f>
        <v>3</v>
      </c>
      <c r="Z15" s="453">
        <f>IF($Z$3=4,#REF!,W15)</f>
        <v>3</v>
      </c>
      <c r="AA15" s="1658">
        <f>重み!D15</f>
        <v>0.6</v>
      </c>
      <c r="AB15" s="453">
        <f>IF($Z$3=4,#REF!,X15)</f>
        <v>3</v>
      </c>
      <c r="AC15" s="1658">
        <f>重み!E15</f>
        <v>0</v>
      </c>
      <c r="AD15" s="447"/>
      <c r="AE15" s="434"/>
      <c r="AF15" s="442">
        <f>重み!M15</f>
        <v>0.6</v>
      </c>
      <c r="AG15" s="182"/>
      <c r="AH15" s="442">
        <f>重み!N15</f>
        <v>0</v>
      </c>
      <c r="AI15" s="2563"/>
      <c r="AJ15" s="2563"/>
      <c r="AK15" s="2564"/>
    </row>
    <row r="16" spans="1:37" ht="14.25" customHeight="1">
      <c r="B16" s="2843"/>
      <c r="C16" s="2101"/>
      <c r="D16" s="993">
        <v>2</v>
      </c>
      <c r="E16" s="507" t="s">
        <v>602</v>
      </c>
      <c r="F16" s="1655"/>
      <c r="G16" s="1655"/>
      <c r="H16" s="2844"/>
      <c r="I16" s="3126">
        <f>採点Q1!G105</f>
        <v>0</v>
      </c>
      <c r="J16" s="3127"/>
      <c r="K16" s="3127"/>
      <c r="L16" s="3127"/>
      <c r="M16" s="3127"/>
      <c r="N16" s="3127"/>
      <c r="O16" s="3127"/>
      <c r="P16" s="3128"/>
      <c r="Q16" s="2063">
        <f t="shared" si="2"/>
        <v>3</v>
      </c>
      <c r="R16" s="2849">
        <f t="shared" si="0"/>
        <v>0.4</v>
      </c>
      <c r="S16" s="2063">
        <f t="shared" si="3"/>
        <v>3</v>
      </c>
      <c r="T16" s="2849">
        <f t="shared" si="1"/>
        <v>0</v>
      </c>
      <c r="U16" s="2842"/>
      <c r="V16" s="2788"/>
      <c r="W16" s="1663">
        <f>IF(採点Q1!F92="対象外",0,採点Q1!F92)</f>
        <v>3</v>
      </c>
      <c r="X16" s="1664">
        <f>採点Q1!K92</f>
        <v>3</v>
      </c>
      <c r="Z16" s="453">
        <f>IF($Z$3=4,#REF!,W16)</f>
        <v>3</v>
      </c>
      <c r="AA16" s="1658">
        <f>重み!D16</f>
        <v>0.4</v>
      </c>
      <c r="AB16" s="453">
        <f>IF($Z$3=4,#REF!,X16)</f>
        <v>3</v>
      </c>
      <c r="AC16" s="1658">
        <f>重み!E16</f>
        <v>0</v>
      </c>
      <c r="AD16" s="447"/>
      <c r="AE16" s="434"/>
      <c r="AF16" s="442">
        <f>重み!M16</f>
        <v>0.4</v>
      </c>
      <c r="AG16" s="182"/>
      <c r="AH16" s="442">
        <f>重み!N16</f>
        <v>0</v>
      </c>
      <c r="AI16" s="2563"/>
      <c r="AJ16" s="2563"/>
      <c r="AK16" s="2564"/>
    </row>
    <row r="17" spans="2:37" ht="14.25" customHeight="1">
      <c r="B17" s="2843"/>
      <c r="C17" s="2101"/>
      <c r="D17" s="993">
        <v>3</v>
      </c>
      <c r="E17" s="507" t="s">
        <v>603</v>
      </c>
      <c r="F17" s="1655"/>
      <c r="G17" s="1655"/>
      <c r="H17" s="2844"/>
      <c r="I17" s="3126">
        <f>採点Q1!G122</f>
        <v>0</v>
      </c>
      <c r="J17" s="3127"/>
      <c r="K17" s="3127"/>
      <c r="L17" s="3127"/>
      <c r="M17" s="3127"/>
      <c r="N17" s="3127"/>
      <c r="O17" s="3127"/>
      <c r="P17" s="3128"/>
      <c r="Q17" s="2063">
        <f t="shared" si="2"/>
        <v>3</v>
      </c>
      <c r="R17" s="2849">
        <f t="shared" si="0"/>
        <v>0</v>
      </c>
      <c r="S17" s="2063">
        <f t="shared" si="3"/>
        <v>3</v>
      </c>
      <c r="T17" s="2849">
        <f t="shared" si="1"/>
        <v>0</v>
      </c>
      <c r="U17" s="2842"/>
      <c r="V17" s="2788"/>
      <c r="W17" s="1663">
        <f>IF(採点Q1!F109="対象外",0,採点Q1!F109)</f>
        <v>3</v>
      </c>
      <c r="X17" s="1664">
        <f>採点Q1!K109</f>
        <v>3</v>
      </c>
      <c r="Z17" s="453">
        <f>IF($Z$3=4,#REF!,W17)</f>
        <v>3</v>
      </c>
      <c r="AA17" s="1658">
        <f>重み!D17</f>
        <v>0</v>
      </c>
      <c r="AB17" s="453">
        <f>IF($Z$3=4,#REF!,X17)</f>
        <v>3</v>
      </c>
      <c r="AC17" s="1658">
        <f>重み!E17</f>
        <v>0</v>
      </c>
      <c r="AD17" s="447"/>
      <c r="AE17" s="434"/>
      <c r="AF17" s="442">
        <f>重み!M17</f>
        <v>0</v>
      </c>
      <c r="AG17" s="182"/>
      <c r="AH17" s="442">
        <f>重み!N17</f>
        <v>0</v>
      </c>
      <c r="AI17" s="2563"/>
      <c r="AJ17" s="2563"/>
      <c r="AK17" s="2564"/>
    </row>
    <row r="18" spans="2:37" ht="14.25" customHeight="1">
      <c r="B18" s="2843"/>
      <c r="C18" s="2227"/>
      <c r="D18" s="993">
        <v>4</v>
      </c>
      <c r="E18" s="507" t="s">
        <v>604</v>
      </c>
      <c r="F18" s="1655"/>
      <c r="G18" s="1655"/>
      <c r="H18" s="2844"/>
      <c r="I18" s="3126">
        <f>採点Q1!G139</f>
        <v>0</v>
      </c>
      <c r="J18" s="3127"/>
      <c r="K18" s="3127"/>
      <c r="L18" s="3127"/>
      <c r="M18" s="3127"/>
      <c r="N18" s="3127"/>
      <c r="O18" s="3127"/>
      <c r="P18" s="3128"/>
      <c r="Q18" s="2063">
        <f t="shared" si="2"/>
        <v>3</v>
      </c>
      <c r="R18" s="2849">
        <f t="shared" si="0"/>
        <v>0</v>
      </c>
      <c r="S18" s="2063">
        <f t="shared" si="3"/>
        <v>3</v>
      </c>
      <c r="T18" s="2849">
        <f t="shared" si="1"/>
        <v>0</v>
      </c>
      <c r="U18" s="2842"/>
      <c r="V18" s="2788"/>
      <c r="W18" s="1663">
        <f>IF(採点Q1!F126="対象外",0,採点Q1!F126)</f>
        <v>3</v>
      </c>
      <c r="X18" s="1664">
        <f>採点Q1!K126</f>
        <v>3</v>
      </c>
      <c r="Z18" s="453">
        <f>IF($Z$3=4,#REF!,W18)</f>
        <v>3</v>
      </c>
      <c r="AA18" s="1658">
        <f>重み!D18</f>
        <v>0</v>
      </c>
      <c r="AB18" s="453">
        <f>IF($Z$3=4,#REF!,X18)</f>
        <v>3</v>
      </c>
      <c r="AC18" s="1658">
        <f>重み!E18</f>
        <v>0</v>
      </c>
      <c r="AD18" s="447"/>
      <c r="AE18" s="434"/>
      <c r="AF18" s="442">
        <f>重み!M18</f>
        <v>0</v>
      </c>
      <c r="AG18" s="182"/>
      <c r="AH18" s="442">
        <f>重み!N18</f>
        <v>0</v>
      </c>
      <c r="AI18" s="2563"/>
      <c r="AJ18" s="2563"/>
      <c r="AK18" s="2564"/>
    </row>
    <row r="19" spans="2:37" ht="14.25" customHeight="1" thickBot="1">
      <c r="B19" s="2853"/>
      <c r="C19" s="2069">
        <v>1.3</v>
      </c>
      <c r="D19" s="1655" t="s">
        <v>605</v>
      </c>
      <c r="E19" s="1655"/>
      <c r="F19" s="1655"/>
      <c r="G19" s="1655"/>
      <c r="H19" s="2844"/>
      <c r="I19" s="3126">
        <f>採点Q1!G149</f>
        <v>0</v>
      </c>
      <c r="J19" s="3127"/>
      <c r="K19" s="3127"/>
      <c r="L19" s="3127"/>
      <c r="M19" s="3127"/>
      <c r="N19" s="3127"/>
      <c r="O19" s="3127"/>
      <c r="P19" s="3128"/>
      <c r="Q19" s="2157">
        <f t="shared" si="2"/>
        <v>3</v>
      </c>
      <c r="R19" s="2849">
        <f t="shared" si="0"/>
        <v>0.2</v>
      </c>
      <c r="S19" s="2157">
        <f t="shared" si="3"/>
        <v>3</v>
      </c>
      <c r="T19" s="2849">
        <f t="shared" si="1"/>
        <v>0</v>
      </c>
      <c r="U19" s="2842"/>
      <c r="V19" s="2788"/>
      <c r="W19" s="1661">
        <f>IF(採点Q1!F143="対象外",0,採点Q1!F143)</f>
        <v>3</v>
      </c>
      <c r="X19" s="1662">
        <f>採点Q1!K143</f>
        <v>3</v>
      </c>
      <c r="Z19" s="1832">
        <f>IF($Z$3=4,#REF!,W19)</f>
        <v>3</v>
      </c>
      <c r="AA19" s="1658">
        <f>重み!D19</f>
        <v>0.2</v>
      </c>
      <c r="AB19" s="1832">
        <f>IF($Z$3=4,#REF!,X19)</f>
        <v>3</v>
      </c>
      <c r="AC19" s="1658">
        <f>重み!E19</f>
        <v>0</v>
      </c>
      <c r="AD19" s="447"/>
      <c r="AE19" s="434"/>
      <c r="AF19" s="442">
        <f>重み!M19</f>
        <v>0.2</v>
      </c>
      <c r="AG19" s="182"/>
      <c r="AH19" s="442">
        <f>重み!N19</f>
        <v>0</v>
      </c>
      <c r="AI19" s="1"/>
      <c r="AJ19" s="1"/>
    </row>
    <row r="20" spans="2:37" ht="14.25" customHeight="1">
      <c r="B20" s="2854">
        <v>2</v>
      </c>
      <c r="C20" s="2058" t="s">
        <v>606</v>
      </c>
      <c r="D20" s="2116"/>
      <c r="E20" s="2106"/>
      <c r="F20" s="2106"/>
      <c r="G20" s="2106"/>
      <c r="H20" s="2855"/>
      <c r="I20" s="2856"/>
      <c r="J20" s="2857"/>
      <c r="K20" s="2857"/>
      <c r="L20" s="2857"/>
      <c r="M20" s="2857"/>
      <c r="N20" s="2857"/>
      <c r="O20" s="2857"/>
      <c r="P20" s="2858"/>
      <c r="Q20" s="2859">
        <f t="shared" si="2"/>
        <v>3</v>
      </c>
      <c r="R20" s="2860">
        <f t="shared" si="0"/>
        <v>0.35</v>
      </c>
      <c r="S20" s="2861">
        <f t="shared" si="3"/>
        <v>0</v>
      </c>
      <c r="T20" s="2862">
        <f t="shared" ref="T20:T21" si="5">AC20</f>
        <v>0</v>
      </c>
      <c r="U20" s="2863">
        <f>ROUNDDOWN(AD20,1)</f>
        <v>3</v>
      </c>
      <c r="V20" s="2788"/>
      <c r="W20" s="1841"/>
      <c r="X20" s="1841"/>
      <c r="Z20" s="1833">
        <f>Z21*AA21+Z30*AA30+Z31*AA31+Z32*AA32</f>
        <v>2.9999999999999996</v>
      </c>
      <c r="AA20" s="1658">
        <f>重み!D20</f>
        <v>0.35</v>
      </c>
      <c r="AB20" s="1833">
        <f>AB21*AC21+AB30*AC30+AB31*AC31+AB32*AC32</f>
        <v>0</v>
      </c>
      <c r="AC20" s="451">
        <f>SUM(AC21,AC30,AC31,AC32)</f>
        <v>0</v>
      </c>
      <c r="AD20" s="447">
        <f>IF(AB20=0,Z20,IF(Z20=0,AB20,Z20*AF$6+AB20*AH$6))</f>
        <v>2.9999999999999996</v>
      </c>
      <c r="AE20" s="434"/>
      <c r="AF20" s="442">
        <f>重み!M20</f>
        <v>0.35</v>
      </c>
      <c r="AG20" s="182"/>
      <c r="AH20" s="451">
        <f>SUM(AH21,AH30,AH31,AH32)</f>
        <v>0</v>
      </c>
      <c r="AI20" s="2563"/>
      <c r="AJ20" s="2563"/>
      <c r="AK20" s="2564"/>
    </row>
    <row r="21" spans="2:37" ht="14.25" customHeight="1" thickBot="1">
      <c r="B21" s="2843"/>
      <c r="C21" s="2035">
        <v>2.1</v>
      </c>
      <c r="D21" s="2129" t="s">
        <v>607</v>
      </c>
      <c r="E21" s="2106"/>
      <c r="F21" s="2106"/>
      <c r="G21" s="2106"/>
      <c r="H21" s="2855"/>
      <c r="I21" s="2836"/>
      <c r="J21" s="2837"/>
      <c r="K21" s="2837"/>
      <c r="L21" s="2837"/>
      <c r="M21" s="2837"/>
      <c r="N21" s="2837"/>
      <c r="O21" s="2837"/>
      <c r="P21" s="2838"/>
      <c r="Q21" s="2864">
        <f t="shared" si="2"/>
        <v>3</v>
      </c>
      <c r="R21" s="2865">
        <f t="shared" si="0"/>
        <v>0.5</v>
      </c>
      <c r="S21" s="2866">
        <f t="shared" si="3"/>
        <v>0</v>
      </c>
      <c r="T21" s="2867">
        <f t="shared" si="5"/>
        <v>0</v>
      </c>
      <c r="U21" s="2846"/>
      <c r="V21" s="2788"/>
      <c r="W21" s="1842"/>
      <c r="X21" s="1842"/>
      <c r="Z21" s="450">
        <f>SUMPRODUCT(Z22:Z29,AA22:AA29)</f>
        <v>2.9999999999999996</v>
      </c>
      <c r="AA21" s="1658">
        <f>重み!D21</f>
        <v>0.5</v>
      </c>
      <c r="AB21" s="450">
        <f>SUMPRODUCT(AB22:AB29,AC22:AC29)</f>
        <v>0</v>
      </c>
      <c r="AC21" s="1658">
        <f>重み!E21</f>
        <v>0</v>
      </c>
      <c r="AD21" s="447"/>
      <c r="AE21" s="434"/>
      <c r="AF21" s="442">
        <f>重み!M21</f>
        <v>0.5</v>
      </c>
      <c r="AG21" s="182"/>
      <c r="AH21" s="442">
        <f>重み!N21</f>
        <v>0</v>
      </c>
      <c r="AI21" s="2563"/>
      <c r="AJ21" s="2563"/>
      <c r="AK21" s="2564"/>
    </row>
    <row r="22" spans="2:37" ht="14.25" customHeight="1">
      <c r="B22" s="2843"/>
      <c r="C22" s="2019"/>
      <c r="D22" s="993">
        <v>1</v>
      </c>
      <c r="E22" s="1655" t="s">
        <v>760</v>
      </c>
      <c r="F22" s="1655"/>
      <c r="G22" s="1655"/>
      <c r="H22" s="2868"/>
      <c r="I22" s="3126">
        <f>採点Q1!G177</f>
        <v>0</v>
      </c>
      <c r="J22" s="3127"/>
      <c r="K22" s="3127"/>
      <c r="L22" s="3127"/>
      <c r="M22" s="3127"/>
      <c r="N22" s="3127"/>
      <c r="O22" s="3127"/>
      <c r="P22" s="3128"/>
      <c r="Q22" s="2149">
        <f t="shared" si="2"/>
        <v>3</v>
      </c>
      <c r="R22" s="2849">
        <f t="shared" si="0"/>
        <v>0.37499999999999994</v>
      </c>
      <c r="S22" s="2149">
        <f t="shared" si="3"/>
        <v>3</v>
      </c>
      <c r="T22" s="2849">
        <f t="shared" si="1"/>
        <v>0</v>
      </c>
      <c r="U22" s="2842"/>
      <c r="V22" s="2788"/>
      <c r="W22" s="1659">
        <f>IF(採点Q1!F155="対象外",0,採点Q1!F155)</f>
        <v>3</v>
      </c>
      <c r="X22" s="1660">
        <f>採点Q1!M155</f>
        <v>3</v>
      </c>
      <c r="Z22" s="453">
        <f>IF($Z$3=4,#REF!,W22)</f>
        <v>3</v>
      </c>
      <c r="AA22" s="1658">
        <f>重み!D22</f>
        <v>0.37499999999999994</v>
      </c>
      <c r="AB22" s="453">
        <f>IF($Z$3=4,#REF!,X22)</f>
        <v>3</v>
      </c>
      <c r="AC22" s="1658">
        <f>重み!E22</f>
        <v>0</v>
      </c>
      <c r="AD22" s="447"/>
      <c r="AE22" s="434"/>
      <c r="AF22" s="442">
        <f>重み!M22</f>
        <v>0.37499999999999994</v>
      </c>
      <c r="AG22" s="182"/>
      <c r="AH22" s="442">
        <f>重み!N22</f>
        <v>0</v>
      </c>
      <c r="AI22" s="2563"/>
      <c r="AJ22" s="2563"/>
      <c r="AK22" s="2564"/>
    </row>
    <row r="23" spans="2:37" ht="12.95" hidden="1" customHeight="1">
      <c r="B23" s="2850"/>
      <c r="C23" s="2257"/>
      <c r="D23" s="2245">
        <v>2</v>
      </c>
      <c r="E23" s="2244" t="s">
        <v>2474</v>
      </c>
      <c r="F23" s="2244"/>
      <c r="G23" s="2244"/>
      <c r="H23" s="2851"/>
      <c r="I23" s="3126"/>
      <c r="J23" s="3127"/>
      <c r="K23" s="3127"/>
      <c r="L23" s="3127"/>
      <c r="M23" s="3127"/>
      <c r="N23" s="3127"/>
      <c r="O23" s="3127"/>
      <c r="P23" s="3128"/>
      <c r="Q23" s="2063">
        <f t="shared" si="2"/>
        <v>0</v>
      </c>
      <c r="R23" s="2869">
        <f t="shared" si="0"/>
        <v>0</v>
      </c>
      <c r="S23" s="2063">
        <f t="shared" si="3"/>
        <v>0</v>
      </c>
      <c r="T23" s="2869">
        <f t="shared" si="1"/>
        <v>0</v>
      </c>
      <c r="U23" s="2870"/>
      <c r="V23" s="2788"/>
      <c r="W23" s="1663">
        <f>IF(採点Q1!F171="対象外",0,採点Q1!F171)</f>
        <v>0</v>
      </c>
      <c r="X23" s="1664"/>
      <c r="Z23" s="1"/>
      <c r="AA23" s="1658">
        <f>重み!D23</f>
        <v>0</v>
      </c>
      <c r="AB23" s="1"/>
      <c r="AC23" s="1658">
        <f>重み!E23</f>
        <v>0</v>
      </c>
      <c r="AD23" s="447"/>
      <c r="AE23" s="434"/>
      <c r="AF23" s="442">
        <f>重み!M23</f>
        <v>0</v>
      </c>
      <c r="AG23" s="182"/>
      <c r="AH23" s="442">
        <f>重み!N23</f>
        <v>0</v>
      </c>
      <c r="AI23" s="2563"/>
      <c r="AJ23" s="2563"/>
      <c r="AK23" s="2564"/>
    </row>
    <row r="24" spans="2:37" ht="14.25" customHeight="1">
      <c r="B24" s="2843"/>
      <c r="C24" s="2019"/>
      <c r="D24" s="993">
        <v>2</v>
      </c>
      <c r="E24" s="1655" t="s">
        <v>608</v>
      </c>
      <c r="F24" s="1655"/>
      <c r="G24" s="1655"/>
      <c r="H24" s="2868"/>
      <c r="I24" s="3126" t="str">
        <f>採点Q1!G194</f>
        <v>記入例；エアフロ―ウインドウの採用</v>
      </c>
      <c r="J24" s="3127"/>
      <c r="K24" s="3127"/>
      <c r="L24" s="3127"/>
      <c r="M24" s="3127"/>
      <c r="N24" s="3127"/>
      <c r="O24" s="3127"/>
      <c r="P24" s="3128"/>
      <c r="Q24" s="2063">
        <f t="shared" si="2"/>
        <v>3</v>
      </c>
      <c r="R24" s="2849">
        <f t="shared" si="0"/>
        <v>0.25</v>
      </c>
      <c r="S24" s="2063">
        <f t="shared" si="3"/>
        <v>3</v>
      </c>
      <c r="T24" s="2849">
        <f t="shared" si="1"/>
        <v>0</v>
      </c>
      <c r="U24" s="2842"/>
      <c r="V24" s="2788"/>
      <c r="W24" s="1663">
        <f>IF(採点Q1!F181="対象外",0,採点Q1!F181)</f>
        <v>3</v>
      </c>
      <c r="X24" s="1664">
        <f>採点Q1!K181</f>
        <v>3</v>
      </c>
      <c r="Z24" s="453">
        <f>IF($Z$3=4,#REF!,W24)</f>
        <v>3</v>
      </c>
      <c r="AA24" s="1658">
        <f>重み!D24</f>
        <v>0.25</v>
      </c>
      <c r="AB24" s="453">
        <f>IF($Z$3=4,#REF!,X24)</f>
        <v>3</v>
      </c>
      <c r="AC24" s="1658">
        <f>重み!E24</f>
        <v>0</v>
      </c>
      <c r="AD24" s="447"/>
      <c r="AE24" s="434"/>
      <c r="AF24" s="442">
        <f>重み!M24</f>
        <v>0.25</v>
      </c>
      <c r="AG24" s="182"/>
      <c r="AH24" s="442">
        <f>重み!N24</f>
        <v>0</v>
      </c>
      <c r="AI24" s="2563"/>
      <c r="AJ24" s="2563"/>
      <c r="AK24" s="2564"/>
    </row>
    <row r="25" spans="2:37" ht="14.25" customHeight="1">
      <c r="B25" s="2843"/>
      <c r="C25" s="2019"/>
      <c r="D25" s="993">
        <v>3</v>
      </c>
      <c r="E25" s="1655" t="s">
        <v>609</v>
      </c>
      <c r="F25" s="1655"/>
      <c r="G25" s="1655"/>
      <c r="H25" s="2868"/>
      <c r="I25" s="3126">
        <f>採点Q1!G236</f>
        <v>0</v>
      </c>
      <c r="J25" s="3127"/>
      <c r="K25" s="3127"/>
      <c r="L25" s="3127"/>
      <c r="M25" s="3127"/>
      <c r="N25" s="3127"/>
      <c r="O25" s="3127"/>
      <c r="P25" s="3128"/>
      <c r="Q25" s="2063">
        <f t="shared" si="2"/>
        <v>3</v>
      </c>
      <c r="R25" s="2849">
        <f t="shared" si="0"/>
        <v>0.37499999999999994</v>
      </c>
      <c r="S25" s="2063">
        <f t="shared" si="3"/>
        <v>0</v>
      </c>
      <c r="T25" s="2849">
        <f t="shared" si="1"/>
        <v>0</v>
      </c>
      <c r="U25" s="2842"/>
      <c r="V25" s="2788"/>
      <c r="W25" s="1663">
        <f>IF(採点Q1!F203="対象外",0,採点Q1!F203)</f>
        <v>3</v>
      </c>
      <c r="X25" s="1664"/>
      <c r="Z25" s="453">
        <f>IF($Z$3=4,#REF!,W25)</f>
        <v>3</v>
      </c>
      <c r="AA25" s="1658">
        <f>重み!D25</f>
        <v>0.37499999999999994</v>
      </c>
      <c r="AB25" s="453">
        <f>IF($Z$3=4,#REF!,X25)</f>
        <v>0</v>
      </c>
      <c r="AC25" s="1658">
        <f>重み!E25</f>
        <v>0</v>
      </c>
      <c r="AD25" s="447"/>
      <c r="AE25" s="434"/>
      <c r="AF25" s="442">
        <f>重み!M25</f>
        <v>0.37499999999999994</v>
      </c>
      <c r="AG25" s="182"/>
      <c r="AH25" s="442">
        <f>重み!N25</f>
        <v>0</v>
      </c>
      <c r="AI25" s="2563"/>
      <c r="AJ25" s="2563"/>
      <c r="AK25" s="2564"/>
    </row>
    <row r="26" spans="2:37" ht="12.95" hidden="1" customHeight="1">
      <c r="B26" s="2850"/>
      <c r="C26" s="2257"/>
      <c r="D26" s="2245">
        <v>5</v>
      </c>
      <c r="E26" s="2244" t="s">
        <v>1600</v>
      </c>
      <c r="F26" s="2244"/>
      <c r="G26" s="2244"/>
      <c r="H26" s="2851"/>
      <c r="I26" s="3126"/>
      <c r="J26" s="3127"/>
      <c r="K26" s="3127"/>
      <c r="L26" s="3127"/>
      <c r="M26" s="3127"/>
      <c r="N26" s="3127"/>
      <c r="O26" s="3127"/>
      <c r="P26" s="3128"/>
      <c r="Q26" s="2063">
        <f t="shared" si="2"/>
        <v>0</v>
      </c>
      <c r="R26" s="2869">
        <f t="shared" si="0"/>
        <v>0</v>
      </c>
      <c r="S26" s="2063">
        <f t="shared" si="3"/>
        <v>0</v>
      </c>
      <c r="T26" s="2869">
        <f t="shared" si="1"/>
        <v>0</v>
      </c>
      <c r="U26" s="2870"/>
      <c r="V26" s="2788"/>
      <c r="W26" s="1663">
        <f>IF(採点Q1!F212="対象外",0,採点Q1!F212)</f>
        <v>0</v>
      </c>
      <c r="X26" s="1664">
        <f>採点Q1!K212</f>
        <v>0</v>
      </c>
      <c r="Z26" s="1"/>
      <c r="AA26" s="1658">
        <f>重み!D26</f>
        <v>0</v>
      </c>
      <c r="AB26" s="1"/>
      <c r="AC26" s="1658">
        <f>重み!E26</f>
        <v>0</v>
      </c>
      <c r="AD26" s="447"/>
      <c r="AE26" s="434"/>
      <c r="AF26" s="442">
        <f>重み!M26</f>
        <v>0</v>
      </c>
      <c r="AG26" s="182"/>
      <c r="AH26" s="442">
        <f>重み!N26</f>
        <v>0</v>
      </c>
      <c r="AI26" s="2563"/>
      <c r="AJ26" s="2563"/>
      <c r="AK26" s="2564"/>
    </row>
    <row r="27" spans="2:37" ht="12.95" hidden="1" customHeight="1">
      <c r="B27" s="2850"/>
      <c r="C27" s="2257"/>
      <c r="D27" s="2245">
        <v>6</v>
      </c>
      <c r="E27" s="2244" t="s">
        <v>610</v>
      </c>
      <c r="F27" s="2244"/>
      <c r="G27" s="2244"/>
      <c r="H27" s="2851"/>
      <c r="I27" s="3126"/>
      <c r="J27" s="3127"/>
      <c r="K27" s="3127"/>
      <c r="L27" s="3127"/>
      <c r="M27" s="3127"/>
      <c r="N27" s="3127"/>
      <c r="O27" s="3127"/>
      <c r="P27" s="3128"/>
      <c r="Q27" s="2063">
        <f t="shared" si="2"/>
        <v>0</v>
      </c>
      <c r="R27" s="2869">
        <f t="shared" si="0"/>
        <v>0</v>
      </c>
      <c r="S27" s="2063">
        <f t="shared" si="3"/>
        <v>0</v>
      </c>
      <c r="T27" s="2869">
        <f t="shared" si="1"/>
        <v>0</v>
      </c>
      <c r="U27" s="2870"/>
      <c r="V27" s="2788"/>
      <c r="W27" s="1663"/>
      <c r="X27" s="1664">
        <f>採点Q1!F221</f>
        <v>0</v>
      </c>
      <c r="Z27" s="1"/>
      <c r="AA27" s="1658">
        <f>重み!D27</f>
        <v>0</v>
      </c>
      <c r="AB27" s="1"/>
      <c r="AC27" s="1658">
        <f>重み!E27</f>
        <v>0</v>
      </c>
      <c r="AD27" s="447"/>
      <c r="AE27" s="434"/>
      <c r="AF27" s="442">
        <f>重み!M27</f>
        <v>0</v>
      </c>
      <c r="AG27" s="182"/>
      <c r="AH27" s="442">
        <f>重み!N27</f>
        <v>0</v>
      </c>
      <c r="AI27" s="2563"/>
      <c r="AJ27" s="2563"/>
      <c r="AK27" s="2564"/>
    </row>
    <row r="28" spans="2:37" ht="12.95" hidden="1" customHeight="1">
      <c r="B28" s="2850"/>
      <c r="C28" s="2257"/>
      <c r="D28" s="2245">
        <v>7</v>
      </c>
      <c r="E28" s="2244" t="s">
        <v>217</v>
      </c>
      <c r="F28" s="2244"/>
      <c r="G28" s="2244"/>
      <c r="H28" s="2851"/>
      <c r="I28" s="3126"/>
      <c r="J28" s="3127"/>
      <c r="K28" s="3127"/>
      <c r="L28" s="3127"/>
      <c r="M28" s="3127"/>
      <c r="N28" s="3127"/>
      <c r="O28" s="3127"/>
      <c r="P28" s="3128"/>
      <c r="Q28" s="2063">
        <f t="shared" si="2"/>
        <v>0</v>
      </c>
      <c r="R28" s="2869">
        <f t="shared" si="0"/>
        <v>0</v>
      </c>
      <c r="S28" s="2063">
        <f t="shared" si="3"/>
        <v>0</v>
      </c>
      <c r="T28" s="2869">
        <f t="shared" si="1"/>
        <v>0</v>
      </c>
      <c r="U28" s="2870"/>
      <c r="V28" s="2788"/>
      <c r="W28" s="1663">
        <f>IF(採点Q1!F230="対象外",0,採点Q1!F230)</f>
        <v>0</v>
      </c>
      <c r="X28" s="1664"/>
      <c r="Z28" s="1"/>
      <c r="AA28" s="1658">
        <f>重み!D28</f>
        <v>0</v>
      </c>
      <c r="AB28" s="1"/>
      <c r="AC28" s="1658">
        <f>重み!E28</f>
        <v>0</v>
      </c>
      <c r="AD28" s="447"/>
      <c r="AE28" s="434"/>
      <c r="AF28" s="442">
        <f>重み!M28</f>
        <v>0</v>
      </c>
      <c r="AG28" s="182"/>
      <c r="AH28" s="442">
        <f>重み!N28</f>
        <v>0</v>
      </c>
      <c r="AI28" s="2563"/>
      <c r="AJ28" s="2563"/>
      <c r="AK28" s="2564"/>
    </row>
    <row r="29" spans="2:37" ht="12.95" hidden="1" customHeight="1">
      <c r="B29" s="2850"/>
      <c r="C29" s="2257"/>
      <c r="D29" s="2245">
        <v>8</v>
      </c>
      <c r="E29" s="2244" t="s">
        <v>218</v>
      </c>
      <c r="F29" s="2244"/>
      <c r="G29" s="2244"/>
      <c r="H29" s="2851"/>
      <c r="I29" s="3126"/>
      <c r="J29" s="3127"/>
      <c r="K29" s="3127"/>
      <c r="L29" s="3127"/>
      <c r="M29" s="3127"/>
      <c r="N29" s="3127"/>
      <c r="O29" s="3127"/>
      <c r="P29" s="3128"/>
      <c r="Q29" s="2063">
        <f t="shared" si="2"/>
        <v>0</v>
      </c>
      <c r="R29" s="2869">
        <f t="shared" si="0"/>
        <v>0</v>
      </c>
      <c r="S29" s="2063">
        <f t="shared" si="3"/>
        <v>0</v>
      </c>
      <c r="T29" s="2869">
        <f t="shared" si="1"/>
        <v>0</v>
      </c>
      <c r="U29" s="2870"/>
      <c r="V29" s="2788"/>
      <c r="W29" s="1663">
        <f>IF(採点Q1!K230="対象外",0,採点Q1!K230)</f>
        <v>0</v>
      </c>
      <c r="X29" s="1664"/>
      <c r="Z29" s="1"/>
      <c r="AA29" s="1658">
        <f>重み!D29</f>
        <v>0</v>
      </c>
      <c r="AB29" s="1"/>
      <c r="AC29" s="1658">
        <f>重み!E29</f>
        <v>0</v>
      </c>
      <c r="AD29" s="447"/>
      <c r="AE29" s="434"/>
      <c r="AF29" s="442">
        <f>重み!M29</f>
        <v>0</v>
      </c>
      <c r="AG29" s="182"/>
      <c r="AH29" s="442">
        <f>重み!N29</f>
        <v>0</v>
      </c>
      <c r="AI29" s="2563"/>
      <c r="AJ29" s="2563"/>
      <c r="AK29" s="2564"/>
    </row>
    <row r="30" spans="2:37" ht="14.25" customHeight="1">
      <c r="B30" s="2843"/>
      <c r="C30" s="2069">
        <v>2.2000000000000002</v>
      </c>
      <c r="D30" s="1655" t="s">
        <v>219</v>
      </c>
      <c r="E30" s="2036"/>
      <c r="F30" s="2036"/>
      <c r="G30" s="2036"/>
      <c r="H30" s="2868"/>
      <c r="I30" s="3126">
        <f>採点Q1!G253</f>
        <v>0</v>
      </c>
      <c r="J30" s="3127"/>
      <c r="K30" s="3127"/>
      <c r="L30" s="3127"/>
      <c r="M30" s="3127"/>
      <c r="N30" s="3127"/>
      <c r="O30" s="3127"/>
      <c r="P30" s="3128"/>
      <c r="Q30" s="2871">
        <f t="shared" si="2"/>
        <v>3</v>
      </c>
      <c r="R30" s="2849">
        <f t="shared" si="0"/>
        <v>0.2</v>
      </c>
      <c r="S30" s="2871">
        <f t="shared" si="3"/>
        <v>3</v>
      </c>
      <c r="T30" s="2849">
        <f t="shared" si="1"/>
        <v>0</v>
      </c>
      <c r="U30" s="2842"/>
      <c r="V30" s="2788"/>
      <c r="W30" s="1663">
        <f>IF(採点Q1!F240="対象外",0,採点Q1!F240)</f>
        <v>3</v>
      </c>
      <c r="X30" s="1664">
        <f>採点Q1!K240</f>
        <v>3</v>
      </c>
      <c r="Z30" s="1832">
        <f>IF($Z$3=4,#REF!,W30)</f>
        <v>3</v>
      </c>
      <c r="AA30" s="1658">
        <f>重み!D30</f>
        <v>0.2</v>
      </c>
      <c r="AB30" s="1832">
        <f>IF($Z$3=4,#REF!,X30)</f>
        <v>3</v>
      </c>
      <c r="AC30" s="1658">
        <f>重み!E30</f>
        <v>0</v>
      </c>
      <c r="AD30" s="447"/>
      <c r="AE30" s="434"/>
      <c r="AF30" s="442">
        <f>重み!M30</f>
        <v>0.2</v>
      </c>
      <c r="AG30" s="182"/>
      <c r="AH30" s="442">
        <f>重み!N30</f>
        <v>0</v>
      </c>
      <c r="AI30" s="2563"/>
      <c r="AJ30" s="2563"/>
      <c r="AK30" s="2564"/>
    </row>
    <row r="31" spans="2:37" ht="14.25" customHeight="1" thickBot="1">
      <c r="B31" s="2843"/>
      <c r="C31" s="2068">
        <v>2.2999999999999998</v>
      </c>
      <c r="D31" s="2107" t="s">
        <v>220</v>
      </c>
      <c r="E31" s="2106"/>
      <c r="F31" s="2106"/>
      <c r="G31" s="2106"/>
      <c r="H31" s="2855"/>
      <c r="I31" s="3126">
        <f>採点Q1!G280</f>
        <v>0</v>
      </c>
      <c r="J31" s="3127"/>
      <c r="K31" s="3127"/>
      <c r="L31" s="3127"/>
      <c r="M31" s="3127"/>
      <c r="N31" s="3127"/>
      <c r="O31" s="3127"/>
      <c r="P31" s="3128"/>
      <c r="Q31" s="2063">
        <f t="shared" si="2"/>
        <v>3</v>
      </c>
      <c r="R31" s="2849">
        <f t="shared" si="0"/>
        <v>0.3</v>
      </c>
      <c r="S31" s="2063">
        <f t="shared" si="3"/>
        <v>3</v>
      </c>
      <c r="T31" s="2849">
        <f t="shared" si="1"/>
        <v>0</v>
      </c>
      <c r="U31" s="2842"/>
      <c r="V31" s="2788"/>
      <c r="W31" s="1661">
        <f>IF(採点Q1!F257="対象外",0,採点Q1!F257)</f>
        <v>3</v>
      </c>
      <c r="X31" s="1662">
        <f>採点Q1!K257</f>
        <v>3</v>
      </c>
      <c r="Z31" s="1832">
        <f>IF($Z$3=4,#REF!,W31)</f>
        <v>3</v>
      </c>
      <c r="AA31" s="1658">
        <f>重み!D31</f>
        <v>0.3</v>
      </c>
      <c r="AB31" s="1832">
        <f>IF($Z$3=4,#REF!,X31)</f>
        <v>3</v>
      </c>
      <c r="AC31" s="1658">
        <f>重み!E31</f>
        <v>0</v>
      </c>
      <c r="AD31" s="447"/>
      <c r="AE31" s="434"/>
      <c r="AF31" s="442">
        <f>重み!M31</f>
        <v>0.3</v>
      </c>
      <c r="AG31" s="182"/>
      <c r="AH31" s="442">
        <f>重み!N31</f>
        <v>0</v>
      </c>
      <c r="AI31" s="2563"/>
      <c r="AJ31" s="2563"/>
      <c r="AK31" s="2564"/>
    </row>
    <row r="32" spans="2:37" ht="14.45" hidden="1" customHeight="1" thickBot="1">
      <c r="B32" s="2843"/>
      <c r="C32" s="2277">
        <v>2.2999999999999998</v>
      </c>
      <c r="D32" s="2217" t="s">
        <v>220</v>
      </c>
      <c r="E32" s="2036"/>
      <c r="F32" s="2036"/>
      <c r="G32" s="2036"/>
      <c r="H32" s="2868"/>
      <c r="I32" s="2836"/>
      <c r="J32" s="2837"/>
      <c r="K32" s="2837"/>
      <c r="L32" s="2837"/>
      <c r="M32" s="2837"/>
      <c r="N32" s="2837"/>
      <c r="O32" s="2837"/>
      <c r="P32" s="2838"/>
      <c r="Q32" s="2063">
        <f t="shared" si="2"/>
        <v>0</v>
      </c>
      <c r="R32" s="2849">
        <f t="shared" ref="R32" si="6">AA32</f>
        <v>0</v>
      </c>
      <c r="S32" s="2063">
        <f t="shared" si="3"/>
        <v>0</v>
      </c>
      <c r="T32" s="2849">
        <f t="shared" ref="T32" si="7">AC32</f>
        <v>0</v>
      </c>
      <c r="U32" s="2842"/>
      <c r="V32" s="2788"/>
      <c r="Z32" s="450">
        <f>SUMPRODUCT(Z33:Z34,AA33:AA34)</f>
        <v>0</v>
      </c>
      <c r="AA32" s="1658">
        <f>重み!D32</f>
        <v>0</v>
      </c>
      <c r="AB32" s="450">
        <f>SUMPRODUCT(AB33:AB34,AC33:AC34)</f>
        <v>0</v>
      </c>
      <c r="AC32" s="1658">
        <f>重み!E32</f>
        <v>0</v>
      </c>
      <c r="AD32" s="447"/>
      <c r="AE32" s="434"/>
      <c r="AF32" s="442">
        <f>重み!M32</f>
        <v>0</v>
      </c>
      <c r="AG32" s="182"/>
      <c r="AH32" s="442">
        <f>重み!N33</f>
        <v>0</v>
      </c>
      <c r="AI32" s="2563"/>
      <c r="AJ32" s="2563"/>
      <c r="AK32" s="2564"/>
    </row>
    <row r="33" spans="2:37" ht="13.5" hidden="1" customHeight="1" thickBot="1">
      <c r="B33" s="2843"/>
      <c r="C33" s="2273"/>
      <c r="D33" s="2218">
        <v>1</v>
      </c>
      <c r="E33" s="2217" t="s">
        <v>221</v>
      </c>
      <c r="F33" s="2217"/>
      <c r="G33" s="2217"/>
      <c r="H33" s="2872"/>
      <c r="I33" s="3126"/>
      <c r="J33" s="3127"/>
      <c r="K33" s="3127"/>
      <c r="L33" s="3127"/>
      <c r="M33" s="3127"/>
      <c r="N33" s="3127"/>
      <c r="O33" s="3127"/>
      <c r="P33" s="3128"/>
      <c r="Q33" s="2063">
        <f t="shared" si="2"/>
        <v>0</v>
      </c>
      <c r="R33" s="2849">
        <f t="shared" si="0"/>
        <v>0</v>
      </c>
      <c r="S33" s="2063">
        <f t="shared" si="3"/>
        <v>0</v>
      </c>
      <c r="T33" s="2849">
        <f t="shared" si="1"/>
        <v>0</v>
      </c>
      <c r="U33" s="2842"/>
      <c r="V33" s="2873"/>
      <c r="W33" s="1659">
        <f>採点Q1!F274</f>
        <v>0</v>
      </c>
      <c r="X33" s="1660"/>
      <c r="Z33" s="453">
        <f>IF($Z$3=4,#REF!,W33)</f>
        <v>0</v>
      </c>
      <c r="AA33" s="1658">
        <f>重み!D33</f>
        <v>0</v>
      </c>
      <c r="AB33" s="453">
        <f>IF($Z$3=4,#REF!,X33)</f>
        <v>0</v>
      </c>
      <c r="AC33" s="1658">
        <f>重み!E33</f>
        <v>0</v>
      </c>
      <c r="AD33" s="447"/>
      <c r="AE33" s="434"/>
      <c r="AF33" s="442">
        <f>重み!M33</f>
        <v>0</v>
      </c>
      <c r="AG33" s="182"/>
      <c r="AH33" s="442">
        <f>重み!N33</f>
        <v>0</v>
      </c>
      <c r="AI33" s="2563"/>
      <c r="AJ33" s="2563"/>
      <c r="AK33" s="2564"/>
    </row>
    <row r="34" spans="2:37" ht="13.5" hidden="1" customHeight="1" thickBot="1">
      <c r="B34" s="2874"/>
      <c r="C34" s="2268"/>
      <c r="D34" s="2218">
        <v>2</v>
      </c>
      <c r="E34" s="2217" t="s">
        <v>1532</v>
      </c>
      <c r="F34" s="2217"/>
      <c r="G34" s="2217"/>
      <c r="H34" s="2872"/>
      <c r="I34" s="3126"/>
      <c r="J34" s="3127"/>
      <c r="K34" s="3127"/>
      <c r="L34" s="3127"/>
      <c r="M34" s="3127"/>
      <c r="N34" s="3127"/>
      <c r="O34" s="3127"/>
      <c r="P34" s="3128"/>
      <c r="Q34" s="2157">
        <f t="shared" si="2"/>
        <v>0</v>
      </c>
      <c r="R34" s="2849">
        <f t="shared" si="0"/>
        <v>0</v>
      </c>
      <c r="S34" s="2157">
        <f t="shared" si="3"/>
        <v>0</v>
      </c>
      <c r="T34" s="2849">
        <f t="shared" si="1"/>
        <v>0</v>
      </c>
      <c r="U34" s="2842"/>
      <c r="V34" s="2873"/>
      <c r="W34" s="1661">
        <f>採点Q1!K274</f>
        <v>0</v>
      </c>
      <c r="X34" s="1662"/>
      <c r="Z34" s="453">
        <f>IF($Z$3=4,#REF!,W34)</f>
        <v>0</v>
      </c>
      <c r="AA34" s="1658">
        <f>重み!D34</f>
        <v>0</v>
      </c>
      <c r="AB34" s="453">
        <f>IF($Z$3=4,#REF!,X34)</f>
        <v>0</v>
      </c>
      <c r="AC34" s="1658">
        <f>重み!E34</f>
        <v>0</v>
      </c>
      <c r="AD34" s="447"/>
      <c r="AE34" s="434"/>
      <c r="AF34" s="442">
        <f>重み!M34</f>
        <v>0</v>
      </c>
      <c r="AG34" s="182"/>
      <c r="AH34" s="442">
        <f>重み!N34</f>
        <v>0</v>
      </c>
      <c r="AI34" s="2563"/>
      <c r="AJ34" s="2563"/>
      <c r="AK34" s="2564"/>
    </row>
    <row r="35" spans="2:37" ht="14.25" customHeight="1">
      <c r="B35" s="2854">
        <v>3</v>
      </c>
      <c r="C35" s="2058" t="s">
        <v>1533</v>
      </c>
      <c r="D35" s="2116"/>
      <c r="E35" s="2106"/>
      <c r="F35" s="2106"/>
      <c r="G35" s="2106"/>
      <c r="H35" s="2855"/>
      <c r="I35" s="2875"/>
      <c r="J35" s="2876"/>
      <c r="K35" s="2876"/>
      <c r="L35" s="2876"/>
      <c r="M35" s="2876"/>
      <c r="N35" s="2876"/>
      <c r="O35" s="2876"/>
      <c r="P35" s="2877"/>
      <c r="Q35" s="2878">
        <f t="shared" si="2"/>
        <v>3</v>
      </c>
      <c r="R35" s="2860">
        <f>AA35</f>
        <v>0.25</v>
      </c>
      <c r="S35" s="2878">
        <f t="shared" si="3"/>
        <v>0</v>
      </c>
      <c r="T35" s="2862">
        <f t="shared" ref="T35:T36" si="8">AC35</f>
        <v>0</v>
      </c>
      <c r="U35" s="2863">
        <f>ROUNDDOWN(AD35,1)</f>
        <v>3</v>
      </c>
      <c r="V35" s="2788"/>
      <c r="W35" s="1841"/>
      <c r="X35" s="1841"/>
      <c r="Z35" s="1833">
        <f>Z36*AA36+Z40*AA40+Z44*AA44+Z47*AA47</f>
        <v>3</v>
      </c>
      <c r="AA35" s="1658">
        <f>重み!D35</f>
        <v>0.25</v>
      </c>
      <c r="AB35" s="1833">
        <f>AB36*AC36+AB40*AC40+AB44*AC44+AB47*AC47</f>
        <v>0</v>
      </c>
      <c r="AC35" s="451">
        <f>SUM(AC36,AC40,AC44,AC47)</f>
        <v>0</v>
      </c>
      <c r="AD35" s="447">
        <f>IF(AB35=0,Z35,IF(Z35=0,AB35,Z35*AF$6+AB35*AH$6))</f>
        <v>3</v>
      </c>
      <c r="AE35" s="434"/>
      <c r="AF35" s="442">
        <f>重み!M35</f>
        <v>0.25</v>
      </c>
      <c r="AG35" s="182"/>
      <c r="AH35" s="451">
        <f>SUM(AH36,AH40,AH44,AH47)</f>
        <v>0</v>
      </c>
      <c r="AI35" s="2563"/>
      <c r="AJ35" s="2563"/>
      <c r="AK35" s="2564"/>
    </row>
    <row r="36" spans="2:37" ht="14.25" customHeight="1" thickBot="1">
      <c r="B36" s="2843"/>
      <c r="C36" s="2035">
        <v>3.1</v>
      </c>
      <c r="D36" s="2129" t="s">
        <v>1534</v>
      </c>
      <c r="E36" s="2106"/>
      <c r="F36" s="2106"/>
      <c r="G36" s="2106"/>
      <c r="H36" s="2855"/>
      <c r="I36" s="2875"/>
      <c r="J36" s="2876"/>
      <c r="K36" s="2876"/>
      <c r="L36" s="2876"/>
      <c r="M36" s="2876"/>
      <c r="N36" s="2876"/>
      <c r="O36" s="2876"/>
      <c r="P36" s="2877"/>
      <c r="Q36" s="2864">
        <f t="shared" si="2"/>
        <v>3</v>
      </c>
      <c r="R36" s="2865">
        <f>AA36</f>
        <v>0.3</v>
      </c>
      <c r="S36" s="2866">
        <f t="shared" si="3"/>
        <v>0</v>
      </c>
      <c r="T36" s="2867">
        <f t="shared" si="8"/>
        <v>0</v>
      </c>
      <c r="U36" s="2846"/>
      <c r="V36" s="2788"/>
      <c r="W36" s="1842"/>
      <c r="X36" s="1842"/>
      <c r="Z36" s="450">
        <f>SUMPRODUCT(Z37:Z39,AA37:AA39)</f>
        <v>3</v>
      </c>
      <c r="AA36" s="1658">
        <f>重み!D36</f>
        <v>0.3</v>
      </c>
      <c r="AB36" s="450">
        <f>SUMPRODUCT(AB37:AB39,AC37:AC39)</f>
        <v>0</v>
      </c>
      <c r="AC36" s="1658">
        <f>重み!E36</f>
        <v>0</v>
      </c>
      <c r="AD36" s="447"/>
      <c r="AE36" s="434"/>
      <c r="AF36" s="442">
        <f>重み!M36</f>
        <v>0.3</v>
      </c>
      <c r="AG36" s="182"/>
      <c r="AH36" s="442">
        <f>重み!N36</f>
        <v>0</v>
      </c>
      <c r="AI36" s="2563"/>
      <c r="AJ36" s="2563"/>
      <c r="AK36" s="2564"/>
    </row>
    <row r="37" spans="2:37" ht="14.25" customHeight="1">
      <c r="B37" s="2843"/>
      <c r="C37" s="2019"/>
      <c r="D37" s="993">
        <v>1</v>
      </c>
      <c r="E37" s="1655" t="s">
        <v>1535</v>
      </c>
      <c r="F37" s="1655"/>
      <c r="G37" s="1655"/>
      <c r="H37" s="2868"/>
      <c r="I37" s="3126">
        <f>採点Q1!G292</f>
        <v>0</v>
      </c>
      <c r="J37" s="3127"/>
      <c r="K37" s="3127"/>
      <c r="L37" s="3127"/>
      <c r="M37" s="3127"/>
      <c r="N37" s="3127"/>
      <c r="O37" s="3127"/>
      <c r="P37" s="3128"/>
      <c r="Q37" s="2149">
        <f t="shared" si="2"/>
        <v>3</v>
      </c>
      <c r="R37" s="2849">
        <f t="shared" si="0"/>
        <v>0.6</v>
      </c>
      <c r="S37" s="2149">
        <f t="shared" si="3"/>
        <v>3</v>
      </c>
      <c r="T37" s="2849">
        <f t="shared" si="1"/>
        <v>0</v>
      </c>
      <c r="U37" s="2842"/>
      <c r="V37" s="2788"/>
      <c r="W37" s="1659">
        <f>IF(採点Q1!F286="対象外",0,採点Q1!F286)</f>
        <v>3</v>
      </c>
      <c r="X37" s="1660">
        <f>採点Q1!K286</f>
        <v>3</v>
      </c>
      <c r="Z37" s="453">
        <f>IF($Z$3=4,#REF!,W37)</f>
        <v>3</v>
      </c>
      <c r="AA37" s="1658">
        <f>重み!D37</f>
        <v>0.6</v>
      </c>
      <c r="AB37" s="453">
        <f>IF($Z$3=4,#REF!,X37)</f>
        <v>3</v>
      </c>
      <c r="AC37" s="1658">
        <f>重み!E37</f>
        <v>0</v>
      </c>
      <c r="AD37" s="447"/>
      <c r="AE37" s="434"/>
      <c r="AF37" s="442">
        <f>重み!M37</f>
        <v>0.6</v>
      </c>
      <c r="AG37" s="182"/>
      <c r="AH37" s="442">
        <f>重み!N37</f>
        <v>0</v>
      </c>
      <c r="AI37" s="2563"/>
      <c r="AJ37" s="2563"/>
      <c r="AK37" s="2564"/>
    </row>
    <row r="38" spans="2:37" ht="14.25" customHeight="1">
      <c r="B38" s="2843"/>
      <c r="C38" s="2019"/>
      <c r="D38" s="993">
        <v>2</v>
      </c>
      <c r="E38" s="1655" t="s">
        <v>1536</v>
      </c>
      <c r="F38" s="1655"/>
      <c r="G38" s="1655"/>
      <c r="H38" s="2868"/>
      <c r="I38" s="3126">
        <f>採点Q1!G303</f>
        <v>0</v>
      </c>
      <c r="J38" s="3127"/>
      <c r="K38" s="3127"/>
      <c r="L38" s="3127"/>
      <c r="M38" s="3127"/>
      <c r="N38" s="3127"/>
      <c r="O38" s="3127"/>
      <c r="P38" s="3128"/>
      <c r="Q38" s="2063">
        <f t="shared" si="2"/>
        <v>0</v>
      </c>
      <c r="R38" s="2849">
        <f t="shared" si="0"/>
        <v>0</v>
      </c>
      <c r="S38" s="2063">
        <f t="shared" si="3"/>
        <v>3</v>
      </c>
      <c r="T38" s="2849">
        <f t="shared" si="1"/>
        <v>0</v>
      </c>
      <c r="U38" s="2842"/>
      <c r="V38" s="2788"/>
      <c r="W38" s="1663"/>
      <c r="X38" s="1664">
        <f>採点Q1!F297</f>
        <v>3</v>
      </c>
      <c r="Z38" s="453">
        <f>IF($Z$3=4,#REF!,W38)</f>
        <v>0</v>
      </c>
      <c r="AA38" s="1658">
        <f>重み!D38</f>
        <v>0</v>
      </c>
      <c r="AB38" s="453">
        <f>IF($Z$3=4,#REF!,X38)</f>
        <v>3</v>
      </c>
      <c r="AC38" s="1658">
        <f>重み!E38</f>
        <v>0</v>
      </c>
      <c r="AD38" s="447"/>
      <c r="AE38" s="434"/>
      <c r="AF38" s="442">
        <f>重み!M38</f>
        <v>0</v>
      </c>
      <c r="AG38" s="182"/>
      <c r="AH38" s="442">
        <f>重み!N38</f>
        <v>0</v>
      </c>
      <c r="AI38" s="2563"/>
      <c r="AJ38" s="2563"/>
      <c r="AK38" s="2564"/>
    </row>
    <row r="39" spans="2:37" ht="14.25" customHeight="1" thickBot="1">
      <c r="B39" s="2843"/>
      <c r="C39" s="2067"/>
      <c r="D39" s="993">
        <v>3</v>
      </c>
      <c r="E39" s="1655" t="s">
        <v>1537</v>
      </c>
      <c r="F39" s="1655"/>
      <c r="G39" s="1655"/>
      <c r="H39" s="2868"/>
      <c r="I39" s="3126">
        <f>採点Q1!G313</f>
        <v>0</v>
      </c>
      <c r="J39" s="3127"/>
      <c r="K39" s="3127"/>
      <c r="L39" s="3127"/>
      <c r="M39" s="3127"/>
      <c r="N39" s="3127"/>
      <c r="O39" s="3127"/>
      <c r="P39" s="3128"/>
      <c r="Q39" s="2143">
        <f t="shared" si="2"/>
        <v>3</v>
      </c>
      <c r="R39" s="2849">
        <f t="shared" si="0"/>
        <v>0.4</v>
      </c>
      <c r="S39" s="2143">
        <f t="shared" si="3"/>
        <v>3</v>
      </c>
      <c r="T39" s="2849">
        <f t="shared" si="1"/>
        <v>0</v>
      </c>
      <c r="U39" s="2842"/>
      <c r="V39" s="2788"/>
      <c r="W39" s="1661">
        <f>IF(採点Q1!F307="対象外",0,採点Q1!F307)</f>
        <v>3</v>
      </c>
      <c r="X39" s="1662">
        <f>採点Q1!K307</f>
        <v>3</v>
      </c>
      <c r="Z39" s="453">
        <f>IF($Z$3=4,#REF!,W39)</f>
        <v>3</v>
      </c>
      <c r="AA39" s="1658">
        <f>重み!D39</f>
        <v>0.4</v>
      </c>
      <c r="AB39" s="453">
        <f>IF($Z$3=4,#REF!,X39)</f>
        <v>3</v>
      </c>
      <c r="AC39" s="1658">
        <f>重み!E39</f>
        <v>0</v>
      </c>
      <c r="AD39" s="447"/>
      <c r="AE39" s="434"/>
      <c r="AF39" s="442">
        <f>重み!M39</f>
        <v>0.4</v>
      </c>
      <c r="AG39" s="182"/>
      <c r="AH39" s="442">
        <f>重み!N39</f>
        <v>0</v>
      </c>
      <c r="AI39" s="1"/>
      <c r="AJ39" s="1"/>
    </row>
    <row r="40" spans="2:37" ht="14.25" customHeight="1" thickBot="1">
      <c r="B40" s="2879"/>
      <c r="C40" s="2068">
        <v>3.2</v>
      </c>
      <c r="D40" s="2107" t="s">
        <v>1538</v>
      </c>
      <c r="E40" s="2106"/>
      <c r="F40" s="2106"/>
      <c r="G40" s="2106"/>
      <c r="H40" s="2855"/>
      <c r="I40" s="2836"/>
      <c r="J40" s="2837"/>
      <c r="K40" s="2837"/>
      <c r="L40" s="2837"/>
      <c r="M40" s="2837"/>
      <c r="N40" s="2837"/>
      <c r="O40" s="2837"/>
      <c r="P40" s="2838"/>
      <c r="Q40" s="2852">
        <f t="shared" si="2"/>
        <v>3</v>
      </c>
      <c r="R40" s="2840">
        <f>AA40</f>
        <v>0.3</v>
      </c>
      <c r="S40" s="2852">
        <f t="shared" si="3"/>
        <v>0</v>
      </c>
      <c r="T40" s="2841">
        <f t="shared" ref="T40" si="9">AC40</f>
        <v>0</v>
      </c>
      <c r="U40" s="2842"/>
      <c r="V40" s="2788"/>
      <c r="W40" s="1840"/>
      <c r="X40" s="1840"/>
      <c r="Z40" s="450">
        <f>SUMPRODUCT(Z41:Z43,AA41:AA43)</f>
        <v>3</v>
      </c>
      <c r="AA40" s="1658">
        <f>重み!D40</f>
        <v>0.3</v>
      </c>
      <c r="AB40" s="450">
        <f>SUMPRODUCT(AB41:AB43,AC41:AC43)</f>
        <v>0</v>
      </c>
      <c r="AC40" s="1658">
        <f>重み!E40</f>
        <v>0</v>
      </c>
      <c r="AD40" s="447"/>
      <c r="AE40" s="434"/>
      <c r="AF40" s="442">
        <f>重み!M40</f>
        <v>0.3</v>
      </c>
      <c r="AG40" s="182"/>
      <c r="AH40" s="442">
        <f>重み!N40</f>
        <v>0</v>
      </c>
      <c r="AI40" s="2563"/>
      <c r="AJ40" s="2563"/>
      <c r="AK40" s="2564"/>
    </row>
    <row r="41" spans="2:37" ht="14.25" hidden="1" customHeight="1">
      <c r="B41" s="2880"/>
      <c r="C41" s="2257"/>
      <c r="D41" s="2245">
        <v>1</v>
      </c>
      <c r="E41" s="2244" t="s">
        <v>1539</v>
      </c>
      <c r="F41" s="2244"/>
      <c r="G41" s="2244"/>
      <c r="H41" s="2851"/>
      <c r="I41" s="3126"/>
      <c r="J41" s="3127"/>
      <c r="K41" s="3127"/>
      <c r="L41" s="3127"/>
      <c r="M41" s="3127"/>
      <c r="N41" s="3127"/>
      <c r="O41" s="3127"/>
      <c r="P41" s="3128"/>
      <c r="Q41" s="2149">
        <f t="shared" si="2"/>
        <v>0</v>
      </c>
      <c r="R41" s="2869">
        <f t="shared" si="0"/>
        <v>0</v>
      </c>
      <c r="S41" s="2149">
        <f t="shared" si="3"/>
        <v>0</v>
      </c>
      <c r="T41" s="2869">
        <f t="shared" si="1"/>
        <v>0</v>
      </c>
      <c r="U41" s="2870"/>
      <c r="V41" s="2788"/>
      <c r="W41" s="1659">
        <f>IF(採点Q1!F318="対象外",0,採点Q1!F318)</f>
        <v>0</v>
      </c>
      <c r="X41" s="1660">
        <f>採点Q1!K318</f>
        <v>0</v>
      </c>
      <c r="Z41" s="1"/>
      <c r="AA41" s="1658">
        <f>重み!D41</f>
        <v>0</v>
      </c>
      <c r="AB41" s="1"/>
      <c r="AC41" s="1658">
        <f>重み!E41</f>
        <v>0</v>
      </c>
      <c r="AD41" s="447"/>
      <c r="AE41" s="434"/>
      <c r="AF41" s="442">
        <f>重み!M41</f>
        <v>0</v>
      </c>
      <c r="AG41" s="182"/>
      <c r="AH41" s="442">
        <f>重み!N41</f>
        <v>0</v>
      </c>
      <c r="AI41" s="2563"/>
      <c r="AJ41" s="2563"/>
      <c r="AK41" s="2564"/>
    </row>
    <row r="42" spans="2:37" ht="14.25" customHeight="1">
      <c r="B42" s="2879"/>
      <c r="C42" s="2019"/>
      <c r="D42" s="993">
        <v>1</v>
      </c>
      <c r="E42" s="1655" t="s">
        <v>1540</v>
      </c>
      <c r="F42" s="1655"/>
      <c r="G42" s="1655"/>
      <c r="H42" s="2868"/>
      <c r="I42" s="3126">
        <f>採点Q1!G333</f>
        <v>0</v>
      </c>
      <c r="J42" s="3127"/>
      <c r="K42" s="3127"/>
      <c r="L42" s="3127"/>
      <c r="M42" s="3127"/>
      <c r="N42" s="3127"/>
      <c r="O42" s="3127"/>
      <c r="P42" s="3128"/>
      <c r="Q42" s="2063">
        <f t="shared" si="2"/>
        <v>3</v>
      </c>
      <c r="R42" s="2849">
        <f t="shared" si="0"/>
        <v>1</v>
      </c>
      <c r="S42" s="2871">
        <f t="shared" si="3"/>
        <v>3</v>
      </c>
      <c r="T42" s="2849">
        <f t="shared" si="1"/>
        <v>0</v>
      </c>
      <c r="U42" s="2842"/>
      <c r="V42" s="2788"/>
      <c r="W42" s="1663">
        <f>IF(採点Q1!F327="対象外",0,採点Q1!F327)</f>
        <v>3</v>
      </c>
      <c r="X42" s="1664">
        <f>採点Q1!K327</f>
        <v>3</v>
      </c>
      <c r="Z42" s="453">
        <f>IF($Z$3=4,#REF!,W42)</f>
        <v>3</v>
      </c>
      <c r="AA42" s="1658">
        <f>重み!D42</f>
        <v>1</v>
      </c>
      <c r="AB42" s="453">
        <f>IF($Z$3=4,#REF!,X42)</f>
        <v>3</v>
      </c>
      <c r="AC42" s="1658">
        <f>重み!E42</f>
        <v>0</v>
      </c>
      <c r="AD42" s="447"/>
      <c r="AE42" s="434"/>
      <c r="AF42" s="442">
        <f>重み!M42</f>
        <v>1</v>
      </c>
      <c r="AG42" s="182"/>
      <c r="AH42" s="442">
        <f>重み!N42</f>
        <v>0</v>
      </c>
      <c r="AI42" s="2563"/>
      <c r="AJ42" s="2563"/>
      <c r="AK42" s="2564"/>
    </row>
    <row r="43" spans="2:37" ht="14.25" hidden="1" customHeight="1">
      <c r="B43" s="2879"/>
      <c r="C43" s="2067"/>
      <c r="D43" s="2218">
        <v>2</v>
      </c>
      <c r="E43" s="2217" t="s">
        <v>827</v>
      </c>
      <c r="F43" s="1655"/>
      <c r="G43" s="1655"/>
      <c r="H43" s="2872"/>
      <c r="I43" s="3126"/>
      <c r="J43" s="3127"/>
      <c r="K43" s="3127"/>
      <c r="L43" s="3127"/>
      <c r="M43" s="3127"/>
      <c r="N43" s="3127"/>
      <c r="O43" s="3127"/>
      <c r="P43" s="3128"/>
      <c r="Q43" s="2063">
        <f t="shared" si="2"/>
        <v>0</v>
      </c>
      <c r="R43" s="2849">
        <f t="shared" si="0"/>
        <v>0</v>
      </c>
      <c r="S43" s="2871">
        <f t="shared" si="3"/>
        <v>0</v>
      </c>
      <c r="T43" s="2849">
        <f t="shared" si="1"/>
        <v>0</v>
      </c>
      <c r="U43" s="2842"/>
      <c r="V43" s="2788"/>
      <c r="W43" s="1663">
        <f>採点Q1!F337</f>
        <v>0</v>
      </c>
      <c r="X43" s="1664"/>
      <c r="Z43" s="453">
        <f>IF($Z$3=4,#REF!,W43)</f>
        <v>0</v>
      </c>
      <c r="AA43" s="1658">
        <f>重み!D43</f>
        <v>0</v>
      </c>
      <c r="AB43" s="453">
        <f>IF($Z$3=4,#REF!,X43)</f>
        <v>0</v>
      </c>
      <c r="AC43" s="1658">
        <f>重み!E43</f>
        <v>0</v>
      </c>
      <c r="AD43" s="447"/>
      <c r="AE43" s="434"/>
      <c r="AF43" s="442">
        <f>重み!M43</f>
        <v>0</v>
      </c>
      <c r="AG43" s="182"/>
      <c r="AH43" s="442">
        <f>重み!N43</f>
        <v>0</v>
      </c>
      <c r="AI43" s="2563"/>
      <c r="AJ43" s="2563"/>
      <c r="AK43" s="2564"/>
    </row>
    <row r="44" spans="2:37" ht="14.25" customHeight="1">
      <c r="B44" s="2881"/>
      <c r="C44" s="2035">
        <v>3.3</v>
      </c>
      <c r="D44" s="2129" t="s">
        <v>828</v>
      </c>
      <c r="E44" s="2129"/>
      <c r="F44" s="1655"/>
      <c r="G44" s="1655"/>
      <c r="H44" s="2882"/>
      <c r="I44" s="3126">
        <f>採点Q1!G367</f>
        <v>0</v>
      </c>
      <c r="J44" s="3127"/>
      <c r="K44" s="3127"/>
      <c r="L44" s="3127"/>
      <c r="M44" s="3127"/>
      <c r="N44" s="3127"/>
      <c r="O44" s="3127"/>
      <c r="P44" s="3128"/>
      <c r="Q44" s="2871">
        <f t="shared" si="2"/>
        <v>3</v>
      </c>
      <c r="R44" s="2849">
        <f t="shared" si="0"/>
        <v>0.15</v>
      </c>
      <c r="S44" s="2871">
        <f t="shared" si="3"/>
        <v>3</v>
      </c>
      <c r="T44" s="2849">
        <f t="shared" si="1"/>
        <v>0</v>
      </c>
      <c r="U44" s="2842"/>
      <c r="V44" s="2788"/>
      <c r="W44" s="1663">
        <f>IF(採点Q1!F352="対象外",0,採点Q1!F352)</f>
        <v>3</v>
      </c>
      <c r="X44" s="1664">
        <f>採点Q1!M352</f>
        <v>3</v>
      </c>
      <c r="Z44" s="1832">
        <f>IF($Z$3=4,#REF!,W44)</f>
        <v>3</v>
      </c>
      <c r="AA44" s="1658">
        <f>重み!D44</f>
        <v>0.15</v>
      </c>
      <c r="AB44" s="1832">
        <f>IF($Z$3=4,#REF!,X44)</f>
        <v>3</v>
      </c>
      <c r="AC44" s="1658">
        <f>重み!E44</f>
        <v>0</v>
      </c>
      <c r="AD44" s="447"/>
      <c r="AE44" s="434"/>
      <c r="AF44" s="442">
        <f>重み!M44</f>
        <v>0.15</v>
      </c>
      <c r="AG44" s="182"/>
      <c r="AH44" s="442">
        <f>重み!N44</f>
        <v>0</v>
      </c>
      <c r="AI44" s="2563"/>
      <c r="AJ44" s="2563"/>
      <c r="AK44" s="2564"/>
    </row>
    <row r="45" spans="2:37" ht="14.25" hidden="1" customHeight="1">
      <c r="B45" s="2883"/>
      <c r="C45" s="2260"/>
      <c r="D45" s="2245">
        <v>1</v>
      </c>
      <c r="E45" s="2244" t="s">
        <v>829</v>
      </c>
      <c r="F45" s="1655"/>
      <c r="G45" s="1655"/>
      <c r="H45" s="2851"/>
      <c r="I45" s="3126"/>
      <c r="J45" s="3127"/>
      <c r="K45" s="3127"/>
      <c r="L45" s="3127"/>
      <c r="M45" s="3127"/>
      <c r="N45" s="3127"/>
      <c r="O45" s="3127"/>
      <c r="P45" s="3128"/>
      <c r="Q45" s="2063">
        <f t="shared" si="2"/>
        <v>0</v>
      </c>
      <c r="R45" s="2869">
        <f t="shared" ref="R45:R79" si="10">AA45</f>
        <v>0</v>
      </c>
      <c r="S45" s="2063">
        <f t="shared" si="3"/>
        <v>0</v>
      </c>
      <c r="T45" s="2869">
        <f t="shared" ref="T45:T79" si="11">AC45</f>
        <v>0</v>
      </c>
      <c r="U45" s="2870"/>
      <c r="V45" s="2788"/>
      <c r="W45" s="1663"/>
      <c r="X45" s="1664"/>
      <c r="Z45" s="1"/>
      <c r="AA45" s="1658">
        <f>重み!D45</f>
        <v>0</v>
      </c>
      <c r="AB45" s="1"/>
      <c r="AC45" s="1658">
        <f>重み!E45</f>
        <v>0</v>
      </c>
      <c r="AD45" s="447"/>
      <c r="AE45" s="434"/>
      <c r="AF45" s="442">
        <f>重み!M45</f>
        <v>0</v>
      </c>
      <c r="AG45" s="182"/>
      <c r="AH45" s="442">
        <f>重み!N45</f>
        <v>0</v>
      </c>
      <c r="AI45" s="2563"/>
      <c r="AJ45" s="2563"/>
      <c r="AK45" s="2564"/>
    </row>
    <row r="46" spans="2:37" ht="14.25" hidden="1" customHeight="1">
      <c r="B46" s="2883"/>
      <c r="C46" s="2246"/>
      <c r="D46" s="2245">
        <v>2</v>
      </c>
      <c r="E46" s="2244" t="s">
        <v>830</v>
      </c>
      <c r="F46" s="1655"/>
      <c r="G46" s="1655"/>
      <c r="H46" s="2851"/>
      <c r="I46" s="3126"/>
      <c r="J46" s="3127"/>
      <c r="K46" s="3127"/>
      <c r="L46" s="3127"/>
      <c r="M46" s="3127"/>
      <c r="N46" s="3127"/>
      <c r="O46" s="3127"/>
      <c r="P46" s="3128"/>
      <c r="Q46" s="2063">
        <f t="shared" si="2"/>
        <v>0</v>
      </c>
      <c r="R46" s="2869">
        <f t="shared" si="10"/>
        <v>0</v>
      </c>
      <c r="S46" s="2063">
        <f t="shared" si="3"/>
        <v>0</v>
      </c>
      <c r="T46" s="2869">
        <f t="shared" si="11"/>
        <v>0</v>
      </c>
      <c r="U46" s="2870"/>
      <c r="V46" s="2788"/>
      <c r="W46" s="1663"/>
      <c r="X46" s="1664"/>
      <c r="Z46" s="1"/>
      <c r="AA46" s="1658">
        <f>重み!D46</f>
        <v>0</v>
      </c>
      <c r="AB46" s="1"/>
      <c r="AC46" s="1658">
        <f>重み!E46</f>
        <v>0</v>
      </c>
      <c r="AD46" s="447"/>
      <c r="AE46" s="434"/>
      <c r="AF46" s="442">
        <f>重み!M46</f>
        <v>0</v>
      </c>
      <c r="AG46" s="182"/>
      <c r="AH46" s="442">
        <f>重み!N46</f>
        <v>0</v>
      </c>
      <c r="AI46" s="2563"/>
      <c r="AJ46" s="2563"/>
      <c r="AK46" s="2564"/>
    </row>
    <row r="47" spans="2:37" ht="14.25" customHeight="1" thickBot="1">
      <c r="B47" s="2884"/>
      <c r="C47" s="2069">
        <v>3.4</v>
      </c>
      <c r="D47" s="3116" t="s">
        <v>831</v>
      </c>
      <c r="E47" s="3117"/>
      <c r="F47" s="1655"/>
      <c r="G47" s="1655"/>
      <c r="H47" s="2868"/>
      <c r="I47" s="3126">
        <f>採点Q1!G384</f>
        <v>0</v>
      </c>
      <c r="J47" s="3127"/>
      <c r="K47" s="3127"/>
      <c r="L47" s="3127"/>
      <c r="M47" s="3127"/>
      <c r="N47" s="3127"/>
      <c r="O47" s="3127"/>
      <c r="P47" s="3128"/>
      <c r="Q47" s="2157">
        <f t="shared" si="2"/>
        <v>3</v>
      </c>
      <c r="R47" s="2849">
        <f t="shared" si="10"/>
        <v>0.25</v>
      </c>
      <c r="S47" s="2157">
        <f t="shared" si="3"/>
        <v>3</v>
      </c>
      <c r="T47" s="2849">
        <f t="shared" si="11"/>
        <v>0</v>
      </c>
      <c r="U47" s="2842"/>
      <c r="V47" s="2788"/>
      <c r="W47" s="1661">
        <f>IF(採点Q1!F371="対象外",0,採点Q1!F371)</f>
        <v>3</v>
      </c>
      <c r="X47" s="1662">
        <f>採点Q1!K371</f>
        <v>3</v>
      </c>
      <c r="Z47" s="1832">
        <f>IF($Z$3=4,#REF!,W47)</f>
        <v>3</v>
      </c>
      <c r="AA47" s="1658">
        <f>重み!D47</f>
        <v>0.25</v>
      </c>
      <c r="AB47" s="1832">
        <f>IF($Z$3=4,#REF!,X47)</f>
        <v>3</v>
      </c>
      <c r="AC47" s="1658">
        <f>重み!E47</f>
        <v>0</v>
      </c>
      <c r="AD47" s="447"/>
      <c r="AE47" s="434"/>
      <c r="AF47" s="442">
        <f>重み!M47</f>
        <v>0.25</v>
      </c>
      <c r="AG47" s="182"/>
      <c r="AH47" s="442">
        <f>重み!N47</f>
        <v>0</v>
      </c>
      <c r="AI47" s="2563"/>
      <c r="AJ47" s="2563"/>
      <c r="AK47" s="2564"/>
    </row>
    <row r="48" spans="2:37" ht="14.25" customHeight="1">
      <c r="B48" s="2854">
        <v>4</v>
      </c>
      <c r="C48" s="2058" t="s">
        <v>832</v>
      </c>
      <c r="D48" s="2116"/>
      <c r="E48" s="2106"/>
      <c r="F48" s="1655"/>
      <c r="G48" s="1655"/>
      <c r="H48" s="2855"/>
      <c r="I48" s="2875"/>
      <c r="J48" s="2876"/>
      <c r="K48" s="2876"/>
      <c r="L48" s="2876"/>
      <c r="M48" s="2876"/>
      <c r="N48" s="2876"/>
      <c r="O48" s="2876"/>
      <c r="P48" s="2877"/>
      <c r="Q48" s="2859">
        <f t="shared" si="2"/>
        <v>3</v>
      </c>
      <c r="R48" s="2860">
        <f t="shared" si="10"/>
        <v>0.25</v>
      </c>
      <c r="S48" s="2861">
        <f t="shared" si="3"/>
        <v>0</v>
      </c>
      <c r="T48" s="2862">
        <f t="shared" si="11"/>
        <v>0</v>
      </c>
      <c r="U48" s="2863">
        <f>ROUNDDOWN(AD48,1)</f>
        <v>3</v>
      </c>
      <c r="V48" s="2788"/>
      <c r="W48" s="1841"/>
      <c r="X48" s="1841"/>
      <c r="Z48" s="1833">
        <f>Z49*AA49+Z54*AA54+Z59*AA59</f>
        <v>3</v>
      </c>
      <c r="AA48" s="1658">
        <f>重み!D48</f>
        <v>0.25</v>
      </c>
      <c r="AB48" s="1833">
        <f>AB49*AC49+AB54*AC54+AB59*AC59</f>
        <v>0</v>
      </c>
      <c r="AC48" s="451">
        <f>SUM(AC49,AC54,AC59)</f>
        <v>0</v>
      </c>
      <c r="AD48" s="447">
        <f>IF(AB48=0,Z48,IF(Z48=0,AB48,Z48*AF$6+AB48*AH$6))</f>
        <v>3</v>
      </c>
      <c r="AE48" s="434"/>
      <c r="AF48" s="442">
        <f>重み!M48</f>
        <v>0.25</v>
      </c>
      <c r="AG48" s="182"/>
      <c r="AH48" s="451">
        <f>SUM(AH49,AH54,AH59)</f>
        <v>0</v>
      </c>
      <c r="AI48" s="2563"/>
      <c r="AJ48" s="2563"/>
      <c r="AK48" s="2564"/>
    </row>
    <row r="49" spans="2:37" ht="14.25" customHeight="1" thickBot="1">
      <c r="B49" s="2843"/>
      <c r="C49" s="2035">
        <v>4.0999999999999996</v>
      </c>
      <c r="D49" s="2129" t="s">
        <v>833</v>
      </c>
      <c r="E49" s="2129"/>
      <c r="F49" s="1655"/>
      <c r="G49" s="1655"/>
      <c r="H49" s="2882"/>
      <c r="I49" s="2875"/>
      <c r="J49" s="2876"/>
      <c r="K49" s="2876"/>
      <c r="L49" s="2876"/>
      <c r="M49" s="2876"/>
      <c r="N49" s="2876"/>
      <c r="O49" s="2876"/>
      <c r="P49" s="2877"/>
      <c r="Q49" s="2885">
        <f t="shared" si="2"/>
        <v>3</v>
      </c>
      <c r="R49" s="2840">
        <f t="shared" si="10"/>
        <v>0.5</v>
      </c>
      <c r="S49" s="2866">
        <f t="shared" si="3"/>
        <v>0</v>
      </c>
      <c r="T49" s="2841">
        <f t="shared" si="11"/>
        <v>0</v>
      </c>
      <c r="U49" s="2842"/>
      <c r="V49" s="2788"/>
      <c r="W49" s="1842"/>
      <c r="X49" s="1842"/>
      <c r="Z49" s="450">
        <f>SUMPRODUCT(Z50:Z53,AA50:AA53)</f>
        <v>3</v>
      </c>
      <c r="AA49" s="1658">
        <f>重み!D49</f>
        <v>0.5</v>
      </c>
      <c r="AB49" s="450">
        <f>SUMPRODUCT(AB50:AB53,AC50:AC53)</f>
        <v>0</v>
      </c>
      <c r="AC49" s="1658">
        <f>重み!E49</f>
        <v>0</v>
      </c>
      <c r="AD49" s="447"/>
      <c r="AE49" s="434"/>
      <c r="AF49" s="442">
        <f>重み!M49</f>
        <v>0.5</v>
      </c>
      <c r="AG49" s="182"/>
      <c r="AH49" s="442">
        <f>重み!N49</f>
        <v>0</v>
      </c>
      <c r="AI49" s="2563"/>
      <c r="AJ49" s="2563"/>
      <c r="AK49" s="2564"/>
    </row>
    <row r="50" spans="2:37" ht="14.25" customHeight="1" thickBot="1">
      <c r="B50" s="2843"/>
      <c r="C50" s="2019"/>
      <c r="D50" s="993">
        <v>1</v>
      </c>
      <c r="E50" s="1655" t="s">
        <v>834</v>
      </c>
      <c r="F50" s="1655"/>
      <c r="G50" s="1655"/>
      <c r="H50" s="2868"/>
      <c r="I50" s="3126">
        <f>採点Q1!G396</f>
        <v>0</v>
      </c>
      <c r="J50" s="3127"/>
      <c r="K50" s="3127"/>
      <c r="L50" s="3127"/>
      <c r="M50" s="3127"/>
      <c r="N50" s="3127"/>
      <c r="O50" s="3127"/>
      <c r="P50" s="3128"/>
      <c r="Q50" s="2149">
        <f t="shared" si="2"/>
        <v>3</v>
      </c>
      <c r="R50" s="2849">
        <f t="shared" si="10"/>
        <v>1</v>
      </c>
      <c r="S50" s="2149">
        <f t="shared" si="3"/>
        <v>3</v>
      </c>
      <c r="T50" s="2849">
        <f t="shared" si="11"/>
        <v>0</v>
      </c>
      <c r="U50" s="2842"/>
      <c r="V50" s="2788"/>
      <c r="W50" s="1659">
        <f>IF(採点Q1!F390="対象外",0,採点Q1!F390)</f>
        <v>3</v>
      </c>
      <c r="X50" s="1660">
        <f>採点Q1!K390</f>
        <v>3</v>
      </c>
      <c r="Z50" s="453">
        <f>IF($Z$3=4,#REF!,W50)</f>
        <v>3</v>
      </c>
      <c r="AA50" s="1658">
        <f>重み!D50</f>
        <v>1</v>
      </c>
      <c r="AB50" s="453">
        <f>IF($Z$3=4,#REF!,X50)</f>
        <v>3</v>
      </c>
      <c r="AC50" s="1658">
        <f>重み!E50</f>
        <v>0</v>
      </c>
      <c r="AD50" s="447"/>
      <c r="AE50" s="434"/>
      <c r="AF50" s="442">
        <f>重み!M50</f>
        <v>1</v>
      </c>
      <c r="AG50" s="182"/>
      <c r="AH50" s="442">
        <f>重み!N50</f>
        <v>0</v>
      </c>
      <c r="AI50" s="2563"/>
      <c r="AJ50" s="2563"/>
      <c r="AK50" s="2564"/>
    </row>
    <row r="51" spans="2:37" ht="14.25" hidden="1" customHeight="1">
      <c r="B51" s="2843"/>
      <c r="C51" s="2019"/>
      <c r="D51" s="2218">
        <v>2</v>
      </c>
      <c r="E51" s="2217" t="s">
        <v>835</v>
      </c>
      <c r="F51" s="1655"/>
      <c r="G51" s="1655"/>
      <c r="H51" s="2872"/>
      <c r="I51" s="3126"/>
      <c r="J51" s="3127"/>
      <c r="K51" s="3127"/>
      <c r="L51" s="3127"/>
      <c r="M51" s="3127"/>
      <c r="N51" s="3127"/>
      <c r="O51" s="3127"/>
      <c r="P51" s="3128"/>
      <c r="Q51" s="2063">
        <f t="shared" si="2"/>
        <v>0</v>
      </c>
      <c r="R51" s="2849">
        <f t="shared" si="10"/>
        <v>0</v>
      </c>
      <c r="S51" s="2063">
        <f t="shared" si="3"/>
        <v>0</v>
      </c>
      <c r="T51" s="2849">
        <f t="shared" si="11"/>
        <v>0</v>
      </c>
      <c r="U51" s="2842"/>
      <c r="V51" s="2788"/>
      <c r="W51" s="1663">
        <f>採点Q1!F400</f>
        <v>0</v>
      </c>
      <c r="X51" s="1664">
        <f>採点Q1!K400</f>
        <v>0</v>
      </c>
      <c r="Z51" s="453">
        <f>IF($Z$3=4,#REF!,W51)</f>
        <v>0</v>
      </c>
      <c r="AA51" s="1658">
        <f>重み!D51</f>
        <v>0</v>
      </c>
      <c r="AB51" s="453">
        <f>IF($Z$3=4,#REF!,X51)</f>
        <v>0</v>
      </c>
      <c r="AC51" s="1658">
        <f>重み!E51</f>
        <v>0</v>
      </c>
      <c r="AD51" s="447"/>
      <c r="AE51" s="434"/>
      <c r="AF51" s="442">
        <f>重み!M51</f>
        <v>0</v>
      </c>
      <c r="AG51" s="182"/>
      <c r="AH51" s="442">
        <f>重み!N51</f>
        <v>0</v>
      </c>
      <c r="AI51" s="2563"/>
      <c r="AJ51" s="2563"/>
      <c r="AK51" s="2564"/>
    </row>
    <row r="52" spans="2:37" ht="14.25" hidden="1" customHeight="1">
      <c r="B52" s="2850"/>
      <c r="C52" s="2257"/>
      <c r="D52" s="2245">
        <v>3</v>
      </c>
      <c r="E52" s="2244" t="s">
        <v>836</v>
      </c>
      <c r="F52" s="1655"/>
      <c r="G52" s="1655"/>
      <c r="H52" s="2851"/>
      <c r="I52" s="3126"/>
      <c r="J52" s="3127"/>
      <c r="K52" s="3127"/>
      <c r="L52" s="3127"/>
      <c r="M52" s="3127"/>
      <c r="N52" s="3127"/>
      <c r="O52" s="3127"/>
      <c r="P52" s="3128"/>
      <c r="Q52" s="2063">
        <f t="shared" si="2"/>
        <v>0</v>
      </c>
      <c r="R52" s="2869">
        <f t="shared" si="10"/>
        <v>0</v>
      </c>
      <c r="S52" s="2063">
        <f t="shared" si="3"/>
        <v>0</v>
      </c>
      <c r="T52" s="2869">
        <f t="shared" si="11"/>
        <v>0</v>
      </c>
      <c r="U52" s="2870"/>
      <c r="V52" s="2788"/>
      <c r="W52" s="1663">
        <f>IF(採点Q1!F409="対象外",0,採点Q1!F409)</f>
        <v>0</v>
      </c>
      <c r="X52" s="1664">
        <f>採点Q1!K409</f>
        <v>0</v>
      </c>
      <c r="Z52" s="1"/>
      <c r="AA52" s="1658">
        <f>重み!D52</f>
        <v>0</v>
      </c>
      <c r="AB52" s="1"/>
      <c r="AC52" s="1658">
        <f>重み!E52</f>
        <v>0</v>
      </c>
      <c r="AD52" s="447"/>
      <c r="AE52" s="434"/>
      <c r="AF52" s="442">
        <f>重み!M52</f>
        <v>0</v>
      </c>
      <c r="AG52" s="182"/>
      <c r="AH52" s="442">
        <f>重み!N52</f>
        <v>0</v>
      </c>
      <c r="AI52" s="2563"/>
      <c r="AJ52" s="2563"/>
      <c r="AK52" s="2564"/>
    </row>
    <row r="53" spans="2:37" ht="14.25" hidden="1" customHeight="1" thickBot="1">
      <c r="B53" s="2850"/>
      <c r="C53" s="2255"/>
      <c r="D53" s="2245">
        <v>4</v>
      </c>
      <c r="E53" s="2244" t="s">
        <v>837</v>
      </c>
      <c r="F53" s="1655"/>
      <c r="G53" s="1655"/>
      <c r="H53" s="2851"/>
      <c r="I53" s="3126"/>
      <c r="J53" s="3127"/>
      <c r="K53" s="3127"/>
      <c r="L53" s="3127"/>
      <c r="M53" s="3127"/>
      <c r="N53" s="3127"/>
      <c r="O53" s="3127"/>
      <c r="P53" s="3128"/>
      <c r="Q53" s="2143">
        <f t="shared" si="2"/>
        <v>0</v>
      </c>
      <c r="R53" s="2869">
        <f t="shared" si="10"/>
        <v>0</v>
      </c>
      <c r="S53" s="2143">
        <f t="shared" si="3"/>
        <v>0</v>
      </c>
      <c r="T53" s="2869">
        <f t="shared" si="11"/>
        <v>0</v>
      </c>
      <c r="U53" s="2870"/>
      <c r="V53" s="2788"/>
      <c r="W53" s="1661">
        <f>IF(採点Q1!F418="対象外",0,採点Q1!F418)</f>
        <v>0</v>
      </c>
      <c r="X53" s="1662">
        <f>採点Q1!K418</f>
        <v>0</v>
      </c>
      <c r="Z53" s="1"/>
      <c r="AA53" s="1658">
        <f>重み!D53</f>
        <v>0</v>
      </c>
      <c r="AB53" s="1"/>
      <c r="AC53" s="1658">
        <f>重み!E53</f>
        <v>0</v>
      </c>
      <c r="AD53" s="447"/>
      <c r="AE53" s="434"/>
      <c r="AF53" s="442">
        <f>重み!M53</f>
        <v>0</v>
      </c>
      <c r="AG53" s="182"/>
      <c r="AH53" s="442">
        <f>重み!N53</f>
        <v>0</v>
      </c>
      <c r="AI53" s="2563"/>
      <c r="AJ53" s="2563"/>
      <c r="AK53" s="2564"/>
    </row>
    <row r="54" spans="2:37" ht="14.25" customHeight="1" thickBot="1">
      <c r="B54" s="2879"/>
      <c r="C54" s="2035">
        <v>4.2</v>
      </c>
      <c r="D54" s="2129" t="s">
        <v>838</v>
      </c>
      <c r="E54" s="2106"/>
      <c r="F54" s="1655"/>
      <c r="G54" s="1655"/>
      <c r="H54" s="2868"/>
      <c r="I54" s="2836"/>
      <c r="J54" s="2837"/>
      <c r="K54" s="2837"/>
      <c r="L54" s="2837"/>
      <c r="M54" s="2837"/>
      <c r="N54" s="2837"/>
      <c r="O54" s="2837"/>
      <c r="P54" s="2838"/>
      <c r="Q54" s="2852">
        <f t="shared" si="2"/>
        <v>3</v>
      </c>
      <c r="R54" s="2840">
        <f>AA54</f>
        <v>0.3</v>
      </c>
      <c r="S54" s="2852">
        <f t="shared" si="3"/>
        <v>0</v>
      </c>
      <c r="T54" s="2841">
        <f t="shared" si="11"/>
        <v>0</v>
      </c>
      <c r="U54" s="2842"/>
      <c r="V54" s="2788"/>
      <c r="W54" s="1840"/>
      <c r="X54" s="1840"/>
      <c r="Z54" s="450">
        <f>SUMPRODUCT(Z55:Z58,AA55:AA58)</f>
        <v>3</v>
      </c>
      <c r="AA54" s="1658">
        <f>重み!D54</f>
        <v>0.3</v>
      </c>
      <c r="AB54" s="450">
        <f>SUMPRODUCT(AB55:AB58,AC55:AC58)</f>
        <v>0</v>
      </c>
      <c r="AC54" s="1658">
        <f>重み!E54</f>
        <v>0</v>
      </c>
      <c r="AD54" s="447"/>
      <c r="AE54" s="434"/>
      <c r="AF54" s="442">
        <f>重み!M54</f>
        <v>0.3</v>
      </c>
      <c r="AG54" s="182"/>
      <c r="AH54" s="442">
        <f>重み!N54</f>
        <v>0</v>
      </c>
      <c r="AI54" s="2563"/>
      <c r="AJ54" s="2563"/>
      <c r="AK54" s="2564"/>
    </row>
    <row r="55" spans="2:37" ht="14.25" customHeight="1">
      <c r="B55" s="2879"/>
      <c r="C55" s="2101"/>
      <c r="D55" s="993">
        <v>1</v>
      </c>
      <c r="E55" s="1655" t="s">
        <v>839</v>
      </c>
      <c r="F55" s="1655"/>
      <c r="G55" s="1655"/>
      <c r="H55" s="2886"/>
      <c r="I55" s="3126">
        <f>採点Q1!G435</f>
        <v>0</v>
      </c>
      <c r="J55" s="3127"/>
      <c r="K55" s="3127"/>
      <c r="L55" s="3127"/>
      <c r="M55" s="3127"/>
      <c r="N55" s="3127"/>
      <c r="O55" s="3127"/>
      <c r="P55" s="3128"/>
      <c r="Q55" s="2149">
        <f t="shared" si="2"/>
        <v>3</v>
      </c>
      <c r="R55" s="2849">
        <f t="shared" si="10"/>
        <v>0.33333333333333331</v>
      </c>
      <c r="S55" s="2149">
        <f t="shared" si="3"/>
        <v>3</v>
      </c>
      <c r="T55" s="2849">
        <f t="shared" si="11"/>
        <v>0</v>
      </c>
      <c r="U55" s="2842"/>
      <c r="V55" s="2788"/>
      <c r="W55" s="1659">
        <f>IF(採点Q1!F429="対象外",0,採点Q1!F429)</f>
        <v>3</v>
      </c>
      <c r="X55" s="1660">
        <f>採点Q1!K429</f>
        <v>3</v>
      </c>
      <c r="Z55" s="453">
        <f>IF($Z$3=4,#REF!,W55)</f>
        <v>3</v>
      </c>
      <c r="AA55" s="1658">
        <f>重み!D55</f>
        <v>0.33333333333333331</v>
      </c>
      <c r="AB55" s="453">
        <f>IF($Z$3=4,#REF!,X55)</f>
        <v>3</v>
      </c>
      <c r="AC55" s="1658">
        <f>重み!E55</f>
        <v>0</v>
      </c>
      <c r="AD55" s="447"/>
      <c r="AE55" s="434"/>
      <c r="AF55" s="442">
        <f>重み!M55</f>
        <v>0.33333333333333331</v>
      </c>
      <c r="AG55" s="182"/>
      <c r="AH55" s="442">
        <f>重み!N55</f>
        <v>0</v>
      </c>
      <c r="AI55" s="1"/>
      <c r="AJ55" s="1"/>
    </row>
    <row r="56" spans="2:37" ht="14.25" customHeight="1">
      <c r="B56" s="2879"/>
      <c r="C56" s="2101"/>
      <c r="D56" s="993">
        <v>2</v>
      </c>
      <c r="E56" s="1655" t="s">
        <v>1970</v>
      </c>
      <c r="F56" s="1655"/>
      <c r="G56" s="1655"/>
      <c r="H56" s="2868"/>
      <c r="I56" s="3126">
        <f>採点Q1!G445</f>
        <v>0</v>
      </c>
      <c r="J56" s="3127"/>
      <c r="K56" s="3127"/>
      <c r="L56" s="3127"/>
      <c r="M56" s="3127"/>
      <c r="N56" s="3127"/>
      <c r="O56" s="3127"/>
      <c r="P56" s="3128"/>
      <c r="Q56" s="2063">
        <f t="shared" si="2"/>
        <v>3</v>
      </c>
      <c r="R56" s="2849">
        <f t="shared" si="10"/>
        <v>0.33333333333333331</v>
      </c>
      <c r="S56" s="2063">
        <f t="shared" si="3"/>
        <v>3</v>
      </c>
      <c r="T56" s="2849">
        <f t="shared" si="11"/>
        <v>0</v>
      </c>
      <c r="U56" s="2842"/>
      <c r="V56" s="2788"/>
      <c r="W56" s="1663">
        <f>IF(採点Q1!F439="対象外",0,採点Q1!F439)</f>
        <v>3</v>
      </c>
      <c r="X56" s="1664">
        <f>採点Q1!K439</f>
        <v>3</v>
      </c>
      <c r="Z56" s="453">
        <f>IF($Z$3=4,#REF!,W56)</f>
        <v>3</v>
      </c>
      <c r="AA56" s="1658">
        <f>重み!D56</f>
        <v>0.33333333333333331</v>
      </c>
      <c r="AB56" s="453">
        <f>IF($Z$3=4,#REF!,X56)</f>
        <v>3</v>
      </c>
      <c r="AC56" s="1658">
        <f>重み!E56</f>
        <v>0</v>
      </c>
      <c r="AD56" s="447"/>
      <c r="AE56" s="434"/>
      <c r="AF56" s="442">
        <f>重み!M56</f>
        <v>0.33333333333333331</v>
      </c>
      <c r="AG56" s="182"/>
      <c r="AH56" s="442">
        <f>重み!N56</f>
        <v>0</v>
      </c>
      <c r="AI56" s="2563"/>
      <c r="AJ56" s="2563"/>
      <c r="AK56" s="2564"/>
    </row>
    <row r="57" spans="2:37" ht="14.25" customHeight="1" thickBot="1">
      <c r="B57" s="2879"/>
      <c r="C57" s="2101"/>
      <c r="D57" s="993">
        <v>3</v>
      </c>
      <c r="E57" s="1655" t="s">
        <v>1971</v>
      </c>
      <c r="F57" s="1655"/>
      <c r="G57" s="1655"/>
      <c r="H57" s="2868"/>
      <c r="I57" s="3126">
        <f>採点Q1!G465</f>
        <v>0</v>
      </c>
      <c r="J57" s="3127"/>
      <c r="K57" s="3127"/>
      <c r="L57" s="3127"/>
      <c r="M57" s="3127"/>
      <c r="N57" s="3127"/>
      <c r="O57" s="3127"/>
      <c r="P57" s="3128"/>
      <c r="Q57" s="2143">
        <f t="shared" si="2"/>
        <v>3</v>
      </c>
      <c r="R57" s="2849">
        <f t="shared" si="10"/>
        <v>0.33333333333333331</v>
      </c>
      <c r="S57" s="2143">
        <f t="shared" si="3"/>
        <v>3</v>
      </c>
      <c r="T57" s="2849">
        <f t="shared" si="11"/>
        <v>0</v>
      </c>
      <c r="U57" s="2842"/>
      <c r="V57" s="2788"/>
      <c r="W57" s="1663">
        <f>IF(採点Q1!F450="対象外",0,採点Q1!F450)</f>
        <v>3</v>
      </c>
      <c r="X57" s="1664">
        <f>採点Q1!K450</f>
        <v>3</v>
      </c>
      <c r="Z57" s="453">
        <f>IF($Z$3=4,#REF!,W57)</f>
        <v>3</v>
      </c>
      <c r="AA57" s="1658">
        <f>重み!D57</f>
        <v>0.33333333333333331</v>
      </c>
      <c r="AB57" s="453">
        <f>IF($Z$3=4,#REF!,X57)</f>
        <v>3</v>
      </c>
      <c r="AC57" s="1658">
        <f>重み!E57</f>
        <v>0</v>
      </c>
      <c r="AD57" s="447"/>
      <c r="AE57" s="434"/>
      <c r="AF57" s="442">
        <f>重み!M57</f>
        <v>0.33333333333333331</v>
      </c>
      <c r="AG57" s="182"/>
      <c r="AH57" s="442">
        <f>重み!N57</f>
        <v>0</v>
      </c>
      <c r="AI57" s="2563"/>
      <c r="AJ57" s="2563"/>
      <c r="AK57" s="2564"/>
    </row>
    <row r="58" spans="2:37" ht="14.25" hidden="1" customHeight="1" thickBot="1">
      <c r="B58" s="2880"/>
      <c r="C58" s="2246"/>
      <c r="D58" s="2245">
        <v>4</v>
      </c>
      <c r="E58" s="2244" t="s">
        <v>1972</v>
      </c>
      <c r="F58" s="2244"/>
      <c r="G58" s="2244"/>
      <c r="H58" s="2851"/>
      <c r="I58" s="3126"/>
      <c r="J58" s="3127"/>
      <c r="K58" s="3127"/>
      <c r="L58" s="3127"/>
      <c r="M58" s="3127"/>
      <c r="N58" s="3127"/>
      <c r="O58" s="3127"/>
      <c r="P58" s="3128"/>
      <c r="Q58" s="2143">
        <f t="shared" si="2"/>
        <v>0</v>
      </c>
      <c r="R58" s="2869">
        <f t="shared" si="10"/>
        <v>0</v>
      </c>
      <c r="S58" s="2143">
        <f t="shared" si="3"/>
        <v>0</v>
      </c>
      <c r="T58" s="2869">
        <f t="shared" si="11"/>
        <v>0</v>
      </c>
      <c r="U58" s="2870"/>
      <c r="V58" s="2788"/>
      <c r="W58" s="1661">
        <f>IF(採点Q1!F459="対象外",0,採点Q1!F459)</f>
        <v>0</v>
      </c>
      <c r="X58" s="1662">
        <f>採点Q1!K459</f>
        <v>0</v>
      </c>
      <c r="Z58" s="1"/>
      <c r="AA58" s="1658">
        <f>重み!D58</f>
        <v>0</v>
      </c>
      <c r="AB58" s="1"/>
      <c r="AC58" s="1658">
        <f>重み!E58</f>
        <v>0</v>
      </c>
      <c r="AD58" s="447"/>
      <c r="AE58" s="434"/>
      <c r="AF58" s="442">
        <f>重み!M58</f>
        <v>0</v>
      </c>
      <c r="AG58" s="182"/>
      <c r="AH58" s="442">
        <f>重み!N58</f>
        <v>0</v>
      </c>
      <c r="AI58" s="2563"/>
      <c r="AJ58" s="2563"/>
      <c r="AK58" s="2564"/>
    </row>
    <row r="59" spans="2:37" ht="14.25" customHeight="1" thickBot="1">
      <c r="B59" s="2879"/>
      <c r="C59" s="2035">
        <v>4.3</v>
      </c>
      <c r="D59" s="2129" t="s">
        <v>1973</v>
      </c>
      <c r="E59" s="2106"/>
      <c r="F59" s="2106"/>
      <c r="G59" s="2106"/>
      <c r="H59" s="2855"/>
      <c r="I59" s="2836"/>
      <c r="J59" s="2837"/>
      <c r="K59" s="2837"/>
      <c r="L59" s="2837"/>
      <c r="M59" s="2837"/>
      <c r="N59" s="2837"/>
      <c r="O59" s="2837"/>
      <c r="P59" s="2838"/>
      <c r="Q59" s="2885">
        <f t="shared" si="2"/>
        <v>3</v>
      </c>
      <c r="R59" s="2840">
        <f>AA59</f>
        <v>0.2</v>
      </c>
      <c r="S59" s="2852">
        <f t="shared" si="3"/>
        <v>0</v>
      </c>
      <c r="T59" s="2841">
        <f t="shared" si="11"/>
        <v>0</v>
      </c>
      <c r="U59" s="2842"/>
      <c r="V59" s="2788"/>
      <c r="W59" s="1840"/>
      <c r="X59" s="1841"/>
      <c r="Z59" s="450">
        <f>SUMPRODUCT(Z60:Z61,AA60:AA61)</f>
        <v>3</v>
      </c>
      <c r="AA59" s="1658">
        <f>重み!D59</f>
        <v>0.2</v>
      </c>
      <c r="AB59" s="450">
        <f>SUMPRODUCT(AB60:AB61,AC60:AC61)</f>
        <v>0</v>
      </c>
      <c r="AC59" s="1658">
        <f>重み!E59</f>
        <v>0</v>
      </c>
      <c r="AD59" s="447"/>
      <c r="AE59" s="434"/>
      <c r="AF59" s="442">
        <f>重み!M59</f>
        <v>0.2</v>
      </c>
      <c r="AG59" s="182"/>
      <c r="AH59" s="442">
        <f>重み!N59</f>
        <v>0</v>
      </c>
      <c r="AI59" s="2563"/>
      <c r="AJ59" s="2563"/>
      <c r="AK59" s="2564"/>
    </row>
    <row r="60" spans="2:37" ht="14.25" customHeight="1">
      <c r="B60" s="2879"/>
      <c r="C60" s="2101"/>
      <c r="D60" s="993">
        <v>1</v>
      </c>
      <c r="E60" s="1655" t="s">
        <v>1974</v>
      </c>
      <c r="F60" s="1655"/>
      <c r="G60" s="1655"/>
      <c r="H60" s="2868"/>
      <c r="I60" s="3126">
        <f>採点Q1!G476</f>
        <v>0</v>
      </c>
      <c r="J60" s="3127"/>
      <c r="K60" s="3127"/>
      <c r="L60" s="3127"/>
      <c r="M60" s="3127"/>
      <c r="N60" s="3127"/>
      <c r="O60" s="3127"/>
      <c r="P60" s="3128"/>
      <c r="Q60" s="2149">
        <f t="shared" si="2"/>
        <v>3</v>
      </c>
      <c r="R60" s="2849">
        <f t="shared" si="10"/>
        <v>0.5</v>
      </c>
      <c r="S60" s="2149">
        <f t="shared" si="3"/>
        <v>0</v>
      </c>
      <c r="T60" s="2849">
        <f t="shared" si="11"/>
        <v>0</v>
      </c>
      <c r="U60" s="2842"/>
      <c r="V60" s="2788"/>
      <c r="W60" s="1665">
        <f>IF(採点Q1!F470="対象外",0,採点Q1!F470)</f>
        <v>3</v>
      </c>
      <c r="X60" s="1843"/>
      <c r="Z60" s="453">
        <f>IF($Z$3=4,#REF!,W60)</f>
        <v>3</v>
      </c>
      <c r="AA60" s="1658">
        <f>重み!D60</f>
        <v>0.5</v>
      </c>
      <c r="AB60" s="453">
        <f>IF($Z$3=4,#REF!,X60)</f>
        <v>0</v>
      </c>
      <c r="AC60" s="1658">
        <f>重み!E60</f>
        <v>0</v>
      </c>
      <c r="AD60" s="447"/>
      <c r="AE60" s="434"/>
      <c r="AF60" s="442">
        <f>重み!M60</f>
        <v>0.5</v>
      </c>
      <c r="AG60" s="182"/>
      <c r="AH60" s="442">
        <f>重み!N60</f>
        <v>0</v>
      </c>
      <c r="AI60" s="2563"/>
      <c r="AJ60" s="2563"/>
      <c r="AK60" s="2564"/>
    </row>
    <row r="61" spans="2:37" ht="14.25" customHeight="1" thickBot="1">
      <c r="B61" s="2879"/>
      <c r="C61" s="2101"/>
      <c r="D61" s="2018">
        <v>2</v>
      </c>
      <c r="E61" s="2107" t="s">
        <v>1975</v>
      </c>
      <c r="F61" s="2107"/>
      <c r="G61" s="2107"/>
      <c r="H61" s="2855"/>
      <c r="I61" s="3126">
        <f>採点Q1!L476</f>
        <v>0</v>
      </c>
      <c r="J61" s="3127"/>
      <c r="K61" s="3127"/>
      <c r="L61" s="3127"/>
      <c r="M61" s="3127"/>
      <c r="N61" s="3127"/>
      <c r="O61" s="3127"/>
      <c r="P61" s="3128"/>
      <c r="Q61" s="2063">
        <f t="shared" si="2"/>
        <v>3</v>
      </c>
      <c r="R61" s="2849">
        <f t="shared" si="10"/>
        <v>0.5</v>
      </c>
      <c r="S61" s="2143">
        <f t="shared" si="3"/>
        <v>0</v>
      </c>
      <c r="T61" s="2849">
        <f t="shared" si="11"/>
        <v>0</v>
      </c>
      <c r="U61" s="2842"/>
      <c r="V61" s="2788"/>
      <c r="W61" s="456">
        <f>IF(採点Q1!K470="対象外",0,採点Q1!K470)</f>
        <v>3</v>
      </c>
      <c r="X61" s="1843"/>
      <c r="Z61" s="453">
        <f>IF($Z$3=4,#REF!,W61)</f>
        <v>3</v>
      </c>
      <c r="AA61" s="1658">
        <f>重み!D61</f>
        <v>0.5</v>
      </c>
      <c r="AB61" s="453">
        <f>IF($Z$3=4,#REF!,X61)</f>
        <v>0</v>
      </c>
      <c r="AC61" s="1658">
        <f>重み!E61</f>
        <v>0</v>
      </c>
      <c r="AD61" s="447"/>
      <c r="AE61" s="434"/>
      <c r="AF61" s="442">
        <f>重み!M61</f>
        <v>0.5</v>
      </c>
      <c r="AG61" s="182"/>
      <c r="AH61" s="442">
        <f>重み!N61</f>
        <v>0</v>
      </c>
      <c r="AI61" s="2563"/>
      <c r="AJ61" s="2563"/>
      <c r="AK61" s="2564"/>
    </row>
    <row r="62" spans="2:37" ht="14.25" customHeight="1" thickBot="1">
      <c r="B62" s="2887" t="s">
        <v>1601</v>
      </c>
      <c r="C62" s="2087" t="s">
        <v>1602</v>
      </c>
      <c r="D62" s="2235"/>
      <c r="E62" s="2235"/>
      <c r="F62" s="2235"/>
      <c r="G62" s="2235"/>
      <c r="H62" s="2888"/>
      <c r="I62" s="2889"/>
      <c r="J62" s="2889"/>
      <c r="K62" s="2889"/>
      <c r="L62" s="2889"/>
      <c r="M62" s="2889"/>
      <c r="N62" s="2889"/>
      <c r="O62" s="2889"/>
      <c r="P62" s="2889"/>
      <c r="Q62" s="2890">
        <f t="shared" si="2"/>
        <v>0</v>
      </c>
      <c r="R62" s="2891">
        <f t="shared" si="10"/>
        <v>0.3</v>
      </c>
      <c r="S62" s="2892">
        <f t="shared" si="3"/>
        <v>0</v>
      </c>
      <c r="T62" s="2893">
        <f t="shared" si="11"/>
        <v>0</v>
      </c>
      <c r="U62" s="2894">
        <f>ROUNDDOWN(AD62,1)</f>
        <v>2.9</v>
      </c>
      <c r="V62" s="2788"/>
      <c r="W62" s="1841"/>
      <c r="X62" s="1841"/>
      <c r="Z62" s="454"/>
      <c r="AA62" s="448">
        <f>重み!D62</f>
        <v>0.3</v>
      </c>
      <c r="AB62" s="454"/>
      <c r="AC62" s="448"/>
      <c r="AD62" s="1858">
        <f>AD63*AA63+AD78*AA78+AD100*AA100</f>
        <v>2.96</v>
      </c>
      <c r="AE62" s="434"/>
      <c r="AF62" s="442">
        <f>重み!M62</f>
        <v>0.3</v>
      </c>
      <c r="AG62" s="182"/>
      <c r="AH62" s="442">
        <f>重み!N62</f>
        <v>0</v>
      </c>
      <c r="AI62" s="442" t="s">
        <v>3112</v>
      </c>
      <c r="AJ62" s="442" t="s">
        <v>3360</v>
      </c>
      <c r="AK62" s="182"/>
    </row>
    <row r="63" spans="2:37" ht="14.25" customHeight="1">
      <c r="B63" s="2834">
        <v>1</v>
      </c>
      <c r="C63" s="2233" t="s">
        <v>1976</v>
      </c>
      <c r="D63" s="2045"/>
      <c r="E63" s="2044"/>
      <c r="F63" s="2044"/>
      <c r="G63" s="2044"/>
      <c r="H63" s="2835"/>
      <c r="I63" s="2836"/>
      <c r="J63" s="2837"/>
      <c r="K63" s="2837"/>
      <c r="L63" s="2837"/>
      <c r="M63" s="2837"/>
      <c r="N63" s="2837"/>
      <c r="O63" s="2837"/>
      <c r="P63" s="2838"/>
      <c r="Q63" s="2859">
        <f t="shared" si="2"/>
        <v>2.9</v>
      </c>
      <c r="R63" s="2895">
        <f t="shared" si="10"/>
        <v>0.4</v>
      </c>
      <c r="S63" s="2861">
        <f t="shared" si="3"/>
        <v>0</v>
      </c>
      <c r="T63" s="2896">
        <f t="shared" si="11"/>
        <v>0</v>
      </c>
      <c r="U63" s="2897">
        <f>ROUNDDOWN(AD63,1)</f>
        <v>2.9</v>
      </c>
      <c r="V63" s="2788"/>
      <c r="W63" s="1839"/>
      <c r="X63" s="1839"/>
      <c r="Z63" s="1833">
        <f>Z64*AA64+Z68*AA68+Z74*AA74</f>
        <v>2.9</v>
      </c>
      <c r="AA63" s="1658">
        <f>重み!D63</f>
        <v>0.4</v>
      </c>
      <c r="AB63" s="1833">
        <f>AB64*AC64+AB68*AC68+AB74*AC74</f>
        <v>0</v>
      </c>
      <c r="AC63" s="451">
        <f>SUM(AC64,AC68,AC74)</f>
        <v>0</v>
      </c>
      <c r="AD63" s="447">
        <f>IF(AB63=0,Z63,IF(Z63=0,AB63,Z63*AF$6+AB63*AH$6))</f>
        <v>2.9</v>
      </c>
      <c r="AE63" s="434"/>
      <c r="AF63" s="442">
        <f>重み!M63</f>
        <v>0.4</v>
      </c>
      <c r="AG63" s="182"/>
      <c r="AH63" s="451">
        <f>SUM(AH64,AH68,AH74)</f>
        <v>0</v>
      </c>
      <c r="AI63" s="2563"/>
      <c r="AJ63" s="2563"/>
      <c r="AK63" s="2564"/>
    </row>
    <row r="64" spans="2:37" ht="14.25" customHeight="1" thickBot="1">
      <c r="B64" s="2879"/>
      <c r="C64" s="2068">
        <v>1.1000000000000001</v>
      </c>
      <c r="D64" s="2107" t="s">
        <v>1977</v>
      </c>
      <c r="E64" s="2106"/>
      <c r="F64" s="2106"/>
      <c r="G64" s="2106"/>
      <c r="H64" s="2855"/>
      <c r="I64" s="2875"/>
      <c r="J64" s="2876"/>
      <c r="K64" s="2876"/>
      <c r="L64" s="2876"/>
      <c r="M64" s="2876"/>
      <c r="N64" s="2876"/>
      <c r="O64" s="2876"/>
      <c r="P64" s="2877"/>
      <c r="Q64" s="2885">
        <f t="shared" si="2"/>
        <v>3</v>
      </c>
      <c r="R64" s="2840">
        <f t="shared" si="10"/>
        <v>0.4</v>
      </c>
      <c r="S64" s="2898">
        <f t="shared" si="3"/>
        <v>0</v>
      </c>
      <c r="T64" s="2841">
        <f t="shared" si="11"/>
        <v>0</v>
      </c>
      <c r="U64" s="2842"/>
      <c r="V64" s="2788"/>
      <c r="W64" s="1842"/>
      <c r="X64" s="1842"/>
      <c r="Z64" s="450">
        <f>SUMPRODUCT(Z65:Z67,AA65:AA67)</f>
        <v>3</v>
      </c>
      <c r="AA64" s="1658">
        <f>重み!D64</f>
        <v>0.4</v>
      </c>
      <c r="AB64" s="450">
        <f>SUMPRODUCT(AB65:AB67,AC65:AC67)</f>
        <v>0</v>
      </c>
      <c r="AC64" s="1658">
        <f>重み!E64</f>
        <v>0</v>
      </c>
      <c r="AD64" s="447"/>
      <c r="AE64" s="434"/>
      <c r="AF64" s="442">
        <f>重み!M64</f>
        <v>0.4</v>
      </c>
      <c r="AG64" s="182"/>
      <c r="AH64" s="442">
        <f>重み!N64</f>
        <v>0</v>
      </c>
      <c r="AI64" s="1"/>
      <c r="AJ64" s="1"/>
    </row>
    <row r="65" spans="2:37" ht="14.25" customHeight="1">
      <c r="B65" s="2879"/>
      <c r="C65" s="2101"/>
      <c r="D65" s="993">
        <v>1</v>
      </c>
      <c r="E65" s="1655" t="s">
        <v>1807</v>
      </c>
      <c r="F65" s="1655"/>
      <c r="G65" s="1655"/>
      <c r="H65" s="2868"/>
      <c r="I65" s="3126">
        <f>採点Q2!G21</f>
        <v>0</v>
      </c>
      <c r="J65" s="3127"/>
      <c r="K65" s="3127"/>
      <c r="L65" s="3127"/>
      <c r="M65" s="3127"/>
      <c r="N65" s="3127"/>
      <c r="O65" s="3127"/>
      <c r="P65" s="3128"/>
      <c r="Q65" s="2149">
        <f t="shared" si="2"/>
        <v>3</v>
      </c>
      <c r="R65" s="2849">
        <f t="shared" si="10"/>
        <v>0.33333333333333331</v>
      </c>
      <c r="S65" s="2149">
        <f t="shared" si="3"/>
        <v>3</v>
      </c>
      <c r="T65" s="2849">
        <f t="shared" si="11"/>
        <v>0</v>
      </c>
      <c r="U65" s="2842"/>
      <c r="V65" s="2788"/>
      <c r="W65" s="1659">
        <f>IF(採点Q2!F15="対象外",0,採点Q2!F15)</f>
        <v>3</v>
      </c>
      <c r="X65" s="1660">
        <f>採点Q2!K15</f>
        <v>3</v>
      </c>
      <c r="Z65" s="453">
        <f>IF($Z$3=4,#REF!,W65)</f>
        <v>3</v>
      </c>
      <c r="AA65" s="1658">
        <f>重み!D65</f>
        <v>0.33333333333333331</v>
      </c>
      <c r="AB65" s="453">
        <f>IF($Z$3=4,#REF!,X65)</f>
        <v>3</v>
      </c>
      <c r="AC65" s="1658">
        <f>重み!E65</f>
        <v>0</v>
      </c>
      <c r="AD65" s="447"/>
      <c r="AE65" s="434"/>
      <c r="AF65" s="442">
        <f>重み!M65</f>
        <v>0.33333333333333331</v>
      </c>
      <c r="AG65" s="182"/>
      <c r="AH65" s="442">
        <f>重み!N65</f>
        <v>0</v>
      </c>
      <c r="AI65" s="2563"/>
      <c r="AJ65" s="2563"/>
      <c r="AK65" s="2564"/>
    </row>
    <row r="66" spans="2:37" ht="14.25" customHeight="1">
      <c r="B66" s="2879"/>
      <c r="C66" s="2101"/>
      <c r="D66" s="993">
        <v>2</v>
      </c>
      <c r="E66" s="1655" t="s">
        <v>1808</v>
      </c>
      <c r="F66" s="1655"/>
      <c r="G66" s="1655"/>
      <c r="H66" s="2868"/>
      <c r="I66" s="3126">
        <f>採点Q2!G32</f>
        <v>0</v>
      </c>
      <c r="J66" s="3127"/>
      <c r="K66" s="3127"/>
      <c r="L66" s="3127"/>
      <c r="M66" s="3127"/>
      <c r="N66" s="3127"/>
      <c r="O66" s="3127"/>
      <c r="P66" s="3128"/>
      <c r="Q66" s="2063">
        <f t="shared" si="2"/>
        <v>3</v>
      </c>
      <c r="R66" s="2849">
        <f t="shared" si="10"/>
        <v>0.33333333333333331</v>
      </c>
      <c r="S66" s="2063">
        <f t="shared" si="3"/>
        <v>3</v>
      </c>
      <c r="T66" s="2849">
        <f t="shared" si="11"/>
        <v>0</v>
      </c>
      <c r="U66" s="2842"/>
      <c r="V66" s="2788"/>
      <c r="W66" s="1663">
        <f>IF(採点Q2!F26="対象外",0,採点Q2!F26)</f>
        <v>3</v>
      </c>
      <c r="X66" s="1664">
        <f>採点Q2!K26</f>
        <v>3</v>
      </c>
      <c r="Z66" s="453">
        <f>IF($Z$3=4,#REF!,W66)</f>
        <v>3</v>
      </c>
      <c r="AA66" s="1658">
        <f>重み!D66</f>
        <v>0.33333333333333331</v>
      </c>
      <c r="AB66" s="453">
        <f>IF($Z$3=4,#REF!,X66)</f>
        <v>3</v>
      </c>
      <c r="AC66" s="1658">
        <f>重み!E66</f>
        <v>0</v>
      </c>
      <c r="AD66" s="447"/>
      <c r="AE66" s="434"/>
      <c r="AF66" s="442">
        <f>重み!M66</f>
        <v>0.33333333333333331</v>
      </c>
      <c r="AG66" s="182"/>
      <c r="AH66" s="442">
        <f>重み!N66</f>
        <v>0</v>
      </c>
      <c r="AI66" s="2563"/>
      <c r="AJ66" s="2563"/>
      <c r="AK66" s="2564"/>
    </row>
    <row r="67" spans="2:37" ht="14.25" customHeight="1" thickBot="1">
      <c r="B67" s="2879"/>
      <c r="C67" s="2227"/>
      <c r="D67" s="993">
        <v>3</v>
      </c>
      <c r="E67" s="1655" t="s">
        <v>1809</v>
      </c>
      <c r="F67" s="1655"/>
      <c r="G67" s="1655"/>
      <c r="H67" s="2868"/>
      <c r="I67" s="3126">
        <f>採点Q2!G43</f>
        <v>0</v>
      </c>
      <c r="J67" s="3127"/>
      <c r="K67" s="3127"/>
      <c r="L67" s="3127"/>
      <c r="M67" s="3127"/>
      <c r="N67" s="3127"/>
      <c r="O67" s="3127"/>
      <c r="P67" s="3128"/>
      <c r="Q67" s="2143">
        <f t="shared" si="2"/>
        <v>3</v>
      </c>
      <c r="R67" s="2849">
        <f t="shared" si="10"/>
        <v>0.33333333333333331</v>
      </c>
      <c r="S67" s="2143">
        <f t="shared" si="3"/>
        <v>0</v>
      </c>
      <c r="T67" s="2849">
        <f t="shared" si="11"/>
        <v>0</v>
      </c>
      <c r="U67" s="2842"/>
      <c r="V67" s="2788"/>
      <c r="W67" s="1661">
        <f>IF(採点Q2!F37="対象外",0,採点Q2!F37)</f>
        <v>3</v>
      </c>
      <c r="X67" s="1844"/>
      <c r="Z67" s="453">
        <f>IF($Z$3=4,#REF!,W67)</f>
        <v>3</v>
      </c>
      <c r="AA67" s="1658">
        <f>重み!D67</f>
        <v>0.33333333333333331</v>
      </c>
      <c r="AB67" s="453">
        <f>IF($Z$3=4,#REF!,X67)</f>
        <v>0</v>
      </c>
      <c r="AC67" s="1658">
        <f>重み!E67</f>
        <v>0</v>
      </c>
      <c r="AD67" s="447"/>
      <c r="AE67" s="434"/>
      <c r="AF67" s="442">
        <f>重み!M67</f>
        <v>0.33333333333333331</v>
      </c>
      <c r="AG67" s="182"/>
      <c r="AH67" s="442">
        <f>重み!N67</f>
        <v>0</v>
      </c>
      <c r="AI67" s="1"/>
      <c r="AJ67" s="1"/>
    </row>
    <row r="68" spans="2:37" ht="14.25" customHeight="1" thickBot="1">
      <c r="B68" s="2879"/>
      <c r="C68" s="2035">
        <v>1.2</v>
      </c>
      <c r="D68" s="2107" t="s">
        <v>2225</v>
      </c>
      <c r="E68" s="2106"/>
      <c r="F68" s="2106"/>
      <c r="G68" s="2106"/>
      <c r="H68" s="2855"/>
      <c r="I68" s="2836"/>
      <c r="J68" s="2837"/>
      <c r="K68" s="2837"/>
      <c r="L68" s="2837"/>
      <c r="M68" s="2837"/>
      <c r="N68" s="2837"/>
      <c r="O68" s="2837"/>
      <c r="P68" s="2838"/>
      <c r="Q68" s="2885">
        <f t="shared" si="2"/>
        <v>2.6</v>
      </c>
      <c r="R68" s="2849">
        <f>AA68</f>
        <v>0.3</v>
      </c>
      <c r="S68" s="2852">
        <f t="shared" si="3"/>
        <v>0</v>
      </c>
      <c r="T68" s="2841">
        <f t="shared" si="11"/>
        <v>0</v>
      </c>
      <c r="U68" s="2842"/>
      <c r="V68" s="2788"/>
      <c r="W68" s="1840"/>
      <c r="X68" s="1840"/>
      <c r="Z68" s="450">
        <f>SUMPRODUCT(Z69:Z73,AA69:AA73)</f>
        <v>2.6666666666666665</v>
      </c>
      <c r="AA68" s="1658">
        <f>重み!D68</f>
        <v>0.3</v>
      </c>
      <c r="AB68" s="450">
        <f>SUMPRODUCT(AB69:AB73,AC69:AC73)</f>
        <v>0</v>
      </c>
      <c r="AC68" s="1658">
        <f>重み!E68</f>
        <v>0</v>
      </c>
      <c r="AD68" s="447"/>
      <c r="AE68" s="434"/>
      <c r="AF68" s="442">
        <f>重み!M68</f>
        <v>0.3</v>
      </c>
      <c r="AG68" s="182"/>
      <c r="AH68" s="442">
        <f>重み!N68</f>
        <v>0</v>
      </c>
      <c r="AI68" s="2563"/>
      <c r="AJ68" s="2563"/>
      <c r="AK68" s="2564"/>
    </row>
    <row r="69" spans="2:37" ht="13.5">
      <c r="B69" s="2879"/>
      <c r="C69" s="2101"/>
      <c r="D69" s="993">
        <v>1</v>
      </c>
      <c r="E69" s="1655" t="s">
        <v>691</v>
      </c>
      <c r="F69" s="1655"/>
      <c r="G69" s="1655"/>
      <c r="H69" s="2899"/>
      <c r="I69" s="3126">
        <f>採点Q2!G54</f>
        <v>0</v>
      </c>
      <c r="J69" s="3127"/>
      <c r="K69" s="3127"/>
      <c r="L69" s="3127"/>
      <c r="M69" s="3127"/>
      <c r="N69" s="3127"/>
      <c r="O69" s="3127"/>
      <c r="P69" s="3128"/>
      <c r="Q69" s="2149">
        <f t="shared" si="2"/>
        <v>3</v>
      </c>
      <c r="R69" s="2849">
        <f t="shared" si="10"/>
        <v>0.33333333333333331</v>
      </c>
      <c r="S69" s="2149">
        <f t="shared" si="3"/>
        <v>3</v>
      </c>
      <c r="T69" s="2849">
        <f t="shared" si="11"/>
        <v>0</v>
      </c>
      <c r="U69" s="2842"/>
      <c r="V69" s="2788"/>
      <c r="W69" s="1659">
        <f>IF(採点Q2!F48="対象外",0,採点Q2!F48)</f>
        <v>3</v>
      </c>
      <c r="X69" s="1660">
        <f>採点Q2!M48</f>
        <v>3</v>
      </c>
      <c r="Z69" s="453">
        <f>IF($Z$3=4,#REF!,W69)</f>
        <v>3</v>
      </c>
      <c r="AA69" s="1658">
        <f>重み!D69</f>
        <v>0.33333333333333331</v>
      </c>
      <c r="AB69" s="453">
        <f>IF($Z$3=4,#REF!,X69)</f>
        <v>3</v>
      </c>
      <c r="AC69" s="1658">
        <f>重み!E69</f>
        <v>0</v>
      </c>
      <c r="AD69" s="447"/>
      <c r="AE69" s="434"/>
      <c r="AF69" s="442">
        <f>重み!M69</f>
        <v>0.33333333333333331</v>
      </c>
      <c r="AG69" s="182"/>
      <c r="AH69" s="442">
        <f>重み!N69</f>
        <v>0</v>
      </c>
      <c r="AI69" s="2563"/>
      <c r="AJ69" s="2563"/>
      <c r="AK69" s="2564"/>
    </row>
    <row r="70" spans="2:37" ht="13.5" hidden="1">
      <c r="B70" s="2879"/>
      <c r="C70" s="2101"/>
      <c r="D70" s="2229"/>
      <c r="E70" s="2200"/>
      <c r="F70" s="2200"/>
      <c r="G70" s="2200"/>
      <c r="H70" s="2899" t="s">
        <v>2938</v>
      </c>
      <c r="I70" s="3126"/>
      <c r="J70" s="3127"/>
      <c r="K70" s="3127"/>
      <c r="L70" s="3127"/>
      <c r="M70" s="3127"/>
      <c r="N70" s="3127"/>
      <c r="O70" s="3127"/>
      <c r="P70" s="3128"/>
      <c r="Q70" s="2063">
        <f t="shared" si="2"/>
        <v>100</v>
      </c>
      <c r="R70" s="2849">
        <f t="shared" si="10"/>
        <v>0</v>
      </c>
      <c r="S70" s="2063">
        <f t="shared" si="3"/>
        <v>0</v>
      </c>
      <c r="T70" s="2849"/>
      <c r="U70" s="2842"/>
      <c r="V70" s="2788"/>
      <c r="W70" s="1856">
        <v>100</v>
      </c>
      <c r="X70" s="1664"/>
      <c r="Z70" s="453">
        <f>IF($Z$3=4,#REF!,W70)</f>
        <v>100</v>
      </c>
      <c r="AA70" s="1658">
        <f>重み!D70</f>
        <v>0</v>
      </c>
      <c r="AB70" s="453">
        <f>IF($Z$3=4,#REF!,X70)</f>
        <v>0</v>
      </c>
      <c r="AC70" s="1658">
        <f>重み!E70</f>
        <v>0</v>
      </c>
      <c r="AD70" s="447"/>
      <c r="AE70" s="434"/>
      <c r="AF70" s="442">
        <f>重み!M70</f>
        <v>0</v>
      </c>
      <c r="AG70" s="182"/>
      <c r="AH70" s="442">
        <f>重み!N70</f>
        <v>0</v>
      </c>
      <c r="AI70" s="2563"/>
      <c r="AJ70" s="2563"/>
      <c r="AK70" s="2564"/>
    </row>
    <row r="71" spans="2:37" ht="13.5">
      <c r="B71" s="2879"/>
      <c r="C71" s="2101"/>
      <c r="D71" s="993">
        <v>2</v>
      </c>
      <c r="E71" s="1655" t="s">
        <v>1603</v>
      </c>
      <c r="F71" s="1655"/>
      <c r="G71" s="1655"/>
      <c r="H71" s="2868"/>
      <c r="I71" s="3126">
        <f>採点Q2!G64</f>
        <v>0</v>
      </c>
      <c r="J71" s="3127"/>
      <c r="K71" s="3127"/>
      <c r="L71" s="3127"/>
      <c r="M71" s="3127"/>
      <c r="N71" s="3127"/>
      <c r="O71" s="3127"/>
      <c r="P71" s="3128"/>
      <c r="Q71" s="2063">
        <f t="shared" si="2"/>
        <v>2</v>
      </c>
      <c r="R71" s="2849">
        <f t="shared" si="10"/>
        <v>0.33333333333333331</v>
      </c>
      <c r="S71" s="2063">
        <f t="shared" si="3"/>
        <v>0</v>
      </c>
      <c r="T71" s="2849">
        <f t="shared" si="11"/>
        <v>0</v>
      </c>
      <c r="U71" s="2842"/>
      <c r="V71" s="2788"/>
      <c r="W71" s="1663">
        <f>IF(採点Q2!F58="対象外",0,採点Q2!F58)</f>
        <v>2</v>
      </c>
      <c r="X71" s="1664"/>
      <c r="Z71" s="453">
        <f>IF($Z$3=4,#REF!,W71)</f>
        <v>2</v>
      </c>
      <c r="AA71" s="1658">
        <f>重み!D71</f>
        <v>0.33333333333333331</v>
      </c>
      <c r="AB71" s="453">
        <f>IF($Z$3=4,#REF!,X71)</f>
        <v>0</v>
      </c>
      <c r="AC71" s="1658">
        <f>重み!E71</f>
        <v>0</v>
      </c>
      <c r="AD71" s="447"/>
      <c r="AE71" s="434"/>
      <c r="AF71" s="442">
        <f>重み!M71</f>
        <v>0.33333333333333331</v>
      </c>
      <c r="AG71" s="182"/>
      <c r="AH71" s="442">
        <f>重み!N71</f>
        <v>0</v>
      </c>
      <c r="AI71" s="2563"/>
      <c r="AJ71" s="2563"/>
      <c r="AK71" s="2564"/>
    </row>
    <row r="72" spans="2:37" thickBot="1">
      <c r="B72" s="2879"/>
      <c r="C72" s="2101"/>
      <c r="D72" s="2018">
        <v>3</v>
      </c>
      <c r="E72" s="2107" t="s">
        <v>0</v>
      </c>
      <c r="F72" s="2107"/>
      <c r="G72" s="2107"/>
      <c r="H72" s="2868"/>
      <c r="I72" s="3126">
        <f>採点Q2!G74</f>
        <v>0</v>
      </c>
      <c r="J72" s="3127"/>
      <c r="K72" s="3127"/>
      <c r="L72" s="3127"/>
      <c r="M72" s="3127"/>
      <c r="N72" s="3127"/>
      <c r="O72" s="3127"/>
      <c r="P72" s="3128"/>
      <c r="Q72" s="2063">
        <f t="shared" si="2"/>
        <v>3</v>
      </c>
      <c r="R72" s="2849">
        <f t="shared" si="10"/>
        <v>0.33333333333333331</v>
      </c>
      <c r="S72" s="2063">
        <f t="shared" si="3"/>
        <v>3</v>
      </c>
      <c r="T72" s="2849">
        <f t="shared" si="11"/>
        <v>0</v>
      </c>
      <c r="U72" s="2842"/>
      <c r="V72" s="2788"/>
      <c r="W72" s="1663">
        <f>IF(採点Q2!F68="対象外",0,採点Q2!F68)</f>
        <v>3</v>
      </c>
      <c r="X72" s="1664">
        <f>採点Q2!K68</f>
        <v>3</v>
      </c>
      <c r="Z72" s="453">
        <f>IF($Z$3=4,#REF!,W72)</f>
        <v>3</v>
      </c>
      <c r="AA72" s="1658">
        <f>重み!D72</f>
        <v>0.33333333333333331</v>
      </c>
      <c r="AB72" s="453">
        <f>IF($Z$3=4,#REF!,X72)</f>
        <v>3</v>
      </c>
      <c r="AC72" s="1658">
        <f>重み!E72</f>
        <v>0</v>
      </c>
      <c r="AD72" s="447"/>
      <c r="AE72" s="434"/>
      <c r="AF72" s="442">
        <f>重み!M72</f>
        <v>0.33333333333333331</v>
      </c>
      <c r="AG72" s="182"/>
      <c r="AH72" s="442">
        <f>重み!N72</f>
        <v>0</v>
      </c>
      <c r="AI72" s="2563"/>
      <c r="AJ72" s="2563"/>
      <c r="AK72" s="2564"/>
    </row>
    <row r="73" spans="2:37" hidden="1" thickBot="1">
      <c r="B73" s="2879"/>
      <c r="C73" s="2101"/>
      <c r="D73" s="2900"/>
      <c r="E73" s="2901"/>
      <c r="F73" s="2902"/>
      <c r="G73" s="2902"/>
      <c r="H73" s="2855"/>
      <c r="I73" s="3126"/>
      <c r="J73" s="3127"/>
      <c r="K73" s="3127"/>
      <c r="L73" s="3127"/>
      <c r="M73" s="3127"/>
      <c r="N73" s="3127"/>
      <c r="O73" s="3127"/>
      <c r="P73" s="3128"/>
      <c r="Q73" s="2143">
        <f t="shared" si="2"/>
        <v>100</v>
      </c>
      <c r="R73" s="2849">
        <f t="shared" si="10"/>
        <v>0</v>
      </c>
      <c r="S73" s="2143">
        <f t="shared" si="3"/>
        <v>0</v>
      </c>
      <c r="T73" s="2849"/>
      <c r="U73" s="2842"/>
      <c r="V73" s="2788"/>
      <c r="W73" s="1857">
        <v>100</v>
      </c>
      <c r="X73" s="1662"/>
      <c r="Z73" s="453">
        <f>IF($Z$3=4,#REF!,W73)</f>
        <v>100</v>
      </c>
      <c r="AA73" s="1658">
        <f>重み!D73</f>
        <v>0</v>
      </c>
      <c r="AB73" s="453">
        <f>IF($Z$3=4,#REF!,X73)</f>
        <v>0</v>
      </c>
      <c r="AC73" s="1658">
        <f>重み!E73</f>
        <v>0</v>
      </c>
      <c r="AD73" s="447"/>
      <c r="AE73" s="434"/>
      <c r="AF73" s="442">
        <f>重み!M73</f>
        <v>0</v>
      </c>
      <c r="AG73" s="182"/>
      <c r="AH73" s="442">
        <f>重み!N73</f>
        <v>0</v>
      </c>
      <c r="AI73" s="2563"/>
      <c r="AJ73" s="2563"/>
      <c r="AK73" s="2564"/>
    </row>
    <row r="74" spans="2:37" thickBot="1">
      <c r="B74" s="2903"/>
      <c r="C74" s="2035">
        <v>1.3</v>
      </c>
      <c r="D74" s="2107" t="s">
        <v>1</v>
      </c>
      <c r="E74" s="2106"/>
      <c r="F74" s="2106"/>
      <c r="G74" s="2106"/>
      <c r="H74" s="2855"/>
      <c r="I74" s="2836"/>
      <c r="J74" s="2837"/>
      <c r="K74" s="2837"/>
      <c r="L74" s="2837"/>
      <c r="M74" s="2837"/>
      <c r="N74" s="2837"/>
      <c r="O74" s="2837"/>
      <c r="P74" s="2838"/>
      <c r="Q74" s="2852">
        <f t="shared" si="2"/>
        <v>3</v>
      </c>
      <c r="R74" s="2849">
        <f>AA74</f>
        <v>0.3</v>
      </c>
      <c r="S74" s="2904">
        <f t="shared" si="3"/>
        <v>0</v>
      </c>
      <c r="T74" s="2849">
        <f t="shared" ref="T74" si="12">AC74</f>
        <v>0</v>
      </c>
      <c r="U74" s="2842"/>
      <c r="V74" s="2788"/>
      <c r="W74" s="1841"/>
      <c r="X74" s="1841"/>
      <c r="Z74" s="450">
        <f>SUMPRODUCT(Z75:Z77,AA75:AA77)</f>
        <v>3</v>
      </c>
      <c r="AA74" s="1658">
        <f>重み!D74</f>
        <v>0.3</v>
      </c>
      <c r="AB74" s="450">
        <f>SUMPRODUCT(AB75:AB77,AC75:AC77)</f>
        <v>0</v>
      </c>
      <c r="AC74" s="1658">
        <f>重み!E74</f>
        <v>0</v>
      </c>
      <c r="AD74" s="447"/>
      <c r="AE74" s="434"/>
      <c r="AF74" s="442">
        <f>重み!M74</f>
        <v>0.3</v>
      </c>
      <c r="AG74" s="182"/>
      <c r="AH74" s="442">
        <f>重み!N74</f>
        <v>0</v>
      </c>
      <c r="AI74" s="2563"/>
      <c r="AJ74" s="2563"/>
      <c r="AK74" s="2564"/>
    </row>
    <row r="75" spans="2:37" ht="14.25" customHeight="1">
      <c r="B75" s="2903"/>
      <c r="C75" s="2101"/>
      <c r="D75" s="993">
        <v>1</v>
      </c>
      <c r="E75" s="1655" t="s">
        <v>2</v>
      </c>
      <c r="F75" s="1655"/>
      <c r="G75" s="1655"/>
      <c r="H75" s="2868"/>
      <c r="I75" s="3126">
        <f>採点Q2!G92</f>
        <v>0</v>
      </c>
      <c r="J75" s="3127"/>
      <c r="K75" s="3127"/>
      <c r="L75" s="3127"/>
      <c r="M75" s="3127"/>
      <c r="N75" s="3127"/>
      <c r="O75" s="3127"/>
      <c r="P75" s="3128"/>
      <c r="Q75" s="2149">
        <f t="shared" ref="Q75:Q138" si="13">ROUNDDOWN(Z75,1)</f>
        <v>3</v>
      </c>
      <c r="R75" s="2849">
        <f t="shared" si="10"/>
        <v>0.5</v>
      </c>
      <c r="S75" s="2149">
        <f t="shared" ref="S75:S138" si="14">ROUNDDOWN(AB75,1)</f>
        <v>0</v>
      </c>
      <c r="T75" s="2849">
        <f t="shared" si="11"/>
        <v>0</v>
      </c>
      <c r="U75" s="2842"/>
      <c r="V75" s="2788"/>
      <c r="W75" s="1665">
        <f>IF(採点Q2!F86="対象外",0,採点Q2!F86)</f>
        <v>3</v>
      </c>
      <c r="X75" s="1839"/>
      <c r="Z75" s="453">
        <f>IF($Z$3=4,#REF!,W75)</f>
        <v>3</v>
      </c>
      <c r="AA75" s="1658">
        <f>重み!D75</f>
        <v>0.5</v>
      </c>
      <c r="AB75" s="453">
        <f>IF($Z$3=4,#REF!,X75)</f>
        <v>0</v>
      </c>
      <c r="AC75" s="1658">
        <f>重み!E75</f>
        <v>0</v>
      </c>
      <c r="AD75" s="447"/>
      <c r="AE75" s="434"/>
      <c r="AF75" s="442">
        <f>重み!M75</f>
        <v>0.5</v>
      </c>
      <c r="AG75" s="182"/>
      <c r="AH75" s="442">
        <f>重み!N75</f>
        <v>0</v>
      </c>
      <c r="AI75" s="1"/>
      <c r="AJ75" s="2563"/>
      <c r="AK75" s="2564"/>
    </row>
    <row r="76" spans="2:37" ht="14.25" customHeight="1" thickBot="1">
      <c r="B76" s="2879"/>
      <c r="C76" s="2101"/>
      <c r="D76" s="993">
        <v>2</v>
      </c>
      <c r="E76" s="1655" t="s">
        <v>3</v>
      </c>
      <c r="F76" s="1655"/>
      <c r="G76" s="1655"/>
      <c r="H76" s="2868"/>
      <c r="I76" s="3126">
        <f>採点Q2!G138</f>
        <v>0</v>
      </c>
      <c r="J76" s="3127"/>
      <c r="K76" s="3127"/>
      <c r="L76" s="3127"/>
      <c r="M76" s="3127"/>
      <c r="N76" s="3127"/>
      <c r="O76" s="3127"/>
      <c r="P76" s="3128"/>
      <c r="Q76" s="2063">
        <f t="shared" si="13"/>
        <v>3</v>
      </c>
      <c r="R76" s="2849">
        <f t="shared" si="10"/>
        <v>0.5</v>
      </c>
      <c r="S76" s="2063">
        <f t="shared" si="14"/>
        <v>0</v>
      </c>
      <c r="T76" s="2849">
        <f t="shared" si="11"/>
        <v>0</v>
      </c>
      <c r="U76" s="2842"/>
      <c r="V76" s="2788"/>
      <c r="W76" s="456">
        <f>IF(採点Q2!F132="対象外",0,採点Q2!F132)</f>
        <v>3</v>
      </c>
      <c r="X76" s="1839"/>
      <c r="Z76" s="453">
        <f>IF($Z$3=4,#REF!,W76)</f>
        <v>3</v>
      </c>
      <c r="AA76" s="1658">
        <f>重み!D76</f>
        <v>0.5</v>
      </c>
      <c r="AB76" s="453">
        <f>IF($Z$3=4,#REF!,X76)</f>
        <v>0</v>
      </c>
      <c r="AC76" s="1658">
        <f>重み!E76</f>
        <v>0</v>
      </c>
      <c r="AD76" s="447"/>
      <c r="AE76" s="434"/>
      <c r="AF76" s="442">
        <f>重み!M76</f>
        <v>0.5</v>
      </c>
      <c r="AG76" s="182"/>
      <c r="AH76" s="442">
        <f>重み!N76</f>
        <v>0</v>
      </c>
      <c r="AI76" s="2563"/>
      <c r="AJ76" s="2563"/>
      <c r="AK76" s="2564"/>
    </row>
    <row r="77" spans="2:37" ht="14.25" hidden="1" customHeight="1" thickBot="1">
      <c r="B77" s="2879"/>
      <c r="C77" s="2227"/>
      <c r="D77" s="2218">
        <v>3</v>
      </c>
      <c r="E77" s="2217" t="s">
        <v>4</v>
      </c>
      <c r="F77" s="2217"/>
      <c r="G77" s="2217"/>
      <c r="H77" s="2872"/>
      <c r="I77" s="3126">
        <f>採点Q2!G190</f>
        <v>0</v>
      </c>
      <c r="J77" s="3127"/>
      <c r="K77" s="3127"/>
      <c r="L77" s="3127"/>
      <c r="M77" s="3127"/>
      <c r="N77" s="3127"/>
      <c r="O77" s="3127"/>
      <c r="P77" s="3128"/>
      <c r="Q77" s="2143">
        <f t="shared" si="13"/>
        <v>3</v>
      </c>
      <c r="R77" s="2849">
        <f t="shared" si="10"/>
        <v>0</v>
      </c>
      <c r="S77" s="2143">
        <f t="shared" si="14"/>
        <v>0</v>
      </c>
      <c r="T77" s="2849">
        <f t="shared" si="11"/>
        <v>0</v>
      </c>
      <c r="U77" s="2842"/>
      <c r="V77" s="2788"/>
      <c r="W77" s="1666">
        <f>採点Q2!F184</f>
        <v>3</v>
      </c>
      <c r="X77" s="1839"/>
      <c r="Z77" s="453">
        <f>IF($Z$3=4,#REF!,W77)</f>
        <v>3</v>
      </c>
      <c r="AA77" s="1658">
        <f>重み!D77</f>
        <v>0</v>
      </c>
      <c r="AB77" s="453">
        <f>IF($Z$3=4,#REF!,X77)</f>
        <v>0</v>
      </c>
      <c r="AC77" s="1658">
        <f>重み!E77</f>
        <v>0</v>
      </c>
      <c r="AD77" s="447"/>
      <c r="AE77" s="434"/>
      <c r="AF77" s="442">
        <f>重み!M77</f>
        <v>0</v>
      </c>
      <c r="AG77" s="182"/>
      <c r="AH77" s="442">
        <f>重み!N77</f>
        <v>0</v>
      </c>
      <c r="AI77" s="2563"/>
      <c r="AJ77" s="2563"/>
      <c r="AK77" s="2564"/>
    </row>
    <row r="78" spans="2:37" ht="14.25" customHeight="1">
      <c r="B78" s="2854">
        <v>2</v>
      </c>
      <c r="C78" s="2058" t="s">
        <v>5</v>
      </c>
      <c r="D78" s="2116"/>
      <c r="E78" s="2116"/>
      <c r="F78" s="2116"/>
      <c r="G78" s="2116"/>
      <c r="H78" s="2855"/>
      <c r="I78" s="2875"/>
      <c r="J78" s="2876"/>
      <c r="K78" s="2876"/>
      <c r="L78" s="2876"/>
      <c r="M78" s="2876"/>
      <c r="N78" s="2876"/>
      <c r="O78" s="2876"/>
      <c r="P78" s="2877"/>
      <c r="Q78" s="2878">
        <f t="shared" si="13"/>
        <v>3</v>
      </c>
      <c r="R78" s="2860">
        <f t="shared" si="10"/>
        <v>0.3</v>
      </c>
      <c r="S78" s="2878">
        <f t="shared" si="14"/>
        <v>0</v>
      </c>
      <c r="T78" s="2862">
        <f t="shared" si="11"/>
        <v>0</v>
      </c>
      <c r="U78" s="2863">
        <f>ROUNDDOWN(AD78,1)</f>
        <v>3</v>
      </c>
      <c r="V78" s="2788"/>
      <c r="W78" s="1841"/>
      <c r="X78" s="1839"/>
      <c r="Z78" s="1833">
        <f>Z79*AA79+Z82*AA82+Z89*AA89+Z93*AA93</f>
        <v>3.0000000000000004</v>
      </c>
      <c r="AA78" s="1658">
        <f>重み!D78</f>
        <v>0.3</v>
      </c>
      <c r="AB78" s="1833">
        <f>AB79*AC79+AB82*AC82+AB89*AC89+AB93*AC93</f>
        <v>0</v>
      </c>
      <c r="AC78" s="451">
        <f>SUM(AC79,AC82,AC89,AC93)</f>
        <v>0</v>
      </c>
      <c r="AD78" s="447">
        <f>IF(AB78=0,Z78,IF(Z78=0,AB78,Z78*AF$6+AB78*AH$6))</f>
        <v>3.0000000000000004</v>
      </c>
      <c r="AE78" s="434"/>
      <c r="AF78" s="442">
        <f>重み!M78</f>
        <v>0.3</v>
      </c>
      <c r="AG78" s="182"/>
      <c r="AH78" s="451">
        <f>SUM(AH79,AH82,AH89,AH93)</f>
        <v>0</v>
      </c>
      <c r="AI78" s="2563"/>
      <c r="AJ78" s="2563"/>
      <c r="AK78" s="2564"/>
    </row>
    <row r="79" spans="2:37" ht="14.25" customHeight="1" thickBot="1">
      <c r="B79" s="2879"/>
      <c r="C79" s="2035">
        <v>2.1</v>
      </c>
      <c r="D79" s="2129" t="s">
        <v>2867</v>
      </c>
      <c r="E79" s="2106"/>
      <c r="F79" s="2106"/>
      <c r="G79" s="2106"/>
      <c r="H79" s="2855"/>
      <c r="I79" s="2875"/>
      <c r="J79" s="2876"/>
      <c r="K79" s="2876"/>
      <c r="L79" s="2876"/>
      <c r="M79" s="2876"/>
      <c r="N79" s="2876"/>
      <c r="O79" s="2876"/>
      <c r="P79" s="2877"/>
      <c r="Q79" s="2885">
        <f t="shared" si="13"/>
        <v>3</v>
      </c>
      <c r="R79" s="2840">
        <f t="shared" si="10"/>
        <v>0.5</v>
      </c>
      <c r="S79" s="2905">
        <f t="shared" si="14"/>
        <v>0</v>
      </c>
      <c r="T79" s="2841">
        <f t="shared" si="11"/>
        <v>0</v>
      </c>
      <c r="U79" s="2842"/>
      <c r="V79" s="2788"/>
      <c r="W79" s="457"/>
      <c r="X79" s="1839"/>
      <c r="Z79" s="450">
        <f>SUMPRODUCT(Z80:Z81,AA80:AA81)</f>
        <v>3.0000000000000004</v>
      </c>
      <c r="AA79" s="1658">
        <f>重み!D79</f>
        <v>0.5</v>
      </c>
      <c r="AB79" s="450">
        <f>SUMPRODUCT(AB80:AB81,AC80:AC81)</f>
        <v>0</v>
      </c>
      <c r="AC79" s="1658">
        <f>重み!E79</f>
        <v>0</v>
      </c>
      <c r="AD79" s="447"/>
      <c r="AE79" s="434"/>
      <c r="AF79" s="442">
        <f>重み!M79</f>
        <v>0.5</v>
      </c>
      <c r="AG79" s="182"/>
      <c r="AH79" s="442">
        <f>重み!N79</f>
        <v>0</v>
      </c>
      <c r="AI79" s="2563"/>
      <c r="AJ79" s="2563"/>
      <c r="AK79" s="2564"/>
    </row>
    <row r="80" spans="2:37" ht="14.25" customHeight="1">
      <c r="B80" s="2879"/>
      <c r="C80" s="2019"/>
      <c r="D80" s="993">
        <v>1</v>
      </c>
      <c r="E80" s="1655" t="s">
        <v>2870</v>
      </c>
      <c r="F80" s="1655"/>
      <c r="G80" s="1655"/>
      <c r="H80" s="2868"/>
      <c r="I80" s="3126">
        <f>採点Q2!G214</f>
        <v>0</v>
      </c>
      <c r="J80" s="3127"/>
      <c r="K80" s="3127"/>
      <c r="L80" s="3127"/>
      <c r="M80" s="3127"/>
      <c r="N80" s="3127"/>
      <c r="O80" s="3127"/>
      <c r="P80" s="3128"/>
      <c r="Q80" s="2149">
        <f t="shared" si="13"/>
        <v>3</v>
      </c>
      <c r="R80" s="2906">
        <f t="shared" ref="R80:R109" si="15">AA80</f>
        <v>0.8</v>
      </c>
      <c r="S80" s="2907">
        <f t="shared" si="14"/>
        <v>0</v>
      </c>
      <c r="T80" s="2841">
        <f t="shared" ref="T80:T109" si="16">AC80</f>
        <v>0</v>
      </c>
      <c r="U80" s="2842"/>
      <c r="V80" s="2788"/>
      <c r="W80" s="456">
        <f>IF(採点Q2!F208="対象外",0,採点Q2!F208)</f>
        <v>3</v>
      </c>
      <c r="X80" s="1839"/>
      <c r="Z80" s="453">
        <f>IF($Z$3=4,#REF!,W80)</f>
        <v>3</v>
      </c>
      <c r="AA80" s="1658">
        <f>重み!D80</f>
        <v>0.8</v>
      </c>
      <c r="AB80" s="453">
        <f>IF($Z$3=4,#REF!,X80)</f>
        <v>0</v>
      </c>
      <c r="AC80" s="1658">
        <f>重み!E80</f>
        <v>0</v>
      </c>
      <c r="AD80" s="447"/>
      <c r="AE80" s="434"/>
      <c r="AF80" s="442">
        <f>重み!M80</f>
        <v>0.8</v>
      </c>
      <c r="AG80" s="182"/>
      <c r="AH80" s="442">
        <f>重み!N80</f>
        <v>0</v>
      </c>
      <c r="AI80" s="2563"/>
      <c r="AJ80" s="2563"/>
      <c r="AK80" s="2564"/>
    </row>
    <row r="81" spans="2:37" ht="14.25" customHeight="1" thickBot="1">
      <c r="B81" s="2879"/>
      <c r="C81" s="2067"/>
      <c r="D81" s="993">
        <v>2</v>
      </c>
      <c r="E81" s="1655" t="s">
        <v>2869</v>
      </c>
      <c r="F81" s="1655"/>
      <c r="G81" s="1655"/>
      <c r="H81" s="2868"/>
      <c r="I81" s="3126">
        <f>採点Q2!L214</f>
        <v>0</v>
      </c>
      <c r="J81" s="3127"/>
      <c r="K81" s="3127"/>
      <c r="L81" s="3127"/>
      <c r="M81" s="3127"/>
      <c r="N81" s="3127"/>
      <c r="O81" s="3127"/>
      <c r="P81" s="3128"/>
      <c r="Q81" s="2143">
        <f t="shared" si="13"/>
        <v>3</v>
      </c>
      <c r="R81" s="2906">
        <f t="shared" si="15"/>
        <v>0.2</v>
      </c>
      <c r="S81" s="2907">
        <f t="shared" si="14"/>
        <v>0</v>
      </c>
      <c r="T81" s="2841">
        <f t="shared" si="16"/>
        <v>0</v>
      </c>
      <c r="U81" s="2842"/>
      <c r="V81" s="2788"/>
      <c r="W81" s="456">
        <f>IF(採点Q2!K208="対象外",0,採点Q2!K208)</f>
        <v>3</v>
      </c>
      <c r="X81" s="1839"/>
      <c r="Z81" s="453">
        <f>IF($Z$3=4,#REF!,W81)</f>
        <v>3</v>
      </c>
      <c r="AA81" s="1658">
        <f>重み!D81</f>
        <v>0.2</v>
      </c>
      <c r="AB81" s="453">
        <f>IF($Z$3=4,#REF!,X81)</f>
        <v>0</v>
      </c>
      <c r="AC81" s="1658">
        <f>重み!E81</f>
        <v>0</v>
      </c>
      <c r="AD81" s="447"/>
      <c r="AE81" s="434"/>
      <c r="AF81" s="442">
        <f>重み!M81</f>
        <v>0.2</v>
      </c>
      <c r="AG81" s="182"/>
      <c r="AH81" s="442">
        <f>重み!N81</f>
        <v>0</v>
      </c>
      <c r="AI81" s="2563"/>
      <c r="AJ81" s="2563"/>
      <c r="AK81" s="2564"/>
    </row>
    <row r="82" spans="2:37" ht="14.25" customHeight="1" thickBot="1">
      <c r="B82" s="2879"/>
      <c r="C82" s="2068">
        <v>2.2000000000000002</v>
      </c>
      <c r="D82" s="2129" t="s">
        <v>1841</v>
      </c>
      <c r="E82" s="2106"/>
      <c r="F82" s="2106"/>
      <c r="G82" s="2106"/>
      <c r="H82" s="2855"/>
      <c r="I82" s="2836"/>
      <c r="J82" s="2837"/>
      <c r="K82" s="2837"/>
      <c r="L82" s="2837"/>
      <c r="M82" s="2837"/>
      <c r="N82" s="2837"/>
      <c r="O82" s="2837"/>
      <c r="P82" s="2838"/>
      <c r="Q82" s="2885">
        <f t="shared" si="13"/>
        <v>3</v>
      </c>
      <c r="R82" s="2840">
        <f>AA82</f>
        <v>0.3</v>
      </c>
      <c r="S82" s="2905">
        <f t="shared" si="14"/>
        <v>0</v>
      </c>
      <c r="T82" s="2841">
        <f t="shared" si="16"/>
        <v>0</v>
      </c>
      <c r="U82" s="2842"/>
      <c r="V82" s="2788"/>
      <c r="W82" s="458"/>
      <c r="X82" s="1839"/>
      <c r="Z82" s="450">
        <f>SUMPRODUCT(Z83:Z88,AA83:AA88)</f>
        <v>3.0000000000000004</v>
      </c>
      <c r="AA82" s="1658">
        <f>重み!D82</f>
        <v>0.3</v>
      </c>
      <c r="AB82" s="450">
        <f>SUMPRODUCT(AB83:AB88,AC83:AC88)</f>
        <v>0</v>
      </c>
      <c r="AC82" s="1658">
        <f>重み!E82</f>
        <v>0</v>
      </c>
      <c r="AD82" s="447"/>
      <c r="AE82" s="434"/>
      <c r="AF82" s="442">
        <f>重み!M82</f>
        <v>0.3</v>
      </c>
      <c r="AG82" s="182"/>
      <c r="AH82" s="442">
        <f>重み!N82</f>
        <v>0</v>
      </c>
      <c r="AI82" s="2563"/>
      <c r="AJ82" s="2563"/>
      <c r="AK82" s="2564"/>
    </row>
    <row r="83" spans="2:37" ht="14.25" customHeight="1">
      <c r="B83" s="2879"/>
      <c r="C83" s="2019"/>
      <c r="D83" s="993">
        <v>1</v>
      </c>
      <c r="E83" s="1655" t="s">
        <v>648</v>
      </c>
      <c r="F83" s="1655"/>
      <c r="G83" s="1655"/>
      <c r="H83" s="2868"/>
      <c r="I83" s="3126">
        <f>採点Q2!G225</f>
        <v>0</v>
      </c>
      <c r="J83" s="3127"/>
      <c r="K83" s="3127"/>
      <c r="L83" s="3127"/>
      <c r="M83" s="3127"/>
      <c r="N83" s="3127"/>
      <c r="O83" s="3127"/>
      <c r="P83" s="3128"/>
      <c r="Q83" s="2149">
        <f t="shared" si="13"/>
        <v>3</v>
      </c>
      <c r="R83" s="2906">
        <f t="shared" si="15"/>
        <v>0.2</v>
      </c>
      <c r="S83" s="2907">
        <f t="shared" si="14"/>
        <v>0</v>
      </c>
      <c r="T83" s="2841">
        <f t="shared" si="16"/>
        <v>0</v>
      </c>
      <c r="U83" s="2842"/>
      <c r="V83" s="2788"/>
      <c r="W83" s="1665">
        <f>IF(採点Q2!F219="対象外",0,採点Q2!F219)</f>
        <v>3</v>
      </c>
      <c r="X83" s="1839"/>
      <c r="Z83" s="453">
        <f>IF($Z$3=4,#REF!,W83)</f>
        <v>3</v>
      </c>
      <c r="AA83" s="1658">
        <f>重み!D83</f>
        <v>0.2</v>
      </c>
      <c r="AB83" s="453">
        <f>IF($Z$3=4,#REF!,X83)</f>
        <v>0</v>
      </c>
      <c r="AC83" s="1658">
        <f>重み!E83</f>
        <v>0</v>
      </c>
      <c r="AD83" s="447"/>
      <c r="AE83" s="434"/>
      <c r="AF83" s="442">
        <f>重み!M83</f>
        <v>0.2</v>
      </c>
      <c r="AG83" s="182"/>
      <c r="AH83" s="442">
        <f>重み!N83</f>
        <v>0</v>
      </c>
      <c r="AI83" s="2563"/>
      <c r="AJ83" s="2563"/>
      <c r="AK83" s="2564"/>
    </row>
    <row r="84" spans="2:37" ht="14.25" customHeight="1">
      <c r="B84" s="2879"/>
      <c r="C84" s="2019"/>
      <c r="D84" s="993">
        <v>2</v>
      </c>
      <c r="E84" s="1655" t="s">
        <v>649</v>
      </c>
      <c r="F84" s="1655"/>
      <c r="G84" s="1655"/>
      <c r="H84" s="2868"/>
      <c r="I84" s="3126">
        <f>採点Q2!L225</f>
        <v>0</v>
      </c>
      <c r="J84" s="3127"/>
      <c r="K84" s="3127"/>
      <c r="L84" s="3127"/>
      <c r="M84" s="3127"/>
      <c r="N84" s="3127"/>
      <c r="O84" s="3127"/>
      <c r="P84" s="3128"/>
      <c r="Q84" s="2063">
        <f t="shared" si="13"/>
        <v>3</v>
      </c>
      <c r="R84" s="2906">
        <f t="shared" si="15"/>
        <v>0.2</v>
      </c>
      <c r="S84" s="2907">
        <f t="shared" si="14"/>
        <v>0</v>
      </c>
      <c r="T84" s="2841">
        <f t="shared" si="16"/>
        <v>0</v>
      </c>
      <c r="U84" s="2842"/>
      <c r="V84" s="2788"/>
      <c r="W84" s="456">
        <f>IF(採点Q2!K219="対象外",0,採点Q2!K219)</f>
        <v>3</v>
      </c>
      <c r="X84" s="1839"/>
      <c r="Z84" s="453">
        <f>IF($Z$3=4,#REF!,W84)</f>
        <v>3</v>
      </c>
      <c r="AA84" s="1658">
        <f>重み!D84</f>
        <v>0.2</v>
      </c>
      <c r="AB84" s="453">
        <f>IF($Z$3=4,#REF!,X84)</f>
        <v>0</v>
      </c>
      <c r="AC84" s="1658">
        <f>重み!E84</f>
        <v>0</v>
      </c>
      <c r="AD84" s="447"/>
      <c r="AE84" s="434"/>
      <c r="AF84" s="442">
        <f>重み!M84</f>
        <v>0.2</v>
      </c>
      <c r="AG84" s="182"/>
      <c r="AH84" s="442">
        <f>重み!N84</f>
        <v>0</v>
      </c>
      <c r="AI84" s="2563"/>
      <c r="AJ84" s="2563"/>
      <c r="AK84" s="2564"/>
    </row>
    <row r="85" spans="2:37" ht="14.25" customHeight="1">
      <c r="B85" s="2879"/>
      <c r="C85" s="2019"/>
      <c r="D85" s="993">
        <v>3</v>
      </c>
      <c r="E85" s="3125" t="s">
        <v>650</v>
      </c>
      <c r="F85" s="3116"/>
      <c r="G85" s="3116"/>
      <c r="H85" s="3137"/>
      <c r="I85" s="3126">
        <f>採点Q2!G236</f>
        <v>0</v>
      </c>
      <c r="J85" s="3127"/>
      <c r="K85" s="3127"/>
      <c r="L85" s="3127"/>
      <c r="M85" s="3127"/>
      <c r="N85" s="3127"/>
      <c r="O85" s="3127"/>
      <c r="P85" s="3128"/>
      <c r="Q85" s="2063">
        <f t="shared" si="13"/>
        <v>3</v>
      </c>
      <c r="R85" s="2906">
        <f t="shared" si="15"/>
        <v>0.1</v>
      </c>
      <c r="S85" s="2907">
        <f t="shared" si="14"/>
        <v>0</v>
      </c>
      <c r="T85" s="2841">
        <f t="shared" si="16"/>
        <v>0</v>
      </c>
      <c r="U85" s="2842"/>
      <c r="V85" s="2788"/>
      <c r="W85" s="456">
        <f>IF(採点Q2!F230="対象外",0,採点Q2!F230)</f>
        <v>3</v>
      </c>
      <c r="X85" s="1839"/>
      <c r="Z85" s="453">
        <f>IF($Z$3=4,#REF!,W85)</f>
        <v>3</v>
      </c>
      <c r="AA85" s="1658">
        <f>重み!D85</f>
        <v>0.1</v>
      </c>
      <c r="AB85" s="453">
        <f>IF($Z$3=4,#REF!,X85)</f>
        <v>0</v>
      </c>
      <c r="AC85" s="1658">
        <f>重み!E85</f>
        <v>0</v>
      </c>
      <c r="AD85" s="447"/>
      <c r="AE85" s="434"/>
      <c r="AF85" s="442">
        <f>重み!M85</f>
        <v>0.1</v>
      </c>
      <c r="AG85" s="182"/>
      <c r="AH85" s="442">
        <f>重み!N85</f>
        <v>0</v>
      </c>
      <c r="AI85" s="2563"/>
      <c r="AJ85" s="2563"/>
      <c r="AK85" s="2564"/>
    </row>
    <row r="86" spans="2:37" ht="14.25" customHeight="1">
      <c r="B86" s="2879"/>
      <c r="C86" s="2019"/>
      <c r="D86" s="993">
        <v>4</v>
      </c>
      <c r="E86" s="1655" t="s">
        <v>651</v>
      </c>
      <c r="F86" s="1655"/>
      <c r="G86" s="1655"/>
      <c r="H86" s="2868"/>
      <c r="I86" s="3126">
        <f>採点Q2!L236</f>
        <v>0</v>
      </c>
      <c r="J86" s="3127"/>
      <c r="K86" s="3127"/>
      <c r="L86" s="3127"/>
      <c r="M86" s="3127"/>
      <c r="N86" s="3127"/>
      <c r="O86" s="3127"/>
      <c r="P86" s="3128"/>
      <c r="Q86" s="2063">
        <f t="shared" si="13"/>
        <v>3</v>
      </c>
      <c r="R86" s="2906">
        <f t="shared" si="15"/>
        <v>0.1</v>
      </c>
      <c r="S86" s="2907">
        <f t="shared" si="14"/>
        <v>0</v>
      </c>
      <c r="T86" s="2841">
        <f t="shared" si="16"/>
        <v>0</v>
      </c>
      <c r="U86" s="2842"/>
      <c r="V86" s="2788"/>
      <c r="W86" s="456">
        <f>IF(採点Q2!K230="対象外",0,採点Q2!K230)</f>
        <v>3</v>
      </c>
      <c r="X86" s="1839"/>
      <c r="Z86" s="453">
        <f>IF($Z$3=4,#REF!,W86)</f>
        <v>3</v>
      </c>
      <c r="AA86" s="1658">
        <f>重み!D86</f>
        <v>0.1</v>
      </c>
      <c r="AB86" s="453">
        <f>IF($Z$3=4,#REF!,X86)</f>
        <v>0</v>
      </c>
      <c r="AC86" s="1658">
        <f>重み!E86</f>
        <v>0</v>
      </c>
      <c r="AD86" s="447"/>
      <c r="AE86" s="434"/>
      <c r="AF86" s="442">
        <f>重み!M86</f>
        <v>0.1</v>
      </c>
      <c r="AG86" s="182"/>
      <c r="AH86" s="442">
        <f>重み!N86</f>
        <v>0</v>
      </c>
      <c r="AI86" s="2563"/>
      <c r="AJ86" s="2563"/>
      <c r="AK86" s="2564"/>
    </row>
    <row r="87" spans="2:37" ht="14.25" customHeight="1">
      <c r="B87" s="2879"/>
      <c r="C87" s="2019"/>
      <c r="D87" s="993">
        <v>5</v>
      </c>
      <c r="E87" s="3125" t="s">
        <v>652</v>
      </c>
      <c r="F87" s="3116"/>
      <c r="G87" s="3116"/>
      <c r="H87" s="3137"/>
      <c r="I87" s="3126">
        <f>採点Q2!G247</f>
        <v>0</v>
      </c>
      <c r="J87" s="3127"/>
      <c r="K87" s="3127"/>
      <c r="L87" s="3127"/>
      <c r="M87" s="3127"/>
      <c r="N87" s="3127"/>
      <c r="O87" s="3127"/>
      <c r="P87" s="3128"/>
      <c r="Q87" s="2063">
        <f t="shared" si="13"/>
        <v>3</v>
      </c>
      <c r="R87" s="2906">
        <f t="shared" si="15"/>
        <v>0.2</v>
      </c>
      <c r="S87" s="2907">
        <f t="shared" si="14"/>
        <v>0</v>
      </c>
      <c r="T87" s="2841">
        <f t="shared" si="16"/>
        <v>0</v>
      </c>
      <c r="U87" s="2842"/>
      <c r="V87" s="2788"/>
      <c r="W87" s="456">
        <f>IF(採点Q2!F241="対象外",0,採点Q2!F241)</f>
        <v>3</v>
      </c>
      <c r="X87" s="1839"/>
      <c r="Z87" s="453">
        <f>IF($Z$3=4,#REF!,W87)</f>
        <v>3</v>
      </c>
      <c r="AA87" s="1658">
        <f>重み!D87</f>
        <v>0.2</v>
      </c>
      <c r="AB87" s="453">
        <f>IF($Z$3=4,#REF!,X87)</f>
        <v>0</v>
      </c>
      <c r="AC87" s="1658">
        <f>重み!E87</f>
        <v>0</v>
      </c>
      <c r="AD87" s="447"/>
      <c r="AE87" s="434"/>
      <c r="AF87" s="442">
        <f>重み!M87</f>
        <v>0.2</v>
      </c>
      <c r="AG87" s="182"/>
      <c r="AH87" s="442">
        <f>重み!N87</f>
        <v>0</v>
      </c>
      <c r="AI87" s="2563"/>
      <c r="AJ87" s="2563"/>
      <c r="AK87" s="2564"/>
    </row>
    <row r="88" spans="2:37" ht="14.25" customHeight="1" thickBot="1">
      <c r="B88" s="2879"/>
      <c r="C88" s="2067"/>
      <c r="D88" s="993">
        <v>6</v>
      </c>
      <c r="E88" s="1655" t="s">
        <v>653</v>
      </c>
      <c r="F88" s="1655"/>
      <c r="G88" s="1655"/>
      <c r="H88" s="2868"/>
      <c r="I88" s="3126">
        <f>採点Q2!L247</f>
        <v>0</v>
      </c>
      <c r="J88" s="3127"/>
      <c r="K88" s="3127"/>
      <c r="L88" s="3127"/>
      <c r="M88" s="3127"/>
      <c r="N88" s="3127"/>
      <c r="O88" s="3127"/>
      <c r="P88" s="3128"/>
      <c r="Q88" s="2143">
        <f t="shared" si="13"/>
        <v>3</v>
      </c>
      <c r="R88" s="2908">
        <f t="shared" si="15"/>
        <v>0.2</v>
      </c>
      <c r="S88" s="2909">
        <f t="shared" si="14"/>
        <v>0</v>
      </c>
      <c r="T88" s="2896">
        <f t="shared" si="16"/>
        <v>0</v>
      </c>
      <c r="U88" s="2897"/>
      <c r="V88" s="2788"/>
      <c r="W88" s="1666">
        <f>IF(採点Q2!K241="対象外",0,採点Q2!K241)</f>
        <v>3</v>
      </c>
      <c r="X88" s="1839"/>
      <c r="Z88" s="453">
        <f>IF($Z$3=4,#REF!,W88)</f>
        <v>3</v>
      </c>
      <c r="AA88" s="1658">
        <f>重み!D88</f>
        <v>0.2</v>
      </c>
      <c r="AB88" s="453">
        <f>IF($Z$3=4,#REF!,X88)</f>
        <v>0</v>
      </c>
      <c r="AC88" s="1658">
        <f>重み!E88</f>
        <v>0</v>
      </c>
      <c r="AD88" s="447"/>
      <c r="AE88" s="434"/>
      <c r="AF88" s="442">
        <f>重み!M88</f>
        <v>0.2</v>
      </c>
      <c r="AG88" s="182"/>
      <c r="AH88" s="442">
        <f>重み!N88</f>
        <v>0</v>
      </c>
      <c r="AI88" s="2563"/>
      <c r="AJ88" s="2563"/>
      <c r="AK88" s="2564"/>
    </row>
    <row r="89" spans="2:37" ht="14.25" hidden="1" customHeight="1" thickBot="1">
      <c r="B89" s="2879"/>
      <c r="C89" s="2224">
        <v>2.2999999999999998</v>
      </c>
      <c r="D89" s="2223" t="s">
        <v>654</v>
      </c>
      <c r="E89" s="2222"/>
      <c r="F89" s="2222"/>
      <c r="G89" s="2222"/>
      <c r="H89" s="2910"/>
      <c r="I89" s="2875"/>
      <c r="J89" s="2876"/>
      <c r="K89" s="2876"/>
      <c r="L89" s="2876"/>
      <c r="M89" s="2876"/>
      <c r="N89" s="2876"/>
      <c r="O89" s="2876"/>
      <c r="P89" s="2877"/>
      <c r="Q89" s="2885">
        <f t="shared" si="13"/>
        <v>0</v>
      </c>
      <c r="R89" s="2865">
        <f>AA89</f>
        <v>0</v>
      </c>
      <c r="S89" s="2911">
        <f t="shared" si="14"/>
        <v>0</v>
      </c>
      <c r="T89" s="2867">
        <f t="shared" si="16"/>
        <v>0</v>
      </c>
      <c r="U89" s="2846"/>
      <c r="V89" s="2788"/>
      <c r="W89" s="458"/>
      <c r="X89" s="1839"/>
      <c r="Z89" s="450">
        <f>SUMPRODUCT(Z90:Z92,AA90:AA92)</f>
        <v>0</v>
      </c>
      <c r="AA89" s="1658">
        <f>重み!D89</f>
        <v>0</v>
      </c>
      <c r="AB89" s="450">
        <f>SUMPRODUCT(AB90:AB92,AC90:AC92)</f>
        <v>0</v>
      </c>
      <c r="AC89" s="1658">
        <f>重み!E89</f>
        <v>0</v>
      </c>
      <c r="AD89" s="447"/>
      <c r="AE89" s="434"/>
      <c r="AF89" s="442">
        <f>重み!M89</f>
        <v>0</v>
      </c>
      <c r="AG89" s="182"/>
      <c r="AH89" s="442">
        <f>重み!N89</f>
        <v>0</v>
      </c>
      <c r="AI89" s="2563"/>
      <c r="AJ89" s="2563"/>
      <c r="AK89" s="2564"/>
    </row>
    <row r="90" spans="2:37" ht="14.25" hidden="1" customHeight="1">
      <c r="B90" s="2879"/>
      <c r="C90" s="2221"/>
      <c r="D90" s="2218">
        <v>1</v>
      </c>
      <c r="E90" s="2217" t="s">
        <v>63</v>
      </c>
      <c r="F90" s="2217"/>
      <c r="G90" s="2217"/>
      <c r="H90" s="2872"/>
      <c r="I90" s="3126"/>
      <c r="J90" s="3127"/>
      <c r="K90" s="3127"/>
      <c r="L90" s="3127"/>
      <c r="M90" s="3127"/>
      <c r="N90" s="3127"/>
      <c r="O90" s="3127"/>
      <c r="P90" s="3128"/>
      <c r="Q90" s="2149">
        <f t="shared" si="13"/>
        <v>3</v>
      </c>
      <c r="R90" s="2906">
        <f t="shared" si="15"/>
        <v>0</v>
      </c>
      <c r="S90" s="2907">
        <f t="shared" si="14"/>
        <v>0</v>
      </c>
      <c r="T90" s="2841">
        <f t="shared" si="16"/>
        <v>0</v>
      </c>
      <c r="U90" s="2842"/>
      <c r="V90" s="2788"/>
      <c r="W90" s="1665">
        <f>採点Q2!F253</f>
        <v>3</v>
      </c>
      <c r="X90" s="1839"/>
      <c r="Z90" s="453">
        <f>IF($Z$3=4,#REF!,W90)</f>
        <v>3</v>
      </c>
      <c r="AA90" s="1658">
        <f>重み!D90</f>
        <v>0</v>
      </c>
      <c r="AB90" s="453">
        <f>IF($Z$3=4,#REF!,X90)</f>
        <v>0</v>
      </c>
      <c r="AC90" s="1658">
        <f>重み!E90</f>
        <v>0</v>
      </c>
      <c r="AD90" s="447"/>
      <c r="AE90" s="434"/>
      <c r="AF90" s="442">
        <f>重み!M90</f>
        <v>0</v>
      </c>
      <c r="AG90" s="182"/>
      <c r="AH90" s="442">
        <f>重み!N90</f>
        <v>0</v>
      </c>
      <c r="AI90" s="2563"/>
      <c r="AJ90" s="2563"/>
      <c r="AK90" s="2564"/>
    </row>
    <row r="91" spans="2:37" ht="14.25" hidden="1" customHeight="1">
      <c r="B91" s="2879"/>
      <c r="C91" s="2221"/>
      <c r="D91" s="2218">
        <v>2</v>
      </c>
      <c r="E91" s="2217" t="s">
        <v>64</v>
      </c>
      <c r="F91" s="2217"/>
      <c r="G91" s="2217"/>
      <c r="H91" s="2872"/>
      <c r="I91" s="3126"/>
      <c r="J91" s="3127"/>
      <c r="K91" s="3127"/>
      <c r="L91" s="3127"/>
      <c r="M91" s="3127"/>
      <c r="N91" s="3127"/>
      <c r="O91" s="3127"/>
      <c r="P91" s="3128"/>
      <c r="Q91" s="2063">
        <f t="shared" si="13"/>
        <v>3</v>
      </c>
      <c r="R91" s="2906">
        <f t="shared" si="15"/>
        <v>0</v>
      </c>
      <c r="S91" s="2907">
        <f t="shared" si="14"/>
        <v>0</v>
      </c>
      <c r="T91" s="2841">
        <f t="shared" si="16"/>
        <v>0</v>
      </c>
      <c r="U91" s="2842"/>
      <c r="V91" s="2788"/>
      <c r="W91" s="456">
        <f>採点Q2!K253</f>
        <v>3</v>
      </c>
      <c r="X91" s="1839"/>
      <c r="Z91" s="453">
        <f>IF($Z$3=4,#REF!,W91)</f>
        <v>3</v>
      </c>
      <c r="AA91" s="1658">
        <f>重み!D91</f>
        <v>0</v>
      </c>
      <c r="AB91" s="453">
        <f>IF($Z$3=4,#REF!,X91)</f>
        <v>0</v>
      </c>
      <c r="AC91" s="1658">
        <f>重み!E91</f>
        <v>0</v>
      </c>
      <c r="AD91" s="447"/>
      <c r="AE91" s="434"/>
      <c r="AF91" s="442">
        <f>重み!M91</f>
        <v>0</v>
      </c>
      <c r="AG91" s="182"/>
      <c r="AH91" s="442">
        <f>重み!N91</f>
        <v>0</v>
      </c>
      <c r="AI91" s="2563"/>
      <c r="AJ91" s="2563"/>
      <c r="AK91" s="2564"/>
    </row>
    <row r="92" spans="2:37" ht="14.25" hidden="1" customHeight="1" thickBot="1">
      <c r="B92" s="2879"/>
      <c r="C92" s="2219"/>
      <c r="D92" s="2218">
        <v>3</v>
      </c>
      <c r="E92" s="2217" t="s">
        <v>65</v>
      </c>
      <c r="F92" s="2217"/>
      <c r="G92" s="2217"/>
      <c r="H92" s="2872"/>
      <c r="I92" s="3126"/>
      <c r="J92" s="3127"/>
      <c r="K92" s="3127"/>
      <c r="L92" s="3127"/>
      <c r="M92" s="3127"/>
      <c r="N92" s="3127"/>
      <c r="O92" s="3127"/>
      <c r="P92" s="3128"/>
      <c r="Q92" s="2143">
        <f t="shared" si="13"/>
        <v>3</v>
      </c>
      <c r="R92" s="2906">
        <f t="shared" si="15"/>
        <v>0</v>
      </c>
      <c r="S92" s="2907">
        <f t="shared" si="14"/>
        <v>0</v>
      </c>
      <c r="T92" s="2841">
        <f t="shared" si="16"/>
        <v>0</v>
      </c>
      <c r="U92" s="2842"/>
      <c r="V92" s="2788"/>
      <c r="W92" s="1666">
        <f>採点Q2!F263</f>
        <v>3</v>
      </c>
      <c r="X92" s="1839"/>
      <c r="Z92" s="453">
        <f>IF($Z$3=4,#REF!,W92)</f>
        <v>3</v>
      </c>
      <c r="AA92" s="1658">
        <f>重み!D92</f>
        <v>0</v>
      </c>
      <c r="AB92" s="453">
        <f>IF($Z$3=4,#REF!,X92)</f>
        <v>0</v>
      </c>
      <c r="AC92" s="1658">
        <f>重み!E92</f>
        <v>0</v>
      </c>
      <c r="AD92" s="447"/>
      <c r="AE92" s="434"/>
      <c r="AF92" s="442">
        <f>重み!M92</f>
        <v>0</v>
      </c>
      <c r="AG92" s="182"/>
      <c r="AH92" s="442">
        <f>重み!N92</f>
        <v>0</v>
      </c>
      <c r="AI92" s="2563"/>
      <c r="AJ92" s="2563"/>
      <c r="AK92" s="2564"/>
    </row>
    <row r="93" spans="2:37" ht="14.25" customHeight="1" thickBot="1">
      <c r="B93" s="2843"/>
      <c r="C93" s="2035">
        <v>2.4</v>
      </c>
      <c r="D93" s="2129" t="s">
        <v>66</v>
      </c>
      <c r="E93" s="2106"/>
      <c r="F93" s="2106"/>
      <c r="G93" s="2106"/>
      <c r="H93" s="2855"/>
      <c r="I93" s="2836"/>
      <c r="J93" s="2837"/>
      <c r="K93" s="2837"/>
      <c r="L93" s="2837"/>
      <c r="M93" s="2837"/>
      <c r="N93" s="2837"/>
      <c r="O93" s="2837"/>
      <c r="P93" s="2838"/>
      <c r="Q93" s="2885">
        <f t="shared" si="13"/>
        <v>3</v>
      </c>
      <c r="R93" s="2840">
        <f>AA93</f>
        <v>0.2</v>
      </c>
      <c r="S93" s="2905">
        <f t="shared" si="14"/>
        <v>0</v>
      </c>
      <c r="T93" s="2841">
        <f t="shared" si="16"/>
        <v>0</v>
      </c>
      <c r="U93" s="2842"/>
      <c r="V93" s="2788"/>
      <c r="W93" s="1839"/>
      <c r="X93" s="1839"/>
      <c r="Z93" s="450">
        <f>SUMPRODUCT(Z94:Z98,AA94:AA98)</f>
        <v>3.0000000000000004</v>
      </c>
      <c r="AA93" s="1658">
        <f>重み!D93</f>
        <v>0.2</v>
      </c>
      <c r="AB93" s="450">
        <f>SUMPRODUCT(AB94:AB98,AC94:AC98)</f>
        <v>0</v>
      </c>
      <c r="AC93" s="1658">
        <f>重み!E93</f>
        <v>0</v>
      </c>
      <c r="AD93" s="447"/>
      <c r="AE93" s="434"/>
      <c r="AF93" s="442">
        <f>重み!M93</f>
        <v>0.2</v>
      </c>
      <c r="AG93" s="182"/>
      <c r="AH93" s="442">
        <f>重み!N93</f>
        <v>0</v>
      </c>
      <c r="AI93" s="2563"/>
      <c r="AJ93" s="2563"/>
      <c r="AK93" s="2564"/>
    </row>
    <row r="94" spans="2:37" ht="14.25" customHeight="1">
      <c r="B94" s="2843"/>
      <c r="C94" s="2019"/>
      <c r="D94" s="993">
        <v>1</v>
      </c>
      <c r="E94" s="1655" t="s">
        <v>67</v>
      </c>
      <c r="F94" s="1655"/>
      <c r="G94" s="1655"/>
      <c r="H94" s="2868"/>
      <c r="I94" s="3126">
        <f>採点Q2!G280</f>
        <v>0</v>
      </c>
      <c r="J94" s="3127"/>
      <c r="K94" s="3127"/>
      <c r="L94" s="3127"/>
      <c r="M94" s="3127"/>
      <c r="N94" s="3127"/>
      <c r="O94" s="3127"/>
      <c r="P94" s="3128"/>
      <c r="Q94" s="2149">
        <f t="shared" si="13"/>
        <v>3</v>
      </c>
      <c r="R94" s="2906">
        <f t="shared" si="15"/>
        <v>0.2</v>
      </c>
      <c r="S94" s="2907">
        <f t="shared" si="14"/>
        <v>0</v>
      </c>
      <c r="T94" s="2841">
        <f t="shared" si="16"/>
        <v>0</v>
      </c>
      <c r="U94" s="2842"/>
      <c r="V94" s="2788"/>
      <c r="W94" s="1665">
        <f>IF(採点Q2!F274="対象外",0,採点Q2!F274)</f>
        <v>3</v>
      </c>
      <c r="X94" s="1839"/>
      <c r="Z94" s="453">
        <f>IF($Z$3=4,#REF!,W94)</f>
        <v>3</v>
      </c>
      <c r="AA94" s="1658">
        <f>重み!D94</f>
        <v>0.2</v>
      </c>
      <c r="AB94" s="453">
        <f>IF($Z$3=4,#REF!,X94)</f>
        <v>0</v>
      </c>
      <c r="AC94" s="1658">
        <f>重み!E94</f>
        <v>0</v>
      </c>
      <c r="AD94" s="447"/>
      <c r="AE94" s="434"/>
      <c r="AF94" s="442">
        <f>重み!M94</f>
        <v>0.2</v>
      </c>
      <c r="AG94" s="182"/>
      <c r="AH94" s="442">
        <f>重み!N94</f>
        <v>0</v>
      </c>
      <c r="AI94" s="2563"/>
      <c r="AJ94" s="2563"/>
      <c r="AK94" s="2564"/>
    </row>
    <row r="95" spans="2:37" ht="14.25" customHeight="1">
      <c r="B95" s="2843"/>
      <c r="C95" s="2019"/>
      <c r="D95" s="993">
        <v>2</v>
      </c>
      <c r="E95" s="1655" t="s">
        <v>68</v>
      </c>
      <c r="F95" s="1655"/>
      <c r="G95" s="1655"/>
      <c r="H95" s="2868"/>
      <c r="I95" s="3126">
        <f>採点Q2!G298</f>
        <v>0</v>
      </c>
      <c r="J95" s="3127"/>
      <c r="K95" s="3127"/>
      <c r="L95" s="3127"/>
      <c r="M95" s="3127"/>
      <c r="N95" s="3127"/>
      <c r="O95" s="3127"/>
      <c r="P95" s="3128"/>
      <c r="Q95" s="2063">
        <f t="shared" si="13"/>
        <v>3</v>
      </c>
      <c r="R95" s="2906">
        <f t="shared" si="15"/>
        <v>0.2</v>
      </c>
      <c r="S95" s="2907">
        <f t="shared" si="14"/>
        <v>0</v>
      </c>
      <c r="T95" s="2841">
        <f t="shared" si="16"/>
        <v>0</v>
      </c>
      <c r="U95" s="2842"/>
      <c r="V95" s="2788"/>
      <c r="W95" s="456">
        <f>IF(採点Q2!F292="対象外",0,採点Q2!F292)</f>
        <v>3</v>
      </c>
      <c r="X95" s="1839"/>
      <c r="Z95" s="453">
        <f>IF($Z$3=4,#REF!,W95)</f>
        <v>3</v>
      </c>
      <c r="AA95" s="1658">
        <f>重み!D95</f>
        <v>0.2</v>
      </c>
      <c r="AB95" s="453">
        <f>IF($Z$3=4,#REF!,X95)</f>
        <v>0</v>
      </c>
      <c r="AC95" s="1658">
        <f>重み!E95</f>
        <v>0</v>
      </c>
      <c r="AD95" s="447"/>
      <c r="AE95" s="434"/>
      <c r="AF95" s="442">
        <f>重み!M95</f>
        <v>0.2</v>
      </c>
      <c r="AG95" s="182"/>
      <c r="AH95" s="442">
        <f>重み!N95</f>
        <v>0</v>
      </c>
      <c r="AI95" s="2563"/>
      <c r="AJ95" s="2563"/>
      <c r="AK95" s="2564"/>
    </row>
    <row r="96" spans="2:37" ht="14.25" customHeight="1">
      <c r="B96" s="2843"/>
      <c r="C96" s="2019"/>
      <c r="D96" s="993">
        <v>3</v>
      </c>
      <c r="E96" s="1655" t="s">
        <v>69</v>
      </c>
      <c r="F96" s="1655"/>
      <c r="G96" s="1655"/>
      <c r="H96" s="2868"/>
      <c r="I96" s="3126">
        <f>採点Q2!G318</f>
        <v>0</v>
      </c>
      <c r="J96" s="3127"/>
      <c r="K96" s="3127"/>
      <c r="L96" s="3127"/>
      <c r="M96" s="3127"/>
      <c r="N96" s="3127"/>
      <c r="O96" s="3127"/>
      <c r="P96" s="3128"/>
      <c r="Q96" s="2063">
        <f t="shared" si="13"/>
        <v>3</v>
      </c>
      <c r="R96" s="2906">
        <f t="shared" si="15"/>
        <v>0.2</v>
      </c>
      <c r="S96" s="2907">
        <f t="shared" si="14"/>
        <v>0</v>
      </c>
      <c r="T96" s="2841">
        <f t="shared" si="16"/>
        <v>0</v>
      </c>
      <c r="U96" s="2842"/>
      <c r="V96" s="2788"/>
      <c r="W96" s="456">
        <f>IF(採点Q2!F312="対象外",0,採点Q2!F312)</f>
        <v>3</v>
      </c>
      <c r="X96" s="459"/>
      <c r="Z96" s="453">
        <f>IF($Z$3=4,#REF!,W96)</f>
        <v>3</v>
      </c>
      <c r="AA96" s="1658">
        <f>重み!D96</f>
        <v>0.2</v>
      </c>
      <c r="AB96" s="453">
        <f>IF($Z$3=4,#REF!,X96)</f>
        <v>0</v>
      </c>
      <c r="AC96" s="1658">
        <f>重み!E96</f>
        <v>0</v>
      </c>
      <c r="AD96" s="447"/>
      <c r="AE96" s="434"/>
      <c r="AF96" s="442">
        <f>重み!M96</f>
        <v>0.2</v>
      </c>
      <c r="AG96" s="182"/>
      <c r="AH96" s="442">
        <f>重み!N96</f>
        <v>0</v>
      </c>
      <c r="AI96" s="2563"/>
      <c r="AJ96" s="2563"/>
      <c r="AK96" s="2564"/>
    </row>
    <row r="97" spans="2:37" ht="14.25" customHeight="1">
      <c r="B97" s="2843"/>
      <c r="C97" s="2019"/>
      <c r="D97" s="993">
        <v>4</v>
      </c>
      <c r="E97" s="1655" t="s">
        <v>1031</v>
      </c>
      <c r="F97" s="1655"/>
      <c r="G97" s="1655"/>
      <c r="H97" s="2868"/>
      <c r="I97" s="3126">
        <f>採点Q2!G337</f>
        <v>0</v>
      </c>
      <c r="J97" s="3127"/>
      <c r="K97" s="3127"/>
      <c r="L97" s="3127"/>
      <c r="M97" s="3127"/>
      <c r="N97" s="3127"/>
      <c r="O97" s="3127"/>
      <c r="P97" s="3128"/>
      <c r="Q97" s="2063">
        <f t="shared" si="13"/>
        <v>3</v>
      </c>
      <c r="R97" s="2906">
        <f t="shared" si="15"/>
        <v>0.2</v>
      </c>
      <c r="S97" s="2907">
        <f t="shared" si="14"/>
        <v>0</v>
      </c>
      <c r="T97" s="2841">
        <f t="shared" si="16"/>
        <v>0</v>
      </c>
      <c r="U97" s="2842"/>
      <c r="V97" s="2788"/>
      <c r="W97" s="456">
        <f>IF(採点Q2!F331="対象外",0,採点Q2!F331)</f>
        <v>3</v>
      </c>
      <c r="X97" s="459"/>
      <c r="Z97" s="453">
        <f>IF($Z$3=4,#REF!,W97)</f>
        <v>3</v>
      </c>
      <c r="AA97" s="1658">
        <f>重み!D97</f>
        <v>0.2</v>
      </c>
      <c r="AB97" s="453">
        <f>IF($Z$3=4,#REF!,X97)</f>
        <v>0</v>
      </c>
      <c r="AC97" s="1658">
        <f>重み!E97</f>
        <v>0</v>
      </c>
      <c r="AD97" s="447"/>
      <c r="AE97" s="434"/>
      <c r="AF97" s="442">
        <f>重み!M97</f>
        <v>0.2</v>
      </c>
      <c r="AG97" s="182"/>
      <c r="AH97" s="442">
        <f>重み!N97</f>
        <v>0</v>
      </c>
      <c r="AI97" s="2563"/>
      <c r="AJ97" s="2563"/>
      <c r="AK97" s="2564"/>
    </row>
    <row r="98" spans="2:37" thickBot="1">
      <c r="B98" s="2912"/>
      <c r="C98" s="2067"/>
      <c r="D98" s="993">
        <v>5</v>
      </c>
      <c r="E98" s="1655" t="s">
        <v>1032</v>
      </c>
      <c r="F98" s="1655"/>
      <c r="G98" s="1655"/>
      <c r="H98" s="2868"/>
      <c r="I98" s="3138">
        <f>採点Q2!G347</f>
        <v>0</v>
      </c>
      <c r="J98" s="3139"/>
      <c r="K98" s="3139"/>
      <c r="L98" s="3139"/>
      <c r="M98" s="3139"/>
      <c r="N98" s="3139"/>
      <c r="O98" s="3139"/>
      <c r="P98" s="3140"/>
      <c r="Q98" s="2143">
        <f t="shared" si="13"/>
        <v>3</v>
      </c>
      <c r="R98" s="2913">
        <f t="shared" si="15"/>
        <v>0.2</v>
      </c>
      <c r="S98" s="2909">
        <f t="shared" si="14"/>
        <v>0</v>
      </c>
      <c r="T98" s="2896">
        <f t="shared" si="16"/>
        <v>0</v>
      </c>
      <c r="U98" s="2897"/>
      <c r="V98" s="2788"/>
      <c r="W98" s="1666">
        <f>IF(採点Q2!F341="対象外",0,採点Q2!F341)</f>
        <v>3</v>
      </c>
      <c r="X98" s="459"/>
      <c r="Z98" s="453">
        <f>IF($Z$3=4,#REF!,W98)</f>
        <v>3</v>
      </c>
      <c r="AA98" s="1658">
        <f>重み!D98</f>
        <v>0.2</v>
      </c>
      <c r="AB98" s="453">
        <f>IF($Z$3=4,#REF!,X98)</f>
        <v>0</v>
      </c>
      <c r="AC98" s="1658">
        <f>重み!E98</f>
        <v>0</v>
      </c>
      <c r="AD98" s="447"/>
      <c r="AE98" s="434"/>
      <c r="AF98" s="442">
        <f>重み!M98</f>
        <v>0.2</v>
      </c>
      <c r="AG98" s="182"/>
      <c r="AH98" s="442">
        <f>重み!N98</f>
        <v>0</v>
      </c>
      <c r="AI98" s="2563"/>
      <c r="AJ98" s="2563"/>
      <c r="AK98" s="2564"/>
    </row>
    <row r="99" spans="2:37" ht="13.5" hidden="1">
      <c r="B99" s="2843"/>
      <c r="C99" s="2213"/>
      <c r="D99" s="2212"/>
      <c r="E99" s="2211"/>
      <c r="F99" s="2211"/>
      <c r="G99" s="2211"/>
      <c r="H99" s="2835"/>
      <c r="I99" s="3134"/>
      <c r="J99" s="3135"/>
      <c r="K99" s="3135"/>
      <c r="L99" s="3135"/>
      <c r="M99" s="3135"/>
      <c r="N99" s="3135"/>
      <c r="O99" s="3135"/>
      <c r="P99" s="3136"/>
      <c r="Q99" s="2914">
        <f t="shared" si="13"/>
        <v>0</v>
      </c>
      <c r="R99" s="2840">
        <f t="shared" si="15"/>
        <v>0</v>
      </c>
      <c r="S99" s="2914">
        <f t="shared" si="14"/>
        <v>0</v>
      </c>
      <c r="T99" s="2841">
        <f t="shared" si="16"/>
        <v>0</v>
      </c>
      <c r="U99" s="2842"/>
      <c r="V99" s="2788"/>
      <c r="W99" s="458"/>
      <c r="X99" s="1839"/>
      <c r="Z99" s="454"/>
      <c r="AA99" s="1658">
        <f>重み!D99</f>
        <v>0</v>
      </c>
      <c r="AB99" s="454"/>
      <c r="AC99" s="1658">
        <f>重み!E99</f>
        <v>0</v>
      </c>
      <c r="AD99" s="447"/>
      <c r="AE99" s="434"/>
      <c r="AF99" s="442">
        <f>重み!M99</f>
        <v>0</v>
      </c>
      <c r="AG99" s="182"/>
      <c r="AH99" s="442">
        <f>重み!N99</f>
        <v>0</v>
      </c>
      <c r="AI99" s="2563"/>
      <c r="AJ99" s="2563"/>
      <c r="AK99" s="2564"/>
    </row>
    <row r="100" spans="2:37" ht="13.5">
      <c r="B100" s="2854">
        <v>3</v>
      </c>
      <c r="C100" s="2116" t="s">
        <v>1033</v>
      </c>
      <c r="D100" s="2116"/>
      <c r="E100" s="2116"/>
      <c r="F100" s="2116"/>
      <c r="G100" s="2116"/>
      <c r="H100" s="2855"/>
      <c r="I100" s="2875"/>
      <c r="J100" s="2876"/>
      <c r="K100" s="2876"/>
      <c r="L100" s="2876"/>
      <c r="M100" s="2876"/>
      <c r="N100" s="2876"/>
      <c r="O100" s="2876"/>
      <c r="P100" s="2877"/>
      <c r="Q100" s="2915">
        <f t="shared" si="13"/>
        <v>3</v>
      </c>
      <c r="R100" s="2860">
        <f t="shared" si="15"/>
        <v>0.3</v>
      </c>
      <c r="S100" s="2915">
        <f t="shared" si="14"/>
        <v>0</v>
      </c>
      <c r="T100" s="2862">
        <f t="shared" si="16"/>
        <v>0</v>
      </c>
      <c r="U100" s="2863">
        <f>ROUNDDOWN(AD100,1)</f>
        <v>3</v>
      </c>
      <c r="V100" s="2788"/>
      <c r="W100" s="460"/>
      <c r="X100" s="1837"/>
      <c r="Z100" s="1833">
        <f>Z101*AA101+Z104*AA104+Z105*AA105</f>
        <v>3</v>
      </c>
      <c r="AA100" s="1658">
        <f>重み!D100</f>
        <v>0.3</v>
      </c>
      <c r="AB100" s="1833">
        <f>AB101*AC101+AB104*AC104+AB105*AC105</f>
        <v>0</v>
      </c>
      <c r="AC100" s="451">
        <f>SUM(AC101,AC104,AC105)</f>
        <v>0</v>
      </c>
      <c r="AD100" s="447">
        <f>IF(AB100=0,Z100,IF(Z100=0,AB100,Z100*AF$6+AB100*AH$6))</f>
        <v>3</v>
      </c>
      <c r="AE100" s="434"/>
      <c r="AF100" s="442">
        <f>重み!M100</f>
        <v>0.3</v>
      </c>
      <c r="AG100" s="182"/>
      <c r="AH100" s="451">
        <f>SUM(AH101,AH104,AH105)</f>
        <v>0</v>
      </c>
      <c r="AI100" s="2563"/>
      <c r="AJ100" s="2563"/>
      <c r="AK100" s="2564"/>
    </row>
    <row r="101" spans="2:37" ht="14.25" customHeight="1" thickBot="1">
      <c r="B101" s="2879"/>
      <c r="C101" s="2035">
        <v>3.1</v>
      </c>
      <c r="D101" s="2129" t="s">
        <v>1034</v>
      </c>
      <c r="E101" s="2107"/>
      <c r="F101" s="2107"/>
      <c r="G101" s="2107"/>
      <c r="H101" s="2855"/>
      <c r="I101" s="2875"/>
      <c r="J101" s="2876"/>
      <c r="K101" s="2876"/>
      <c r="L101" s="2876"/>
      <c r="M101" s="2876"/>
      <c r="N101" s="2876"/>
      <c r="O101" s="2876"/>
      <c r="P101" s="2877"/>
      <c r="Q101" s="2885">
        <f t="shared" si="13"/>
        <v>3</v>
      </c>
      <c r="R101" s="2840">
        <f t="shared" si="15"/>
        <v>0.3</v>
      </c>
      <c r="S101" s="2898">
        <f t="shared" si="14"/>
        <v>0</v>
      </c>
      <c r="T101" s="2841">
        <f t="shared" si="16"/>
        <v>0</v>
      </c>
      <c r="U101" s="2842"/>
      <c r="V101" s="2788"/>
      <c r="W101" s="457"/>
      <c r="X101" s="1837"/>
      <c r="Z101" s="450">
        <f>SUMPRODUCT(Z102:Z103,AA102:AA103)</f>
        <v>3</v>
      </c>
      <c r="AA101" s="1658">
        <f>重み!D101</f>
        <v>0.3</v>
      </c>
      <c r="AB101" s="450">
        <f>SUMPRODUCT(AB102:AB103,AC102:AC103)</f>
        <v>0</v>
      </c>
      <c r="AC101" s="1658">
        <f>重み!E101</f>
        <v>0</v>
      </c>
      <c r="AD101" s="447"/>
      <c r="AE101" s="434"/>
      <c r="AF101" s="442">
        <f>重み!M101</f>
        <v>0.3</v>
      </c>
      <c r="AG101" s="182"/>
      <c r="AH101" s="442">
        <f>重み!N101</f>
        <v>0</v>
      </c>
      <c r="AI101" s="2563"/>
      <c r="AJ101" s="2563"/>
      <c r="AK101" s="2564"/>
    </row>
    <row r="102" spans="2:37" ht="14.25" customHeight="1">
      <c r="B102" s="2879"/>
      <c r="C102" s="2019"/>
      <c r="D102" s="993">
        <v>1</v>
      </c>
      <c r="E102" s="1655" t="s">
        <v>1035</v>
      </c>
      <c r="F102" s="1655"/>
      <c r="G102" s="1655"/>
      <c r="H102" s="2868"/>
      <c r="I102" s="3126">
        <f>採点Q2!G368</f>
        <v>0</v>
      </c>
      <c r="J102" s="3127"/>
      <c r="K102" s="3127"/>
      <c r="L102" s="3127"/>
      <c r="M102" s="3127"/>
      <c r="N102" s="3127"/>
      <c r="O102" s="3127"/>
      <c r="P102" s="3128"/>
      <c r="Q102" s="2149">
        <f t="shared" si="13"/>
        <v>3</v>
      </c>
      <c r="R102" s="2849">
        <f t="shared" si="15"/>
        <v>0.6</v>
      </c>
      <c r="S102" s="2149">
        <f t="shared" si="14"/>
        <v>3</v>
      </c>
      <c r="T102" s="2849">
        <f t="shared" si="16"/>
        <v>0</v>
      </c>
      <c r="U102" s="2842"/>
      <c r="V102" s="2788"/>
      <c r="W102" s="459">
        <f>IF(採点Q2!F362="対象外",0,採点Q2!F362)</f>
        <v>3</v>
      </c>
      <c r="X102" s="1660">
        <f>採点Q2!K362</f>
        <v>3</v>
      </c>
      <c r="Z102" s="453">
        <f>IF($Z$3=4,#REF!,W102)</f>
        <v>3</v>
      </c>
      <c r="AA102" s="1658">
        <f>重み!D102</f>
        <v>0.6</v>
      </c>
      <c r="AB102" s="453">
        <f>IF($Z$3=4,#REF!,X102)</f>
        <v>3</v>
      </c>
      <c r="AC102" s="1658">
        <f>重み!E102</f>
        <v>0</v>
      </c>
      <c r="AD102" s="447"/>
      <c r="AE102" s="434"/>
      <c r="AF102" s="442">
        <f>重み!M102</f>
        <v>0.6</v>
      </c>
      <c r="AG102" s="182"/>
      <c r="AH102" s="442">
        <f>重み!N102</f>
        <v>0</v>
      </c>
      <c r="AI102" s="2563"/>
      <c r="AJ102" s="2563"/>
      <c r="AK102" s="2564"/>
    </row>
    <row r="103" spans="2:37" ht="14.25" customHeight="1">
      <c r="B103" s="2879"/>
      <c r="C103" s="2019"/>
      <c r="D103" s="2018">
        <v>2</v>
      </c>
      <c r="E103" s="2107" t="s">
        <v>1036</v>
      </c>
      <c r="F103" s="2107"/>
      <c r="G103" s="2107"/>
      <c r="H103" s="2855"/>
      <c r="I103" s="3126">
        <f>採点Q2!G379</f>
        <v>0</v>
      </c>
      <c r="J103" s="3127"/>
      <c r="K103" s="3127"/>
      <c r="L103" s="3127"/>
      <c r="M103" s="3127"/>
      <c r="N103" s="3127"/>
      <c r="O103" s="3127"/>
      <c r="P103" s="3128"/>
      <c r="Q103" s="2063">
        <f t="shared" si="13"/>
        <v>3</v>
      </c>
      <c r="R103" s="2849">
        <f t="shared" si="15"/>
        <v>0.4</v>
      </c>
      <c r="S103" s="2063">
        <f t="shared" si="14"/>
        <v>3</v>
      </c>
      <c r="T103" s="2849">
        <f t="shared" si="16"/>
        <v>0</v>
      </c>
      <c r="U103" s="2842"/>
      <c r="V103" s="2788"/>
      <c r="W103" s="459">
        <f>IF(採点Q2!F373="対象外",0,採点Q2!F373)</f>
        <v>3</v>
      </c>
      <c r="X103" s="1664">
        <f>採点Q2!K373</f>
        <v>3</v>
      </c>
      <c r="Z103" s="453">
        <f>IF($Z$3=4,#REF!,W103)</f>
        <v>3</v>
      </c>
      <c r="AA103" s="1658">
        <f>重み!D103</f>
        <v>0.4</v>
      </c>
      <c r="AB103" s="453">
        <f>IF($Z$3=4,#REF!,X103)</f>
        <v>3</v>
      </c>
      <c r="AC103" s="1658">
        <f>重み!E103</f>
        <v>0</v>
      </c>
      <c r="AD103" s="447"/>
      <c r="AE103" s="434"/>
      <c r="AF103" s="442">
        <f>重み!M103</f>
        <v>0.4</v>
      </c>
      <c r="AG103" s="182"/>
      <c r="AH103" s="442">
        <f>重み!N103</f>
        <v>0</v>
      </c>
      <c r="AI103" s="2563"/>
      <c r="AJ103" s="2563"/>
      <c r="AK103" s="2564"/>
    </row>
    <row r="104" spans="2:37" ht="14.25" customHeight="1" thickBot="1">
      <c r="B104" s="2879"/>
      <c r="C104" s="2069">
        <v>3.2</v>
      </c>
      <c r="D104" s="2034" t="s">
        <v>1037</v>
      </c>
      <c r="E104" s="1655"/>
      <c r="F104" s="1655"/>
      <c r="G104" s="1655"/>
      <c r="H104" s="2868"/>
      <c r="I104" s="3126">
        <f>採点Q2!G391</f>
        <v>0</v>
      </c>
      <c r="J104" s="3127"/>
      <c r="K104" s="3127"/>
      <c r="L104" s="3127"/>
      <c r="M104" s="3127"/>
      <c r="N104" s="3127"/>
      <c r="O104" s="3127"/>
      <c r="P104" s="3128"/>
      <c r="Q104" s="2157">
        <f t="shared" si="13"/>
        <v>3</v>
      </c>
      <c r="R104" s="2849">
        <f t="shared" si="15"/>
        <v>0.3</v>
      </c>
      <c r="S104" s="2157">
        <f t="shared" si="14"/>
        <v>3</v>
      </c>
      <c r="T104" s="2849">
        <f t="shared" si="16"/>
        <v>0</v>
      </c>
      <c r="U104" s="2842"/>
      <c r="V104" s="2788"/>
      <c r="W104" s="459">
        <f>IF(採点Q2!F385="対象外",0,採点Q2!F385)</f>
        <v>3</v>
      </c>
      <c r="X104" s="1662">
        <f>採点Q2!M385</f>
        <v>3</v>
      </c>
      <c r="Z104" s="1832">
        <f>IF($Z$3=4,#REF!,W104)</f>
        <v>3</v>
      </c>
      <c r="AA104" s="1658">
        <f>重み!D104</f>
        <v>0.3</v>
      </c>
      <c r="AB104" s="1832">
        <f>IF($Z$3=4,#REF!,X104)</f>
        <v>3</v>
      </c>
      <c r="AC104" s="1658">
        <f>重み!E104</f>
        <v>0</v>
      </c>
      <c r="AD104" s="447"/>
      <c r="AE104" s="434"/>
      <c r="AF104" s="442">
        <f>重み!M104</f>
        <v>0.3</v>
      </c>
      <c r="AG104" s="182"/>
      <c r="AH104" s="442">
        <f>重み!N104</f>
        <v>0</v>
      </c>
      <c r="AI104" s="2563"/>
      <c r="AJ104" s="2563"/>
      <c r="AK104" s="2564"/>
    </row>
    <row r="105" spans="2:37" ht="14.25" customHeight="1" thickBot="1">
      <c r="B105" s="2879"/>
      <c r="C105" s="2068">
        <v>3.3</v>
      </c>
      <c r="D105" s="2129" t="s">
        <v>1038</v>
      </c>
      <c r="E105" s="2107"/>
      <c r="F105" s="2107"/>
      <c r="G105" s="2107"/>
      <c r="H105" s="2855"/>
      <c r="I105" s="2836"/>
      <c r="J105" s="2837"/>
      <c r="K105" s="2837"/>
      <c r="L105" s="2837"/>
      <c r="M105" s="2837"/>
      <c r="N105" s="2837"/>
      <c r="O105" s="2837"/>
      <c r="P105" s="2838"/>
      <c r="Q105" s="2885">
        <f t="shared" si="13"/>
        <v>3</v>
      </c>
      <c r="R105" s="2840">
        <f>AA105</f>
        <v>0.4</v>
      </c>
      <c r="S105" s="2916">
        <f t="shared" si="14"/>
        <v>0</v>
      </c>
      <c r="T105" s="2841">
        <f t="shared" si="16"/>
        <v>0</v>
      </c>
      <c r="U105" s="2842"/>
      <c r="V105" s="2788"/>
      <c r="W105" s="458"/>
      <c r="X105" s="1837"/>
      <c r="Z105" s="450">
        <f>SUMPRODUCT(Z106:Z111,AA106:AA111)</f>
        <v>3.0000000000000004</v>
      </c>
      <c r="AA105" s="1658">
        <f>重み!D105</f>
        <v>0.4</v>
      </c>
      <c r="AB105" s="450">
        <f>SUMPRODUCT(AB106:AB111,AC106:AC111)</f>
        <v>0</v>
      </c>
      <c r="AC105" s="1658">
        <f>重み!E105</f>
        <v>0</v>
      </c>
      <c r="AD105" s="447"/>
      <c r="AE105" s="434"/>
      <c r="AF105" s="442">
        <f>重み!M105</f>
        <v>0.4</v>
      </c>
      <c r="AG105" s="182"/>
      <c r="AH105" s="442">
        <f>重み!N105</f>
        <v>0</v>
      </c>
      <c r="AI105" s="2563"/>
      <c r="AJ105" s="2563"/>
      <c r="AK105" s="2564"/>
    </row>
    <row r="106" spans="2:37" ht="14.25" customHeight="1">
      <c r="B106" s="2879"/>
      <c r="C106" s="2019"/>
      <c r="D106" s="993">
        <v>1</v>
      </c>
      <c r="E106" s="1655" t="s">
        <v>1604</v>
      </c>
      <c r="F106" s="1655"/>
      <c r="G106" s="1655"/>
      <c r="H106" s="2868"/>
      <c r="I106" s="3126">
        <f>採点Q2!G403</f>
        <v>0</v>
      </c>
      <c r="J106" s="3127"/>
      <c r="K106" s="3127"/>
      <c r="L106" s="3127"/>
      <c r="M106" s="3127"/>
      <c r="N106" s="3127"/>
      <c r="O106" s="3127"/>
      <c r="P106" s="3128"/>
      <c r="Q106" s="2149">
        <f t="shared" si="13"/>
        <v>3</v>
      </c>
      <c r="R106" s="2906">
        <f t="shared" si="15"/>
        <v>0.2</v>
      </c>
      <c r="S106" s="2907">
        <f t="shared" si="14"/>
        <v>0</v>
      </c>
      <c r="T106" s="2841">
        <f t="shared" si="16"/>
        <v>0</v>
      </c>
      <c r="U106" s="2842"/>
      <c r="V106" s="2788"/>
      <c r="W106" s="1665">
        <f>IF(採点Q2!F397="対象外",0,採点Q2!F397)</f>
        <v>3</v>
      </c>
      <c r="X106" s="1837"/>
      <c r="Z106" s="453">
        <f>IF($Z$3=4,#REF!,W106)</f>
        <v>3</v>
      </c>
      <c r="AA106" s="1658">
        <f>重み!D106</f>
        <v>0.2</v>
      </c>
      <c r="AB106" s="453">
        <f>IF($Z$3=4,#REF!,X106)</f>
        <v>0</v>
      </c>
      <c r="AC106" s="1658">
        <f>重み!E106</f>
        <v>0</v>
      </c>
      <c r="AD106" s="447"/>
      <c r="AE106" s="434"/>
      <c r="AF106" s="442">
        <f>重み!M106</f>
        <v>0.2</v>
      </c>
      <c r="AG106" s="182"/>
      <c r="AH106" s="442">
        <f>重み!N106</f>
        <v>0</v>
      </c>
      <c r="AI106" s="2563"/>
      <c r="AJ106" s="2563"/>
      <c r="AK106" s="2564"/>
    </row>
    <row r="107" spans="2:37" ht="14.25" customHeight="1">
      <c r="B107" s="2879"/>
      <c r="C107" s="2019"/>
      <c r="D107" s="2018">
        <v>2</v>
      </c>
      <c r="E107" s="2107" t="s">
        <v>1039</v>
      </c>
      <c r="F107" s="2107"/>
      <c r="G107" s="2107"/>
      <c r="H107" s="2855"/>
      <c r="I107" s="3126">
        <f>採点Q2!L403</f>
        <v>0</v>
      </c>
      <c r="J107" s="3127"/>
      <c r="K107" s="3127"/>
      <c r="L107" s="3127"/>
      <c r="M107" s="3127"/>
      <c r="N107" s="3127"/>
      <c r="O107" s="3127"/>
      <c r="P107" s="3128"/>
      <c r="Q107" s="2063">
        <f t="shared" si="13"/>
        <v>3</v>
      </c>
      <c r="R107" s="2906">
        <f t="shared" si="15"/>
        <v>0.2</v>
      </c>
      <c r="S107" s="2907">
        <f t="shared" si="14"/>
        <v>0</v>
      </c>
      <c r="T107" s="2841">
        <f t="shared" si="16"/>
        <v>0</v>
      </c>
      <c r="U107" s="2842"/>
      <c r="V107" s="2788"/>
      <c r="W107" s="456">
        <f>IF(採点Q2!K397="対象外",0,採点Q2!K397)</f>
        <v>3</v>
      </c>
      <c r="X107" s="1837"/>
      <c r="Z107" s="453">
        <f>IF($Z$3=4,#REF!,W107)</f>
        <v>3</v>
      </c>
      <c r="AA107" s="1658">
        <f>重み!D107</f>
        <v>0.2</v>
      </c>
      <c r="AB107" s="453">
        <f>IF($Z$3=4,#REF!,X107)</f>
        <v>0</v>
      </c>
      <c r="AC107" s="1658">
        <f>重み!E107</f>
        <v>0</v>
      </c>
      <c r="AD107" s="447"/>
      <c r="AE107" s="434"/>
      <c r="AF107" s="442">
        <f>重み!M107</f>
        <v>0.2</v>
      </c>
      <c r="AG107" s="182"/>
      <c r="AH107" s="442">
        <f>重み!N107</f>
        <v>0</v>
      </c>
      <c r="AI107" s="2563"/>
      <c r="AJ107" s="2563"/>
      <c r="AK107" s="2564"/>
    </row>
    <row r="108" spans="2:37" ht="14.25" customHeight="1">
      <c r="B108" s="2879"/>
      <c r="C108" s="2019"/>
      <c r="D108" s="993">
        <v>3</v>
      </c>
      <c r="E108" s="1655" t="s">
        <v>1040</v>
      </c>
      <c r="F108" s="1655"/>
      <c r="G108" s="1655"/>
      <c r="H108" s="2868"/>
      <c r="I108" s="3126">
        <f>採点Q2!G413</f>
        <v>0</v>
      </c>
      <c r="J108" s="3127"/>
      <c r="K108" s="3127"/>
      <c r="L108" s="3127"/>
      <c r="M108" s="3127"/>
      <c r="N108" s="3127"/>
      <c r="O108" s="3127"/>
      <c r="P108" s="3128"/>
      <c r="Q108" s="2063">
        <f t="shared" si="13"/>
        <v>3</v>
      </c>
      <c r="R108" s="2906">
        <f t="shared" si="15"/>
        <v>0.1</v>
      </c>
      <c r="S108" s="2907">
        <f t="shared" si="14"/>
        <v>0</v>
      </c>
      <c r="T108" s="2841">
        <f t="shared" si="16"/>
        <v>0</v>
      </c>
      <c r="U108" s="2842"/>
      <c r="V108" s="2788"/>
      <c r="W108" s="456">
        <f>IF(採点Q2!F407="対象外",0,採点Q2!F407)</f>
        <v>3</v>
      </c>
      <c r="X108" s="1837"/>
      <c r="Z108" s="453">
        <f>IF($Z$3=4,#REF!,W108)</f>
        <v>3</v>
      </c>
      <c r="AA108" s="1658">
        <f>重み!D108</f>
        <v>0.1</v>
      </c>
      <c r="AB108" s="453">
        <f>IF($Z$3=4,#REF!,X108)</f>
        <v>0</v>
      </c>
      <c r="AC108" s="1658">
        <f>重み!E108</f>
        <v>0</v>
      </c>
      <c r="AD108" s="447"/>
      <c r="AE108" s="434"/>
      <c r="AF108" s="442">
        <f>重み!M108</f>
        <v>0.1</v>
      </c>
      <c r="AG108" s="182"/>
      <c r="AH108" s="442">
        <f>重み!N108</f>
        <v>0</v>
      </c>
      <c r="AI108" s="2563"/>
      <c r="AJ108" s="2563"/>
      <c r="AK108" s="2564"/>
    </row>
    <row r="109" spans="2:37" ht="14.25" customHeight="1">
      <c r="B109" s="2879"/>
      <c r="C109" s="2019"/>
      <c r="D109" s="2018">
        <v>4</v>
      </c>
      <c r="E109" s="2107" t="s">
        <v>1041</v>
      </c>
      <c r="F109" s="2107"/>
      <c r="G109" s="2107"/>
      <c r="H109" s="2855"/>
      <c r="I109" s="3126">
        <f>採点Q2!L413</f>
        <v>0</v>
      </c>
      <c r="J109" s="3127"/>
      <c r="K109" s="3127"/>
      <c r="L109" s="3127"/>
      <c r="M109" s="3127"/>
      <c r="N109" s="3127"/>
      <c r="O109" s="3127"/>
      <c r="P109" s="3128"/>
      <c r="Q109" s="2063">
        <f t="shared" si="13"/>
        <v>3</v>
      </c>
      <c r="R109" s="2906">
        <f t="shared" si="15"/>
        <v>0.1</v>
      </c>
      <c r="S109" s="2907">
        <f t="shared" si="14"/>
        <v>0</v>
      </c>
      <c r="T109" s="2841">
        <f t="shared" si="16"/>
        <v>0</v>
      </c>
      <c r="U109" s="2842"/>
      <c r="V109" s="2788"/>
      <c r="W109" s="456">
        <f>IF(採点Q2!K407="対象外",0,採点Q2!K407)</f>
        <v>3</v>
      </c>
      <c r="X109" s="1837"/>
      <c r="Z109" s="453">
        <f>IF($Z$3=4,#REF!,W109)</f>
        <v>3</v>
      </c>
      <c r="AA109" s="1658">
        <f>重み!D109</f>
        <v>0.1</v>
      </c>
      <c r="AB109" s="453">
        <f>IF($Z$3=4,#REF!,X109)</f>
        <v>0</v>
      </c>
      <c r="AC109" s="1658">
        <f>重み!E109</f>
        <v>0</v>
      </c>
      <c r="AD109" s="447"/>
      <c r="AE109" s="434"/>
      <c r="AF109" s="442">
        <f>重み!M109</f>
        <v>0.1</v>
      </c>
      <c r="AG109" s="182"/>
      <c r="AH109" s="442">
        <f>重み!N109</f>
        <v>0</v>
      </c>
      <c r="AI109" s="2563"/>
      <c r="AJ109" s="2563"/>
      <c r="AK109" s="2564"/>
    </row>
    <row r="110" spans="2:37" ht="14.25" customHeight="1">
      <c r="B110" s="2879"/>
      <c r="C110" s="2019"/>
      <c r="D110" s="993">
        <v>5</v>
      </c>
      <c r="E110" s="1655" t="s">
        <v>1042</v>
      </c>
      <c r="F110" s="1655"/>
      <c r="G110" s="1655"/>
      <c r="H110" s="2868"/>
      <c r="I110" s="3126">
        <f>採点Q2!G423</f>
        <v>0</v>
      </c>
      <c r="J110" s="3127"/>
      <c r="K110" s="3127"/>
      <c r="L110" s="3127"/>
      <c r="M110" s="3127"/>
      <c r="N110" s="3127"/>
      <c r="O110" s="3127"/>
      <c r="P110" s="3128"/>
      <c r="Q110" s="2063">
        <f t="shared" si="13"/>
        <v>3</v>
      </c>
      <c r="R110" s="2906">
        <f t="shared" ref="R110:R147" si="17">AA110</f>
        <v>0.2</v>
      </c>
      <c r="S110" s="2907">
        <f t="shared" si="14"/>
        <v>0</v>
      </c>
      <c r="T110" s="2841">
        <f t="shared" ref="T110:T147" si="18">AC110</f>
        <v>0</v>
      </c>
      <c r="U110" s="2842"/>
      <c r="V110" s="2788"/>
      <c r="W110" s="456">
        <f>IF(採点Q2!F417="対象外",0,採点Q2!F417)</f>
        <v>3</v>
      </c>
      <c r="X110" s="1837"/>
      <c r="Z110" s="453">
        <f>IF($Z$3=4,#REF!,W110)</f>
        <v>3</v>
      </c>
      <c r="AA110" s="1658">
        <f>重み!D110</f>
        <v>0.2</v>
      </c>
      <c r="AB110" s="453">
        <f>IF($Z$3=4,#REF!,X110)</f>
        <v>0</v>
      </c>
      <c r="AC110" s="1658">
        <f>重み!E110</f>
        <v>0</v>
      </c>
      <c r="AD110" s="447"/>
      <c r="AE110" s="434"/>
      <c r="AF110" s="442">
        <f>重み!M110</f>
        <v>0.2</v>
      </c>
      <c r="AG110" s="182"/>
      <c r="AH110" s="442">
        <f>重み!N110</f>
        <v>0</v>
      </c>
      <c r="AI110" s="2563"/>
      <c r="AJ110" s="2563"/>
      <c r="AK110" s="2564"/>
    </row>
    <row r="111" spans="2:37" ht="14.25" customHeight="1" thickBot="1">
      <c r="B111" s="2917"/>
      <c r="C111" s="2208"/>
      <c r="D111" s="2097">
        <v>6</v>
      </c>
      <c r="E111" s="2096" t="s">
        <v>1043</v>
      </c>
      <c r="F111" s="2096"/>
      <c r="G111" s="2096"/>
      <c r="H111" s="2918"/>
      <c r="I111" s="3126">
        <f>採点Q2!L423</f>
        <v>0</v>
      </c>
      <c r="J111" s="3127"/>
      <c r="K111" s="3127"/>
      <c r="L111" s="3127"/>
      <c r="M111" s="3127"/>
      <c r="N111" s="3127"/>
      <c r="O111" s="3127"/>
      <c r="P111" s="3128"/>
      <c r="Q111" s="2143">
        <f t="shared" si="13"/>
        <v>3</v>
      </c>
      <c r="R111" s="2919">
        <f t="shared" si="17"/>
        <v>0.2</v>
      </c>
      <c r="S111" s="2920">
        <f t="shared" si="14"/>
        <v>0</v>
      </c>
      <c r="T111" s="2921">
        <f t="shared" si="18"/>
        <v>0</v>
      </c>
      <c r="U111" s="2922"/>
      <c r="V111" s="2788"/>
      <c r="W111" s="1666">
        <f>IF(採点Q2!K417="対象外",0,採点Q2!K417)</f>
        <v>3</v>
      </c>
      <c r="X111" s="1837"/>
      <c r="Z111" s="453">
        <f>IF($Z$3=4,#REF!,W111)</f>
        <v>3</v>
      </c>
      <c r="AA111" s="1658">
        <f>重み!D111</f>
        <v>0.2</v>
      </c>
      <c r="AB111" s="453">
        <f>IF($Z$3=4,#REF!,X111)</f>
        <v>0</v>
      </c>
      <c r="AC111" s="1658">
        <f>重み!E111</f>
        <v>0</v>
      </c>
      <c r="AD111" s="447"/>
      <c r="AE111" s="434"/>
      <c r="AF111" s="442">
        <f>重み!M111</f>
        <v>0.2</v>
      </c>
      <c r="AG111" s="182"/>
      <c r="AH111" s="442">
        <f>重み!N111</f>
        <v>0</v>
      </c>
      <c r="AI111" s="2563"/>
      <c r="AJ111" s="2563"/>
      <c r="AK111" s="2564"/>
    </row>
    <row r="112" spans="2:37" ht="14.25" customHeight="1" thickBot="1">
      <c r="B112" s="2887" t="s">
        <v>1605</v>
      </c>
      <c r="C112" s="2087" t="s">
        <v>1606</v>
      </c>
      <c r="D112" s="2087"/>
      <c r="E112" s="2087"/>
      <c r="F112" s="2087"/>
      <c r="G112" s="2087"/>
      <c r="H112" s="2923"/>
      <c r="I112" s="2924"/>
      <c r="J112" s="2925"/>
      <c r="K112" s="2925"/>
      <c r="L112" s="2925"/>
      <c r="M112" s="2925"/>
      <c r="N112" s="2925"/>
      <c r="O112" s="2925"/>
      <c r="P112" s="2926"/>
      <c r="Q112" s="2927">
        <f t="shared" si="13"/>
        <v>0</v>
      </c>
      <c r="R112" s="2891">
        <f t="shared" si="17"/>
        <v>0.3</v>
      </c>
      <c r="S112" s="2892">
        <f t="shared" si="14"/>
        <v>0</v>
      </c>
      <c r="T112" s="2893">
        <f t="shared" si="18"/>
        <v>0</v>
      </c>
      <c r="U112" s="2894">
        <f>ROUNDDOWN(AD112,1)</f>
        <v>3</v>
      </c>
      <c r="V112" s="2788"/>
      <c r="W112" s="1841"/>
      <c r="X112" s="1837"/>
      <c r="Z112" s="454"/>
      <c r="AA112" s="448">
        <f>重み!D112</f>
        <v>0.3</v>
      </c>
      <c r="AB112" s="454"/>
      <c r="AC112" s="448"/>
      <c r="AD112" s="1858">
        <f>AD113*AA113+AA114*AD114+AD116*AA116+AD117*AA117</f>
        <v>3</v>
      </c>
      <c r="AE112" s="434"/>
      <c r="AF112" s="442">
        <f>重み!M112</f>
        <v>0.3</v>
      </c>
      <c r="AG112" s="182"/>
      <c r="AH112" s="442">
        <f>重み!N112</f>
        <v>0</v>
      </c>
      <c r="AI112" s="442" t="s">
        <v>3112</v>
      </c>
      <c r="AJ112" s="442" t="s">
        <v>3360</v>
      </c>
      <c r="AK112" s="182"/>
    </row>
    <row r="113" spans="2:37" ht="13.5">
      <c r="B113" s="2834">
        <v>1</v>
      </c>
      <c r="C113" s="2045" t="s">
        <v>1044</v>
      </c>
      <c r="D113" s="7"/>
      <c r="E113" s="7"/>
      <c r="F113" s="7"/>
      <c r="G113" s="7"/>
      <c r="H113" s="2835"/>
      <c r="I113" s="3134">
        <f>採点Q3!G19</f>
        <v>0</v>
      </c>
      <c r="J113" s="3135"/>
      <c r="K113" s="3135"/>
      <c r="L113" s="3135"/>
      <c r="M113" s="3135"/>
      <c r="N113" s="3135"/>
      <c r="O113" s="3135"/>
      <c r="P113" s="3136"/>
      <c r="Q113" s="2162">
        <f t="shared" si="13"/>
        <v>3</v>
      </c>
      <c r="R113" s="2906">
        <f t="shared" si="17"/>
        <v>0.3</v>
      </c>
      <c r="S113" s="2928">
        <f t="shared" si="14"/>
        <v>0</v>
      </c>
      <c r="T113" s="2841">
        <f t="shared" si="18"/>
        <v>0</v>
      </c>
      <c r="U113" s="2842">
        <f>ROUNDDOWN(AD113,1)</f>
        <v>3</v>
      </c>
      <c r="V113" s="2788"/>
      <c r="W113" s="1665">
        <f>IF(採点Q3!F13="対象外",0,採点Q3!F13)</f>
        <v>3</v>
      </c>
      <c r="X113" s="1837"/>
      <c r="Z113" s="1834">
        <f>IF($Z$3=4,#REF!,W113)</f>
        <v>3</v>
      </c>
      <c r="AA113" s="1658">
        <f>重み!D113</f>
        <v>0.3</v>
      </c>
      <c r="AB113" s="1834">
        <f>IF($Z$3=4,#REF!,X113)</f>
        <v>0</v>
      </c>
      <c r="AC113" s="1658">
        <f>重み!E113</f>
        <v>0</v>
      </c>
      <c r="AD113" s="447">
        <f>IF(AB113=0,Z113,IF(Z113=0,AB113,Z113*AF$6+AB113*AH$6))</f>
        <v>3</v>
      </c>
      <c r="AE113" s="434"/>
      <c r="AF113" s="442">
        <f>重み!M113</f>
        <v>0.3</v>
      </c>
      <c r="AG113" s="182"/>
      <c r="AH113" s="442">
        <f>重み!N113</f>
        <v>0</v>
      </c>
      <c r="AI113" s="2563"/>
      <c r="AJ113" s="2563"/>
      <c r="AK113" s="2564"/>
    </row>
    <row r="114" spans="2:37" hidden="1" thickBot="1">
      <c r="B114" s="2929">
        <v>1</v>
      </c>
      <c r="C114" s="2201" t="s">
        <v>2933</v>
      </c>
      <c r="D114" s="2200"/>
      <c r="E114" s="1655"/>
      <c r="F114" s="1655"/>
      <c r="G114" s="1655"/>
      <c r="H114" s="2868"/>
      <c r="I114" s="2856"/>
      <c r="J114" s="2857"/>
      <c r="K114" s="2857"/>
      <c r="L114" s="2857"/>
      <c r="M114" s="2857"/>
      <c r="N114" s="2857"/>
      <c r="O114" s="2857"/>
      <c r="P114" s="2858"/>
      <c r="Q114" s="2930">
        <f t="shared" si="13"/>
        <v>0</v>
      </c>
      <c r="R114" s="2865">
        <f>AA114</f>
        <v>0</v>
      </c>
      <c r="S114" s="2864">
        <f t="shared" si="14"/>
        <v>0</v>
      </c>
      <c r="T114" s="2867">
        <f t="shared" si="18"/>
        <v>0</v>
      </c>
      <c r="U114" s="2863">
        <f>ROUNDDOWN(AD114,1)</f>
        <v>0</v>
      </c>
      <c r="V114" s="2788"/>
      <c r="W114" s="1854">
        <v>100</v>
      </c>
      <c r="X114" s="1837"/>
      <c r="Z114" s="1833">
        <f>Z115*AA115</f>
        <v>0</v>
      </c>
      <c r="AA114" s="1658">
        <f>重み!D114</f>
        <v>0</v>
      </c>
      <c r="AB114" s="1833">
        <f>AB115*AC115</f>
        <v>0</v>
      </c>
      <c r="AC114" s="451">
        <f>SUM(AC115)</f>
        <v>0</v>
      </c>
      <c r="AD114" s="447">
        <f>IF(AB114=0,Z114,IF(Z114=0,AB114,Z114*AF$6+AB114*AH$6))</f>
        <v>0</v>
      </c>
      <c r="AE114" s="434"/>
      <c r="AF114" s="442">
        <f>重み!M114</f>
        <v>0</v>
      </c>
      <c r="AG114" s="182"/>
      <c r="AH114" s="451">
        <f>SUM(AH115)</f>
        <v>0</v>
      </c>
      <c r="AI114" s="2563"/>
      <c r="AJ114" s="2563"/>
      <c r="AK114" s="2564"/>
    </row>
    <row r="115" spans="2:37" ht="13.5" hidden="1">
      <c r="B115" s="2931"/>
      <c r="C115" s="2198">
        <v>1.1000000000000001</v>
      </c>
      <c r="D115" s="2064" t="s">
        <v>2934</v>
      </c>
      <c r="E115" s="2195"/>
      <c r="F115" s="2195"/>
      <c r="G115" s="2195"/>
      <c r="H115" s="2886"/>
      <c r="I115" s="3144"/>
      <c r="J115" s="3145"/>
      <c r="K115" s="3145"/>
      <c r="L115" s="3145"/>
      <c r="M115" s="3145"/>
      <c r="N115" s="3145"/>
      <c r="O115" s="3145"/>
      <c r="P115" s="3146"/>
      <c r="Q115" s="2162">
        <f t="shared" si="13"/>
        <v>100</v>
      </c>
      <c r="R115" s="2932">
        <f>AA115</f>
        <v>0</v>
      </c>
      <c r="S115" s="2933">
        <f t="shared" si="14"/>
        <v>0</v>
      </c>
      <c r="T115" s="2862">
        <f t="shared" si="18"/>
        <v>0</v>
      </c>
      <c r="U115" s="2863"/>
      <c r="V115" s="2788"/>
      <c r="W115" s="1854">
        <v>100</v>
      </c>
      <c r="X115" s="1837"/>
      <c r="Z115" s="1832">
        <f>IF($Z$3=4,#REF!,W115)</f>
        <v>100</v>
      </c>
      <c r="AA115" s="1658">
        <f>重み!D115</f>
        <v>0</v>
      </c>
      <c r="AB115" s="1832">
        <f>IF($Z$3=4,#REF!,X115)</f>
        <v>0</v>
      </c>
      <c r="AC115" s="1658">
        <f>重み!E115</f>
        <v>0</v>
      </c>
      <c r="AD115" s="447"/>
      <c r="AE115" s="434"/>
      <c r="AF115" s="442">
        <f>重み!M115</f>
        <v>0</v>
      </c>
      <c r="AG115" s="182"/>
      <c r="AH115" s="442">
        <f>重み!N115</f>
        <v>0</v>
      </c>
      <c r="AI115" s="2563"/>
      <c r="AJ115" s="2563"/>
      <c r="AK115" s="2564"/>
    </row>
    <row r="116" spans="2:37" thickBot="1">
      <c r="B116" s="2934">
        <v>2</v>
      </c>
      <c r="C116" s="2058" t="s">
        <v>1045</v>
      </c>
      <c r="D116" s="1655"/>
      <c r="E116" s="1655"/>
      <c r="F116" s="1655"/>
      <c r="G116" s="1655"/>
      <c r="H116" s="2868"/>
      <c r="I116" s="3144">
        <f>採点Q3!G48</f>
        <v>0</v>
      </c>
      <c r="J116" s="3145"/>
      <c r="K116" s="3145"/>
      <c r="L116" s="3145"/>
      <c r="M116" s="3145"/>
      <c r="N116" s="3145"/>
      <c r="O116" s="3145"/>
      <c r="P116" s="3146"/>
      <c r="Q116" s="2157">
        <f t="shared" si="13"/>
        <v>3</v>
      </c>
      <c r="R116" s="2932">
        <f t="shared" si="17"/>
        <v>0.4</v>
      </c>
      <c r="S116" s="2933">
        <f t="shared" si="14"/>
        <v>0</v>
      </c>
      <c r="T116" s="2862">
        <f t="shared" si="18"/>
        <v>0</v>
      </c>
      <c r="U116" s="2863">
        <f>ROUNDDOWN(AD116,1)</f>
        <v>3</v>
      </c>
      <c r="V116" s="2788"/>
      <c r="W116" s="1666">
        <f>IF(採点Q3!F42="対象外",0,採点Q3!F42)</f>
        <v>3</v>
      </c>
      <c r="X116" s="1837"/>
      <c r="Z116" s="1834">
        <f>IF($Z$3=4,#REF!,W116)</f>
        <v>3</v>
      </c>
      <c r="AA116" s="1658">
        <f>重み!D116</f>
        <v>0.4</v>
      </c>
      <c r="AB116" s="1834">
        <f>IF($Z$3=4,#REF!,X116)</f>
        <v>0</v>
      </c>
      <c r="AC116" s="1658">
        <f>重み!E116</f>
        <v>0</v>
      </c>
      <c r="AD116" s="447">
        <f>IF(AB116=0,Z116,IF(Z116=0,AB116,Z116*AF$6+AB116*AH$6))</f>
        <v>3</v>
      </c>
      <c r="AE116" s="434"/>
      <c r="AF116" s="442">
        <f>重み!M116</f>
        <v>0.4</v>
      </c>
      <c r="AG116" s="182"/>
      <c r="AH116" s="442">
        <f>重み!N116</f>
        <v>0</v>
      </c>
      <c r="AI116" s="2563"/>
      <c r="AJ116" s="2563"/>
      <c r="AK116" s="2564"/>
    </row>
    <row r="117" spans="2:37" thickBot="1">
      <c r="B117" s="2854">
        <v>3</v>
      </c>
      <c r="C117" s="2033" t="s">
        <v>1046</v>
      </c>
      <c r="D117" s="2195"/>
      <c r="E117" s="2195"/>
      <c r="F117" s="2195"/>
      <c r="G117" s="2195"/>
      <c r="H117" s="2886"/>
      <c r="I117" s="2856"/>
      <c r="J117" s="2857"/>
      <c r="K117" s="2857"/>
      <c r="L117" s="2857"/>
      <c r="M117" s="2857"/>
      <c r="N117" s="2857"/>
      <c r="O117" s="2857"/>
      <c r="P117" s="2858"/>
      <c r="Q117" s="2885">
        <f t="shared" si="13"/>
        <v>3</v>
      </c>
      <c r="R117" s="2935">
        <f>AA117</f>
        <v>0.3</v>
      </c>
      <c r="S117" s="2936">
        <f t="shared" si="14"/>
        <v>0</v>
      </c>
      <c r="T117" s="2862">
        <f t="shared" si="18"/>
        <v>0</v>
      </c>
      <c r="U117" s="2863">
        <f>ROUNDDOWN(AD117,1)</f>
        <v>3</v>
      </c>
      <c r="V117" s="2788"/>
      <c r="W117" s="458"/>
      <c r="X117" s="1837"/>
      <c r="Z117" s="1833">
        <f>Z118*AA118+Z119*AA119</f>
        <v>3</v>
      </c>
      <c r="AA117" s="1658">
        <f>重み!D117</f>
        <v>0.3</v>
      </c>
      <c r="AB117" s="1833">
        <f>AB118*AC118+AB119*AC119</f>
        <v>0</v>
      </c>
      <c r="AC117" s="451">
        <f>SUM(AC118,AC119)</f>
        <v>0</v>
      </c>
      <c r="AD117" s="447">
        <f>IF(AB117=0,Z117,IF(Z117=0,AB117,Z117*AF$6+AB117*AH$6))</f>
        <v>3</v>
      </c>
      <c r="AE117" s="434"/>
      <c r="AF117" s="442">
        <f>重み!M117</f>
        <v>0.3</v>
      </c>
      <c r="AG117" s="182"/>
      <c r="AH117" s="451">
        <f>SUM(AH118,AH119)</f>
        <v>0</v>
      </c>
      <c r="AI117" s="2563"/>
      <c r="AJ117" s="2563"/>
      <c r="AK117" s="2564"/>
    </row>
    <row r="118" spans="2:37" ht="13.5">
      <c r="B118" s="2834"/>
      <c r="C118" s="2068">
        <v>3.1</v>
      </c>
      <c r="D118" s="2046" t="s">
        <v>1047</v>
      </c>
      <c r="E118" s="2195"/>
      <c r="F118" s="2195"/>
      <c r="G118" s="2195"/>
      <c r="H118" s="2886"/>
      <c r="I118" s="3134">
        <f>採点Q3!G69</f>
        <v>0</v>
      </c>
      <c r="J118" s="3135"/>
      <c r="K118" s="3135"/>
      <c r="L118" s="3135"/>
      <c r="M118" s="3135"/>
      <c r="N118" s="3135"/>
      <c r="O118" s="3135"/>
      <c r="P118" s="3136"/>
      <c r="Q118" s="2162">
        <f t="shared" si="13"/>
        <v>3</v>
      </c>
      <c r="R118" s="2906">
        <f t="shared" si="17"/>
        <v>0.5</v>
      </c>
      <c r="S118" s="2905">
        <f t="shared" si="14"/>
        <v>0</v>
      </c>
      <c r="T118" s="2841">
        <f t="shared" si="18"/>
        <v>0</v>
      </c>
      <c r="U118" s="2842"/>
      <c r="V118" s="2788"/>
      <c r="W118" s="1665">
        <f>IF(採点Q3!F63="対象外",0,採点Q3!F63)</f>
        <v>3</v>
      </c>
      <c r="X118" s="1837"/>
      <c r="Z118" s="1832">
        <f>IF($Z$3=4,#REF!,W118)</f>
        <v>3</v>
      </c>
      <c r="AA118" s="1658">
        <f>重み!D118</f>
        <v>0.5</v>
      </c>
      <c r="AB118" s="1832">
        <f>IF($Z$3=4,#REF!,X118)</f>
        <v>0</v>
      </c>
      <c r="AC118" s="1658">
        <f>重み!E118</f>
        <v>0</v>
      </c>
      <c r="AD118" s="447"/>
      <c r="AE118" s="434"/>
      <c r="AF118" s="442">
        <f>重み!M118</f>
        <v>0.5</v>
      </c>
      <c r="AG118" s="182"/>
      <c r="AH118" s="442">
        <f>重み!N118</f>
        <v>0</v>
      </c>
      <c r="AI118" s="2563"/>
      <c r="AJ118" s="2563"/>
      <c r="AK118" s="2564"/>
    </row>
    <row r="119" spans="2:37" thickBot="1">
      <c r="B119" s="2834"/>
      <c r="C119" s="2069">
        <v>3.2</v>
      </c>
      <c r="D119" s="2034" t="s">
        <v>1048</v>
      </c>
      <c r="E119" s="1655"/>
      <c r="F119" s="1655"/>
      <c r="G119" s="1655"/>
      <c r="H119" s="2868"/>
      <c r="I119" s="3126">
        <f>採点Q3!G102</f>
        <v>0</v>
      </c>
      <c r="J119" s="3127"/>
      <c r="K119" s="3127"/>
      <c r="L119" s="3127"/>
      <c r="M119" s="3127"/>
      <c r="N119" s="3127"/>
      <c r="O119" s="3127"/>
      <c r="P119" s="3128"/>
      <c r="Q119" s="2157">
        <f t="shared" si="13"/>
        <v>3</v>
      </c>
      <c r="R119" s="2906">
        <f t="shared" si="17"/>
        <v>0.5</v>
      </c>
      <c r="S119" s="2905">
        <f t="shared" si="14"/>
        <v>0</v>
      </c>
      <c r="T119" s="2937">
        <f t="shared" si="18"/>
        <v>0</v>
      </c>
      <c r="U119" s="2842"/>
      <c r="V119" s="2788"/>
      <c r="W119" s="1666">
        <f>IF(採点Q3!F96="対象外",0,採点Q3!F96)</f>
        <v>3</v>
      </c>
      <c r="X119" s="1837"/>
      <c r="Z119" s="1832">
        <f>IF($Z$3=4,#REF!,W119)</f>
        <v>3</v>
      </c>
      <c r="AA119" s="1658">
        <f>重み!D119</f>
        <v>0.5</v>
      </c>
      <c r="AB119" s="1832">
        <f>IF($Z$3=4,#REF!,X119)</f>
        <v>0</v>
      </c>
      <c r="AC119" s="1658">
        <f>重み!E119</f>
        <v>0</v>
      </c>
      <c r="AD119" s="447"/>
      <c r="AE119" s="434"/>
      <c r="AF119" s="442">
        <f>重み!M119</f>
        <v>0.5</v>
      </c>
      <c r="AG119" s="182"/>
      <c r="AH119" s="442">
        <f>重み!N119</f>
        <v>0</v>
      </c>
      <c r="AI119" s="2563"/>
      <c r="AJ119" s="2563"/>
      <c r="AK119" s="2564"/>
    </row>
    <row r="120" spans="2:37" hidden="1" thickBot="1">
      <c r="B120" s="2194"/>
      <c r="C120" s="2193"/>
      <c r="D120" s="2192"/>
      <c r="E120" s="2191"/>
      <c r="F120" s="2191"/>
      <c r="G120" s="2191"/>
      <c r="H120" s="2190"/>
      <c r="I120" s="3126"/>
      <c r="J120" s="3127"/>
      <c r="K120" s="3127"/>
      <c r="L120" s="3127"/>
      <c r="M120" s="3127"/>
      <c r="N120" s="3127"/>
      <c r="O120" s="3127"/>
      <c r="P120" s="3128"/>
      <c r="Q120" s="2914">
        <f t="shared" si="13"/>
        <v>0</v>
      </c>
      <c r="R120" s="2938">
        <f t="shared" si="17"/>
        <v>0</v>
      </c>
      <c r="S120" s="2939">
        <f t="shared" si="14"/>
        <v>0</v>
      </c>
      <c r="T120" s="2940">
        <f t="shared" si="18"/>
        <v>0</v>
      </c>
      <c r="U120" s="2842"/>
      <c r="V120" s="2788"/>
      <c r="W120" s="1839"/>
      <c r="X120" s="1837"/>
      <c r="Z120" s="454"/>
      <c r="AA120" s="448">
        <f>重み!D120</f>
        <v>0</v>
      </c>
      <c r="AB120" s="454"/>
      <c r="AC120" s="448">
        <f>重み!E120</f>
        <v>0</v>
      </c>
      <c r="AD120" s="447"/>
      <c r="AE120" s="434"/>
      <c r="AF120" s="442">
        <f>重み!M120</f>
        <v>0</v>
      </c>
      <c r="AG120" s="182"/>
      <c r="AH120" s="442">
        <f>重み!N120</f>
        <v>0</v>
      </c>
      <c r="AI120" s="2563"/>
      <c r="AJ120" s="2563"/>
      <c r="AK120" s="2564"/>
    </row>
    <row r="121" spans="2:37" ht="16.5" thickBot="1">
      <c r="B121" s="2185" t="s">
        <v>1049</v>
      </c>
      <c r="C121" s="2184"/>
      <c r="D121" s="2184"/>
      <c r="E121" s="2184"/>
      <c r="F121" s="2184"/>
      <c r="G121" s="2184"/>
      <c r="H121" s="2941"/>
      <c r="I121" s="2942"/>
      <c r="J121" s="2943"/>
      <c r="K121" s="2943"/>
      <c r="L121" s="2943"/>
      <c r="M121" s="2943"/>
      <c r="N121" s="2943"/>
      <c r="O121" s="2943"/>
      <c r="P121" s="2944"/>
      <c r="Q121" s="2945"/>
      <c r="R121" s="2946">
        <f t="shared" si="17"/>
        <v>0</v>
      </c>
      <c r="S121" s="2947"/>
      <c r="T121" s="2948">
        <f t="shared" si="18"/>
        <v>0</v>
      </c>
      <c r="U121" s="2949" t="e">
        <f>ROUNDDOWN(AD121,1)</f>
        <v>#VALUE!</v>
      </c>
      <c r="V121" s="2788"/>
      <c r="W121" s="460"/>
      <c r="X121" s="1837"/>
      <c r="Z121" s="454"/>
      <c r="AA121" s="1658">
        <f>重み!D121</f>
        <v>0</v>
      </c>
      <c r="AB121" s="454"/>
      <c r="AC121" s="1658"/>
      <c r="AD121" s="1858" t="e">
        <f>AA122*AD122+AA145*AD145+AA172*AD172</f>
        <v>#VALUE!</v>
      </c>
      <c r="AE121" s="434"/>
      <c r="AF121" s="442">
        <f>重み!M121</f>
        <v>0</v>
      </c>
      <c r="AG121" s="182"/>
      <c r="AH121" s="442">
        <f>重み!N121</f>
        <v>0</v>
      </c>
      <c r="AI121" s="2563"/>
      <c r="AJ121" s="2563"/>
      <c r="AK121" s="2564"/>
    </row>
    <row r="122" spans="2:37" ht="15.75" thickBot="1">
      <c r="B122" s="2950" t="s">
        <v>1050</v>
      </c>
      <c r="C122" s="2170" t="s">
        <v>1051</v>
      </c>
      <c r="D122" s="2170"/>
      <c r="E122" s="2170"/>
      <c r="F122" s="2170"/>
      <c r="G122" s="2170"/>
      <c r="H122" s="2951"/>
      <c r="I122" s="2827"/>
      <c r="J122" s="2828"/>
      <c r="K122" s="2828"/>
      <c r="L122" s="2828"/>
      <c r="M122" s="2828"/>
      <c r="N122" s="2828"/>
      <c r="O122" s="2828"/>
      <c r="P122" s="2829"/>
      <c r="Q122" s="2952">
        <f t="shared" si="13"/>
        <v>0</v>
      </c>
      <c r="R122" s="2831" t="e">
        <f t="shared" si="17"/>
        <v>#VALUE!</v>
      </c>
      <c r="S122" s="2832">
        <f t="shared" si="14"/>
        <v>0</v>
      </c>
      <c r="T122" s="2953">
        <f t="shared" si="18"/>
        <v>0</v>
      </c>
      <c r="U122" s="2833">
        <f>ROUNDDOWN(AD122,1)</f>
        <v>3</v>
      </c>
      <c r="V122" s="2788"/>
      <c r="W122" s="460"/>
      <c r="X122" s="1837"/>
      <c r="Z122" s="454"/>
      <c r="AA122" s="448" t="e">
        <f>重み!D122</f>
        <v>#VALUE!</v>
      </c>
      <c r="AB122" s="454"/>
      <c r="AC122" s="448"/>
      <c r="AD122" s="1858">
        <f>AD123*AA123+AD124*AA124+AD129*AA129+AD138*AA138</f>
        <v>3.0000000000000004</v>
      </c>
      <c r="AE122" s="434"/>
      <c r="AF122" s="442">
        <f>重み!M122</f>
        <v>0.4</v>
      </c>
      <c r="AG122" s="182"/>
      <c r="AH122" s="442">
        <f>重み!N122</f>
        <v>0</v>
      </c>
      <c r="AI122" s="442" t="s">
        <v>3112</v>
      </c>
      <c r="AJ122" s="442" t="s">
        <v>3360</v>
      </c>
      <c r="AK122" s="182"/>
    </row>
    <row r="123" spans="2:37" ht="14.25" customHeight="1" thickBot="1">
      <c r="B123" s="2834">
        <v>1</v>
      </c>
      <c r="C123" s="2045" t="s">
        <v>1822</v>
      </c>
      <c r="D123" s="2045"/>
      <c r="E123" s="2045"/>
      <c r="F123" s="2045"/>
      <c r="G123" s="2045"/>
      <c r="H123" s="2954"/>
      <c r="I123" s="3134">
        <f>採点LR1!G28</f>
        <v>0</v>
      </c>
      <c r="J123" s="3135"/>
      <c r="K123" s="3135"/>
      <c r="L123" s="3135"/>
      <c r="M123" s="3135"/>
      <c r="N123" s="3135"/>
      <c r="O123" s="3135"/>
      <c r="P123" s="3136"/>
      <c r="Q123" s="2955">
        <f t="shared" si="13"/>
        <v>3</v>
      </c>
      <c r="R123" s="2906">
        <f t="shared" si="17"/>
        <v>0.2</v>
      </c>
      <c r="S123" s="2956">
        <f t="shared" si="14"/>
        <v>0</v>
      </c>
      <c r="T123" s="2841">
        <f t="shared" si="18"/>
        <v>0</v>
      </c>
      <c r="U123" s="2842">
        <f>ROUNDDOWN(AD123,1)</f>
        <v>3</v>
      </c>
      <c r="V123" s="2788"/>
      <c r="W123" s="1665">
        <f>採点LR1!F21</f>
        <v>3</v>
      </c>
      <c r="X123" s="1837"/>
      <c r="Z123" s="1834">
        <f>IF($Z$3=4,#REF!,W123)</f>
        <v>3</v>
      </c>
      <c r="AA123" s="1658">
        <f>重み!D123</f>
        <v>0.2</v>
      </c>
      <c r="AB123" s="1834">
        <f>IF($Z$3=4,#REF!,X123)</f>
        <v>0</v>
      </c>
      <c r="AC123" s="1658">
        <f>重み!E123</f>
        <v>0</v>
      </c>
      <c r="AD123" s="447">
        <f>IF(AB123=0,Z123,Z123*AF$6+AB123*AH$6)</f>
        <v>3</v>
      </c>
      <c r="AE123" s="434"/>
      <c r="AF123" s="442">
        <f>重み!M123</f>
        <v>0.2</v>
      </c>
      <c r="AG123" s="182"/>
      <c r="AH123" s="442">
        <f>重み!N123</f>
        <v>0</v>
      </c>
      <c r="AI123" s="2563"/>
      <c r="AJ123" s="2563"/>
      <c r="AK123" s="2564"/>
    </row>
    <row r="124" spans="2:37" thickBot="1">
      <c r="B124" s="2957">
        <v>2</v>
      </c>
      <c r="C124" s="2058" t="s">
        <v>1052</v>
      </c>
      <c r="D124" s="2058"/>
      <c r="E124" s="2058"/>
      <c r="F124" s="2058"/>
      <c r="G124" s="2058"/>
      <c r="H124" s="2958"/>
      <c r="I124" s="3134">
        <f>採点LR1!G39</f>
        <v>0</v>
      </c>
      <c r="J124" s="3135"/>
      <c r="K124" s="3135"/>
      <c r="L124" s="3135"/>
      <c r="M124" s="3135"/>
      <c r="N124" s="3135"/>
      <c r="O124" s="3135"/>
      <c r="P124" s="3136"/>
      <c r="Q124" s="2955">
        <f t="shared" si="13"/>
        <v>3</v>
      </c>
      <c r="R124" s="2935">
        <f t="shared" si="17"/>
        <v>0.1</v>
      </c>
      <c r="S124" s="2936">
        <f t="shared" si="14"/>
        <v>0</v>
      </c>
      <c r="T124" s="2862">
        <f t="shared" si="18"/>
        <v>0</v>
      </c>
      <c r="U124" s="2863">
        <f>ROUNDDOWN(AD124,1)</f>
        <v>3</v>
      </c>
      <c r="V124" s="2788"/>
      <c r="W124" s="1438">
        <f>採点LR1!F33</f>
        <v>3</v>
      </c>
      <c r="X124" s="1837"/>
      <c r="Z124" s="1834">
        <f>IF($Z$3=4,#REF!,W124)</f>
        <v>3</v>
      </c>
      <c r="AA124" s="1658">
        <f>重み!D124</f>
        <v>0.1</v>
      </c>
      <c r="AB124" s="1834">
        <f>IF($Z$3=4,#REF!,X124)</f>
        <v>0</v>
      </c>
      <c r="AC124" s="1658">
        <f>重み!E124</f>
        <v>0</v>
      </c>
      <c r="AD124" s="447">
        <f>IF(AB124=0,Z124,Z124*AF$6+AB124*AH$6)</f>
        <v>3</v>
      </c>
      <c r="AE124" s="434"/>
      <c r="AF124" s="442">
        <f>重み!M124</f>
        <v>0.1</v>
      </c>
      <c r="AG124" s="182"/>
      <c r="AH124" s="442">
        <f>重み!N124</f>
        <v>0</v>
      </c>
      <c r="AI124" s="2563"/>
      <c r="AJ124" s="2563"/>
      <c r="AK124" s="2564"/>
    </row>
    <row r="125" spans="2:37" ht="15" hidden="1" thickBot="1">
      <c r="B125" s="2794"/>
      <c r="C125" s="2069"/>
      <c r="D125" s="2058"/>
      <c r="E125" s="2058"/>
      <c r="F125" s="2058"/>
      <c r="G125" s="2058"/>
      <c r="H125" s="2958"/>
      <c r="I125" s="3134"/>
      <c r="J125" s="3135"/>
      <c r="K125" s="3135"/>
      <c r="L125" s="3135"/>
      <c r="M125" s="3135"/>
      <c r="N125" s="3135"/>
      <c r="O125" s="3135"/>
      <c r="P125" s="3136"/>
      <c r="Q125" s="2149">
        <f t="shared" si="13"/>
        <v>0</v>
      </c>
      <c r="R125" s="2849">
        <f t="shared" ref="R125:R131" si="19">AA125</f>
        <v>0</v>
      </c>
      <c r="S125" s="2907">
        <f t="shared" si="14"/>
        <v>0</v>
      </c>
      <c r="T125" s="2841">
        <f t="shared" ref="T125:T131" si="20">AC125</f>
        <v>0</v>
      </c>
      <c r="U125" s="2846"/>
      <c r="V125" s="2788"/>
      <c r="X125" s="1837"/>
      <c r="Z125" s="1"/>
      <c r="AA125" s="1658">
        <f>重み!D125</f>
        <v>0</v>
      </c>
      <c r="AB125" s="1"/>
      <c r="AC125" s="1658">
        <f>重み!E125</f>
        <v>0</v>
      </c>
      <c r="AD125" s="447"/>
      <c r="AE125" s="434"/>
      <c r="AF125" s="442">
        <f>重み!M125</f>
        <v>0</v>
      </c>
      <c r="AG125" s="182"/>
      <c r="AH125" s="442">
        <f>重み!N125</f>
        <v>0</v>
      </c>
      <c r="AI125" s="2563"/>
      <c r="AJ125" s="2563"/>
      <c r="AK125" s="2564"/>
    </row>
    <row r="126" spans="2:37" ht="15" hidden="1" thickBot="1">
      <c r="B126" s="2794"/>
      <c r="C126" s="2069"/>
      <c r="D126" s="2034"/>
      <c r="E126" s="2058"/>
      <c r="F126" s="2058"/>
      <c r="G126" s="2058"/>
      <c r="H126" s="2958"/>
      <c r="I126" s="3126"/>
      <c r="J126" s="3127"/>
      <c r="K126" s="3127"/>
      <c r="L126" s="3127"/>
      <c r="M126" s="3127"/>
      <c r="N126" s="3127"/>
      <c r="O126" s="3127"/>
      <c r="P126" s="3128"/>
      <c r="Q126" s="2157">
        <f t="shared" si="13"/>
        <v>0</v>
      </c>
      <c r="R126" s="2849">
        <f t="shared" si="19"/>
        <v>0</v>
      </c>
      <c r="S126" s="2907">
        <f t="shared" si="14"/>
        <v>0</v>
      </c>
      <c r="T126" s="2841">
        <f t="shared" ref="T126:T128" si="21">AC126</f>
        <v>0</v>
      </c>
      <c r="U126" s="2842"/>
      <c r="V126" s="2788"/>
      <c r="X126" s="1837"/>
      <c r="Z126" s="1"/>
      <c r="AA126" s="1658">
        <f>重み!D126</f>
        <v>0</v>
      </c>
      <c r="AB126" s="1"/>
      <c r="AC126" s="1658">
        <f>重み!E126</f>
        <v>0</v>
      </c>
      <c r="AD126" s="447"/>
      <c r="AE126" s="434"/>
      <c r="AF126" s="442">
        <f>重み!M126</f>
        <v>0</v>
      </c>
      <c r="AG126" s="182"/>
      <c r="AH126" s="442">
        <f>重み!N126</f>
        <v>0</v>
      </c>
      <c r="AI126" s="2563"/>
      <c r="AJ126" s="2563"/>
      <c r="AK126" s="2564"/>
    </row>
    <row r="127" spans="2:37" ht="15" hidden="1" thickBot="1">
      <c r="B127" s="2794"/>
      <c r="C127" s="2160"/>
      <c r="D127" s="2034"/>
      <c r="E127" s="2058"/>
      <c r="F127" s="2058"/>
      <c r="G127" s="2058"/>
      <c r="H127" s="2958"/>
      <c r="I127" s="3126"/>
      <c r="J127" s="3127"/>
      <c r="K127" s="3127"/>
      <c r="L127" s="3127"/>
      <c r="M127" s="3127"/>
      <c r="N127" s="3127"/>
      <c r="O127" s="3127"/>
      <c r="P127" s="3128"/>
      <c r="Q127" s="2162">
        <f t="shared" si="13"/>
        <v>0</v>
      </c>
      <c r="R127" s="2849">
        <f t="shared" si="19"/>
        <v>0</v>
      </c>
      <c r="S127" s="2907">
        <f t="shared" si="14"/>
        <v>0</v>
      </c>
      <c r="T127" s="2841">
        <f t="shared" si="21"/>
        <v>0</v>
      </c>
      <c r="U127" s="2842"/>
      <c r="V127" s="2788"/>
      <c r="X127" s="1837"/>
      <c r="Z127" s="1"/>
      <c r="AA127" s="1658">
        <f>重み!D127</f>
        <v>0</v>
      </c>
      <c r="AB127" s="1"/>
      <c r="AC127" s="1658">
        <f>重み!E127</f>
        <v>0</v>
      </c>
      <c r="AD127" s="447"/>
      <c r="AE127" s="434"/>
      <c r="AF127" s="442">
        <f>重み!M127</f>
        <v>0</v>
      </c>
      <c r="AG127" s="182"/>
      <c r="AH127" s="442">
        <f>重み!N127</f>
        <v>0</v>
      </c>
      <c r="AI127" s="2563"/>
      <c r="AJ127" s="2563"/>
      <c r="AK127" s="2564"/>
    </row>
    <row r="128" spans="2:37" ht="15" hidden="1" thickBot="1">
      <c r="B128" s="2959"/>
      <c r="C128" s="2160"/>
      <c r="D128" s="2034"/>
      <c r="E128" s="2058"/>
      <c r="F128" s="2058"/>
      <c r="G128" s="2058"/>
      <c r="H128" s="2958"/>
      <c r="I128" s="3138"/>
      <c r="J128" s="3139"/>
      <c r="K128" s="3139"/>
      <c r="L128" s="3139"/>
      <c r="M128" s="3139"/>
      <c r="N128" s="3139"/>
      <c r="O128" s="3139"/>
      <c r="P128" s="3140"/>
      <c r="Q128" s="2157">
        <f t="shared" si="13"/>
        <v>0</v>
      </c>
      <c r="R128" s="2849">
        <f t="shared" si="19"/>
        <v>0</v>
      </c>
      <c r="S128" s="2907">
        <f t="shared" si="14"/>
        <v>0</v>
      </c>
      <c r="T128" s="2841">
        <f t="shared" si="21"/>
        <v>0</v>
      </c>
      <c r="U128" s="2897"/>
      <c r="V128" s="2788"/>
      <c r="X128" s="1837"/>
      <c r="Z128" s="1"/>
      <c r="AA128" s="1658">
        <f>重み!D128</f>
        <v>0</v>
      </c>
      <c r="AB128" s="1"/>
      <c r="AC128" s="1658">
        <f>重み!E128</f>
        <v>0</v>
      </c>
      <c r="AD128" s="447"/>
      <c r="AE128" s="434"/>
      <c r="AF128" s="442">
        <f>重み!M128</f>
        <v>0</v>
      </c>
      <c r="AG128" s="182"/>
      <c r="AH128" s="442">
        <f>重み!N128</f>
        <v>0</v>
      </c>
      <c r="AI128" s="2563"/>
      <c r="AJ128" s="2563"/>
      <c r="AK128" s="2564"/>
    </row>
    <row r="129" spans="2:37" thickBot="1">
      <c r="B129" s="2957">
        <v>3</v>
      </c>
      <c r="C129" s="2058" t="s">
        <v>1057</v>
      </c>
      <c r="D129" s="2058"/>
      <c r="E129" s="2058"/>
      <c r="F129" s="2058"/>
      <c r="G129" s="2058"/>
      <c r="H129" s="2958"/>
      <c r="I129" s="3134">
        <f>採点LR1!G73</f>
        <v>0</v>
      </c>
      <c r="J129" s="3135"/>
      <c r="K129" s="3135"/>
      <c r="L129" s="3135"/>
      <c r="M129" s="3135"/>
      <c r="N129" s="3135"/>
      <c r="O129" s="3135"/>
      <c r="P129" s="3136"/>
      <c r="Q129" s="2955">
        <f t="shared" si="13"/>
        <v>3</v>
      </c>
      <c r="R129" s="2935">
        <f t="shared" si="19"/>
        <v>0.5</v>
      </c>
      <c r="S129" s="2933">
        <f t="shared" si="14"/>
        <v>0</v>
      </c>
      <c r="T129" s="2862">
        <f t="shared" si="20"/>
        <v>0</v>
      </c>
      <c r="U129" s="2863">
        <f>ROUNDDOWN(AD129,1)</f>
        <v>3</v>
      </c>
      <c r="V129" s="2788"/>
      <c r="W129" s="1665">
        <f>採点LR1!F63</f>
        <v>3</v>
      </c>
      <c r="X129" s="1837"/>
      <c r="Z129" s="1834">
        <f>IF($Z$3=4,#REF!,W129)</f>
        <v>3</v>
      </c>
      <c r="AA129" s="1658">
        <f>重み!D129</f>
        <v>0.5</v>
      </c>
      <c r="AB129" s="1834">
        <f>IF($Z$3=4,#REF!,X129)</f>
        <v>0</v>
      </c>
      <c r="AC129" s="1658">
        <f>重み!E129</f>
        <v>0</v>
      </c>
      <c r="AD129" s="447">
        <f>IF(AB129=0,Z129,Z129*AF$6+AB129*AH$6)</f>
        <v>3</v>
      </c>
      <c r="AE129" s="434"/>
      <c r="AF129" s="442">
        <f>重み!M129</f>
        <v>0.5</v>
      </c>
      <c r="AG129" s="182"/>
      <c r="AH129" s="442">
        <f>重み!N129</f>
        <v>0</v>
      </c>
      <c r="AI129" s="2563"/>
      <c r="AJ129" s="2563"/>
      <c r="AK129" s="2564"/>
    </row>
    <row r="130" spans="2:37" hidden="1" thickBot="1">
      <c r="B130" s="2960"/>
      <c r="C130" s="2152"/>
      <c r="D130" s="2145" t="s">
        <v>2492</v>
      </c>
      <c r="E130" s="1402"/>
      <c r="F130" s="1402"/>
      <c r="G130" s="1402"/>
      <c r="H130" s="2851"/>
      <c r="I130" s="3134"/>
      <c r="J130" s="3135"/>
      <c r="K130" s="3135"/>
      <c r="L130" s="3135"/>
      <c r="M130" s="3135"/>
      <c r="N130" s="3135"/>
      <c r="O130" s="3135"/>
      <c r="P130" s="3136"/>
      <c r="Q130" s="2149">
        <f t="shared" si="13"/>
        <v>0</v>
      </c>
      <c r="R130" s="2869">
        <f t="shared" si="19"/>
        <v>0</v>
      </c>
      <c r="S130" s="2907">
        <f t="shared" si="14"/>
        <v>0</v>
      </c>
      <c r="T130" s="2961">
        <f t="shared" si="20"/>
        <v>0</v>
      </c>
      <c r="U130" s="2870"/>
      <c r="V130" s="2788"/>
      <c r="W130" s="1665"/>
      <c r="X130" s="1837"/>
      <c r="Z130" s="1"/>
      <c r="AA130" s="1658">
        <f>重み!D130</f>
        <v>0</v>
      </c>
      <c r="AB130" s="1"/>
      <c r="AC130" s="1658">
        <f>重み!F130</f>
        <v>0</v>
      </c>
      <c r="AD130" s="447"/>
      <c r="AE130" s="434"/>
      <c r="AF130" s="442">
        <f>重み!M130</f>
        <v>1</v>
      </c>
      <c r="AG130" s="182"/>
      <c r="AH130" s="442">
        <f>重み!N130</f>
        <v>0</v>
      </c>
      <c r="AI130" s="2563"/>
      <c r="AJ130" s="2563"/>
      <c r="AK130" s="2564"/>
    </row>
    <row r="131" spans="2:37" hidden="1" thickBot="1">
      <c r="B131" s="2960"/>
      <c r="C131" s="2152"/>
      <c r="D131" s="2145" t="s">
        <v>2493</v>
      </c>
      <c r="E131" s="1402"/>
      <c r="F131" s="1402"/>
      <c r="G131" s="1402"/>
      <c r="H131" s="2851"/>
      <c r="I131" s="3126"/>
      <c r="J131" s="3127"/>
      <c r="K131" s="3127"/>
      <c r="L131" s="3127"/>
      <c r="M131" s="3127"/>
      <c r="N131" s="3127"/>
      <c r="O131" s="3127"/>
      <c r="P131" s="3128"/>
      <c r="Q131" s="2143">
        <f t="shared" si="13"/>
        <v>0</v>
      </c>
      <c r="R131" s="2869">
        <f t="shared" si="19"/>
        <v>0</v>
      </c>
      <c r="S131" s="2907">
        <f t="shared" si="14"/>
        <v>0</v>
      </c>
      <c r="T131" s="2961">
        <f t="shared" si="20"/>
        <v>0</v>
      </c>
      <c r="U131" s="2870"/>
      <c r="V131" s="2788"/>
      <c r="W131" s="1666"/>
      <c r="X131" s="1837"/>
      <c r="Z131" s="1"/>
      <c r="AA131" s="1658">
        <f>重み!D131</f>
        <v>0</v>
      </c>
      <c r="AB131" s="1"/>
      <c r="AC131" s="1658">
        <f>重み!F131</f>
        <v>0</v>
      </c>
      <c r="AD131" s="447"/>
      <c r="AE131" s="434"/>
      <c r="AF131" s="442">
        <f>重み!M131</f>
        <v>0</v>
      </c>
      <c r="AG131" s="182"/>
      <c r="AH131" s="442">
        <f>重み!N131</f>
        <v>0</v>
      </c>
      <c r="AI131" s="2563"/>
      <c r="AJ131" s="2563"/>
      <c r="AK131" s="2564"/>
    </row>
    <row r="132" spans="2:37" hidden="1" thickBot="1">
      <c r="B132" s="2962"/>
      <c r="C132" s="2146">
        <v>3.1</v>
      </c>
      <c r="D132" s="2145" t="s">
        <v>1058</v>
      </c>
      <c r="E132" s="1402"/>
      <c r="F132" s="1402"/>
      <c r="G132" s="1402"/>
      <c r="H132" s="2851"/>
      <c r="I132" s="3126"/>
      <c r="J132" s="3127"/>
      <c r="K132" s="3127"/>
      <c r="L132" s="3127"/>
      <c r="M132" s="3127"/>
      <c r="N132" s="3127"/>
      <c r="O132" s="3127"/>
      <c r="P132" s="3128"/>
      <c r="Q132" s="2149">
        <f t="shared" si="13"/>
        <v>0</v>
      </c>
      <c r="R132" s="2869">
        <f t="shared" si="17"/>
        <v>0</v>
      </c>
      <c r="S132" s="2907">
        <f t="shared" si="14"/>
        <v>0</v>
      </c>
      <c r="T132" s="2961">
        <f t="shared" si="18"/>
        <v>0</v>
      </c>
      <c r="U132" s="2870"/>
      <c r="V132" s="2788"/>
      <c r="W132" s="1665">
        <f>採点LR1!F92</f>
        <v>0</v>
      </c>
      <c r="X132" s="1837"/>
      <c r="Z132" s="1"/>
      <c r="AA132" s="1658">
        <f>重み!D132</f>
        <v>0</v>
      </c>
      <c r="AB132" s="1"/>
      <c r="AC132" s="1658">
        <f>重み!E132</f>
        <v>0</v>
      </c>
      <c r="AD132" s="447"/>
      <c r="AE132" s="434"/>
      <c r="AF132" s="442">
        <f>重み!M132</f>
        <v>0</v>
      </c>
      <c r="AG132" s="182"/>
      <c r="AH132" s="442">
        <f>重み!N132</f>
        <v>0</v>
      </c>
      <c r="AI132" s="2563"/>
      <c r="AJ132" s="2563"/>
      <c r="AK132" s="2564"/>
    </row>
    <row r="133" spans="2:37" hidden="1" thickBot="1">
      <c r="B133" s="2962"/>
      <c r="C133" s="2146">
        <v>3.2</v>
      </c>
      <c r="D133" s="2145" t="s">
        <v>1059</v>
      </c>
      <c r="E133" s="1402"/>
      <c r="F133" s="1402"/>
      <c r="G133" s="1402"/>
      <c r="H133" s="2851"/>
      <c r="I133" s="3126"/>
      <c r="J133" s="3127"/>
      <c r="K133" s="3127"/>
      <c r="L133" s="3127"/>
      <c r="M133" s="3127"/>
      <c r="N133" s="3127"/>
      <c r="O133" s="3127"/>
      <c r="P133" s="3128"/>
      <c r="Q133" s="2063">
        <f t="shared" si="13"/>
        <v>0</v>
      </c>
      <c r="R133" s="2869">
        <f t="shared" si="17"/>
        <v>0</v>
      </c>
      <c r="S133" s="2907">
        <f t="shared" si="14"/>
        <v>0</v>
      </c>
      <c r="T133" s="2961">
        <f t="shared" si="18"/>
        <v>0</v>
      </c>
      <c r="U133" s="2870"/>
      <c r="V133" s="2788"/>
      <c r="W133" s="1845"/>
      <c r="X133" s="1845"/>
      <c r="Z133" s="1"/>
      <c r="AA133" s="1658">
        <f>重み!D133</f>
        <v>0</v>
      </c>
      <c r="AB133" s="1"/>
      <c r="AC133" s="1658">
        <f>重み!E133</f>
        <v>0</v>
      </c>
      <c r="AD133" s="447"/>
      <c r="AE133" s="434"/>
      <c r="AF133" s="442">
        <f>重み!M133</f>
        <v>0</v>
      </c>
      <c r="AG133" s="182"/>
      <c r="AH133" s="442">
        <f>重み!N133</f>
        <v>0</v>
      </c>
      <c r="AI133" s="2563"/>
      <c r="AJ133" s="2563"/>
      <c r="AK133" s="2564"/>
    </row>
    <row r="134" spans="2:37" hidden="1" thickBot="1">
      <c r="B134" s="2962"/>
      <c r="C134" s="2146">
        <v>3.3</v>
      </c>
      <c r="D134" s="2145" t="s">
        <v>1060</v>
      </c>
      <c r="E134" s="1402"/>
      <c r="F134" s="1402"/>
      <c r="G134" s="1402"/>
      <c r="H134" s="2851"/>
      <c r="I134" s="3126"/>
      <c r="J134" s="3127"/>
      <c r="K134" s="3127"/>
      <c r="L134" s="3127"/>
      <c r="M134" s="3127"/>
      <c r="N134" s="3127"/>
      <c r="O134" s="3127"/>
      <c r="P134" s="3128"/>
      <c r="Q134" s="2063">
        <f t="shared" si="13"/>
        <v>0</v>
      </c>
      <c r="R134" s="2869">
        <f t="shared" si="17"/>
        <v>0</v>
      </c>
      <c r="S134" s="2907">
        <f t="shared" si="14"/>
        <v>0</v>
      </c>
      <c r="T134" s="2961">
        <f t="shared" si="18"/>
        <v>0</v>
      </c>
      <c r="U134" s="2870"/>
      <c r="V134" s="2788"/>
      <c r="W134" s="1666">
        <f>採点LR1!F103</f>
        <v>0</v>
      </c>
      <c r="X134" s="1845"/>
      <c r="Z134" s="1"/>
      <c r="AA134" s="1658">
        <f>重み!D134</f>
        <v>0</v>
      </c>
      <c r="AB134" s="1"/>
      <c r="AC134" s="1658">
        <f>重み!E134</f>
        <v>0</v>
      </c>
      <c r="AD134" s="447"/>
      <c r="AE134" s="434"/>
      <c r="AF134" s="442">
        <f>重み!M134</f>
        <v>0</v>
      </c>
      <c r="AG134" s="182"/>
      <c r="AH134" s="442">
        <f>重み!N134</f>
        <v>0</v>
      </c>
      <c r="AI134" s="2563"/>
      <c r="AJ134" s="2563"/>
      <c r="AK134" s="2564"/>
    </row>
    <row r="135" spans="2:37" hidden="1" thickBot="1">
      <c r="B135" s="2962"/>
      <c r="C135" s="2146">
        <v>3.4</v>
      </c>
      <c r="D135" s="2145" t="s">
        <v>1061</v>
      </c>
      <c r="E135" s="1402"/>
      <c r="F135" s="1402"/>
      <c r="G135" s="1402"/>
      <c r="H135" s="2851"/>
      <c r="I135" s="3126"/>
      <c r="J135" s="3127"/>
      <c r="K135" s="3127"/>
      <c r="L135" s="3127"/>
      <c r="M135" s="3127"/>
      <c r="N135" s="3127"/>
      <c r="O135" s="3127"/>
      <c r="P135" s="3128"/>
      <c r="Q135" s="2063">
        <f t="shared" si="13"/>
        <v>0</v>
      </c>
      <c r="R135" s="2869">
        <f t="shared" si="17"/>
        <v>0</v>
      </c>
      <c r="S135" s="2907">
        <f t="shared" si="14"/>
        <v>0</v>
      </c>
      <c r="T135" s="2961">
        <f t="shared" si="18"/>
        <v>0</v>
      </c>
      <c r="U135" s="2870"/>
      <c r="V135" s="2788"/>
      <c r="W135" s="1841"/>
      <c r="X135" s="1837"/>
      <c r="Z135" s="1"/>
      <c r="AA135" s="1658">
        <f>重み!D135</f>
        <v>0</v>
      </c>
      <c r="AB135" s="1"/>
      <c r="AC135" s="1658">
        <f>重み!E135</f>
        <v>0</v>
      </c>
      <c r="AD135" s="447"/>
      <c r="AE135" s="434"/>
      <c r="AF135" s="442">
        <f>重み!M135</f>
        <v>0</v>
      </c>
      <c r="AG135" s="182"/>
      <c r="AH135" s="442">
        <f>重み!N135</f>
        <v>0</v>
      </c>
      <c r="AI135" s="2563"/>
      <c r="AJ135" s="2563"/>
      <c r="AK135" s="2564"/>
    </row>
    <row r="136" spans="2:37" hidden="1" thickBot="1">
      <c r="B136" s="2962"/>
      <c r="C136" s="2146">
        <v>3.5</v>
      </c>
      <c r="D136" s="2145" t="s">
        <v>1062</v>
      </c>
      <c r="E136" s="1402"/>
      <c r="F136" s="1402"/>
      <c r="G136" s="1402"/>
      <c r="H136" s="2851"/>
      <c r="I136" s="3126"/>
      <c r="J136" s="3127"/>
      <c r="K136" s="3127"/>
      <c r="L136" s="3127"/>
      <c r="M136" s="3127"/>
      <c r="N136" s="3127"/>
      <c r="O136" s="3127"/>
      <c r="P136" s="3128"/>
      <c r="Q136" s="2063">
        <f t="shared" si="13"/>
        <v>0</v>
      </c>
      <c r="R136" s="2963">
        <f t="shared" si="17"/>
        <v>0</v>
      </c>
      <c r="S136" s="2907">
        <f t="shared" si="14"/>
        <v>0</v>
      </c>
      <c r="T136" s="2961">
        <f t="shared" si="18"/>
        <v>0</v>
      </c>
      <c r="U136" s="2870"/>
      <c r="V136" s="2788"/>
      <c r="W136" s="1842"/>
      <c r="X136" s="1837"/>
      <c r="Z136" s="1"/>
      <c r="AA136" s="1658">
        <f>重み!D136</f>
        <v>0</v>
      </c>
      <c r="AB136" s="1"/>
      <c r="AC136" s="1658">
        <f>重み!E136</f>
        <v>0</v>
      </c>
      <c r="AD136" s="447"/>
      <c r="AE136" s="434"/>
      <c r="AF136" s="442">
        <f>重み!M136</f>
        <v>0</v>
      </c>
      <c r="AG136" s="182"/>
      <c r="AH136" s="442">
        <f>重み!N136</f>
        <v>0</v>
      </c>
      <c r="AI136" s="2563"/>
      <c r="AJ136" s="2563"/>
      <c r="AK136" s="2564"/>
    </row>
    <row r="137" spans="2:37" hidden="1" thickBot="1">
      <c r="B137" s="2964"/>
      <c r="C137" s="2146">
        <v>3.6</v>
      </c>
      <c r="D137" s="2145" t="s">
        <v>1608</v>
      </c>
      <c r="E137" s="1402"/>
      <c r="F137" s="1402"/>
      <c r="G137" s="1402"/>
      <c r="H137" s="2851"/>
      <c r="I137" s="3138"/>
      <c r="J137" s="3139"/>
      <c r="K137" s="3139"/>
      <c r="L137" s="3139"/>
      <c r="M137" s="3139"/>
      <c r="N137" s="3139"/>
      <c r="O137" s="3139"/>
      <c r="P137" s="3140"/>
      <c r="Q137" s="2143">
        <f t="shared" si="13"/>
        <v>0</v>
      </c>
      <c r="R137" s="2965">
        <f t="shared" si="17"/>
        <v>0</v>
      </c>
      <c r="S137" s="2966">
        <f t="shared" si="14"/>
        <v>0</v>
      </c>
      <c r="T137" s="2961">
        <f t="shared" si="18"/>
        <v>0</v>
      </c>
      <c r="U137" s="2870"/>
      <c r="V137" s="2788"/>
      <c r="W137" s="1667"/>
      <c r="X137" s="1845"/>
      <c r="Z137" s="1"/>
      <c r="AA137" s="1658">
        <f>重み!D137</f>
        <v>0</v>
      </c>
      <c r="AB137" s="1"/>
      <c r="AC137" s="1658">
        <f>重み!E137</f>
        <v>0</v>
      </c>
      <c r="AD137" s="447"/>
      <c r="AE137" s="434"/>
      <c r="AF137" s="442">
        <f>重み!M137</f>
        <v>0</v>
      </c>
      <c r="AG137" s="182"/>
      <c r="AH137" s="442">
        <f>重み!N137</f>
        <v>0</v>
      </c>
      <c r="AI137" s="2563"/>
      <c r="AJ137" s="2563"/>
      <c r="AK137" s="2564"/>
    </row>
    <row r="138" spans="2:37" ht="13.5">
      <c r="B138" s="2957">
        <v>4</v>
      </c>
      <c r="C138" s="2058" t="s">
        <v>1063</v>
      </c>
      <c r="D138" s="2045"/>
      <c r="E138" s="2045"/>
      <c r="F138" s="2045"/>
      <c r="G138" s="2045"/>
      <c r="H138" s="2835"/>
      <c r="I138" s="2836"/>
      <c r="J138" s="2837"/>
      <c r="K138" s="2837"/>
      <c r="L138" s="2837"/>
      <c r="M138" s="2837"/>
      <c r="N138" s="2837"/>
      <c r="O138" s="2837"/>
      <c r="P138" s="2838"/>
      <c r="Q138" s="2878">
        <f t="shared" si="13"/>
        <v>3</v>
      </c>
      <c r="R138" s="2860">
        <f t="shared" si="17"/>
        <v>0.2</v>
      </c>
      <c r="S138" s="2933">
        <f t="shared" si="14"/>
        <v>0</v>
      </c>
      <c r="T138" s="2862">
        <f t="shared" ref="T138:T139" si="22">AC138</f>
        <v>0</v>
      </c>
      <c r="U138" s="2863">
        <f>ROUNDDOWN(AD138,1)</f>
        <v>3</v>
      </c>
      <c r="V138" s="2788"/>
      <c r="W138" s="460"/>
      <c r="X138" s="1837"/>
      <c r="Z138" s="1833">
        <f>Z139*AA139+Z142*AA142</f>
        <v>3</v>
      </c>
      <c r="AA138" s="1658">
        <f>重み!D138</f>
        <v>0.2</v>
      </c>
      <c r="AB138" s="1833">
        <f>AB139*AC139+AB142*AC142</f>
        <v>0</v>
      </c>
      <c r="AC138" s="451">
        <f>SUM(AC139,AC142)</f>
        <v>0</v>
      </c>
      <c r="AD138" s="447">
        <f>IF(AB138=0,Z138,Z138*AF$6+AB138*AH$6)</f>
        <v>3</v>
      </c>
      <c r="AE138" s="434"/>
      <c r="AF138" s="442">
        <f>重み!M138</f>
        <v>0.2</v>
      </c>
      <c r="AG138" s="182"/>
      <c r="AH138" s="451">
        <f>SUM(AH139,AH142)</f>
        <v>0</v>
      </c>
      <c r="AI138" s="2563"/>
      <c r="AJ138" s="2563"/>
      <c r="AK138" s="2564"/>
    </row>
    <row r="139" spans="2:37" ht="14.25" customHeight="1" thickBot="1">
      <c r="B139" s="2879"/>
      <c r="C139" s="2068"/>
      <c r="D139" s="2129" t="s">
        <v>860</v>
      </c>
      <c r="E139" s="2107"/>
      <c r="F139" s="2107"/>
      <c r="G139" s="2107"/>
      <c r="H139" s="2855"/>
      <c r="I139" s="2875"/>
      <c r="J139" s="2876"/>
      <c r="K139" s="2876"/>
      <c r="L139" s="2876"/>
      <c r="M139" s="2876"/>
      <c r="N139" s="2876"/>
      <c r="O139" s="2876"/>
      <c r="P139" s="2877"/>
      <c r="Q139" s="2885">
        <f t="shared" ref="Q139:Q193" si="23">ROUNDDOWN(Z139,1)</f>
        <v>3</v>
      </c>
      <c r="R139" s="2840">
        <f t="shared" si="17"/>
        <v>1</v>
      </c>
      <c r="S139" s="2966">
        <f t="shared" ref="S139:S194" si="24">ROUNDDOWN(AB139,1)</f>
        <v>0</v>
      </c>
      <c r="T139" s="2841">
        <f t="shared" si="22"/>
        <v>0</v>
      </c>
      <c r="U139" s="2842"/>
      <c r="V139" s="2788"/>
      <c r="W139" s="460"/>
      <c r="X139" s="1837"/>
      <c r="Z139" s="450">
        <f>SUMPRODUCT(Z140:Z141,AA140:AA141)</f>
        <v>3</v>
      </c>
      <c r="AA139" s="1658">
        <f>重み!D139</f>
        <v>1</v>
      </c>
      <c r="AB139" s="450">
        <f>SUMPRODUCT(AB140:AB141,AC140:AC141)</f>
        <v>0</v>
      </c>
      <c r="AC139" s="1658">
        <f>重み!E139</f>
        <v>0</v>
      </c>
      <c r="AD139" s="447"/>
      <c r="AE139" s="434"/>
      <c r="AF139" s="442">
        <f>重み!M139</f>
        <v>1</v>
      </c>
      <c r="AG139" s="182"/>
      <c r="AH139" s="442">
        <f>重み!N139</f>
        <v>0</v>
      </c>
      <c r="AI139" s="2563"/>
      <c r="AJ139" s="2563"/>
      <c r="AK139" s="2564"/>
    </row>
    <row r="140" spans="2:37" ht="14.25" customHeight="1">
      <c r="B140" s="2879"/>
      <c r="C140" s="2127"/>
      <c r="D140" s="993">
        <v>4.0999999999999996</v>
      </c>
      <c r="E140" s="1655" t="s">
        <v>849</v>
      </c>
      <c r="F140" s="1655"/>
      <c r="G140" s="1655"/>
      <c r="H140" s="2868"/>
      <c r="I140" s="3126">
        <f>採点LR1!G123</f>
        <v>0</v>
      </c>
      <c r="J140" s="3127"/>
      <c r="K140" s="3127"/>
      <c r="L140" s="3127"/>
      <c r="M140" s="3127"/>
      <c r="N140" s="3127"/>
      <c r="O140" s="3127"/>
      <c r="P140" s="3128"/>
      <c r="Q140" s="2149">
        <f t="shared" si="23"/>
        <v>3</v>
      </c>
      <c r="R140" s="2906">
        <f t="shared" si="17"/>
        <v>0.5</v>
      </c>
      <c r="S140" s="2967">
        <f t="shared" si="24"/>
        <v>0</v>
      </c>
      <c r="T140" s="2841">
        <f t="shared" si="18"/>
        <v>0</v>
      </c>
      <c r="U140" s="2842"/>
      <c r="V140" s="2788"/>
      <c r="W140" s="1665">
        <f>採点LR1!F117</f>
        <v>3</v>
      </c>
      <c r="X140" s="1845"/>
      <c r="Z140" s="453">
        <f>IF($Z$3=4,#REF!,W140)</f>
        <v>3</v>
      </c>
      <c r="AA140" s="1658">
        <f>重み!D140</f>
        <v>0.5</v>
      </c>
      <c r="AB140" s="453">
        <f>IF($Z$3=4,#REF!,X140)</f>
        <v>0</v>
      </c>
      <c r="AC140" s="1658">
        <f>重み!E140</f>
        <v>0</v>
      </c>
      <c r="AD140" s="447"/>
      <c r="AE140" s="434"/>
      <c r="AF140" s="442">
        <f>重み!M140</f>
        <v>0.5</v>
      </c>
      <c r="AG140" s="182"/>
      <c r="AH140" s="442"/>
      <c r="AI140" s="2563"/>
      <c r="AJ140" s="2563"/>
      <c r="AK140" s="2564"/>
    </row>
    <row r="141" spans="2:37" ht="14.25" customHeight="1" thickBot="1">
      <c r="B141" s="2879"/>
      <c r="C141" s="2125"/>
      <c r="D141" s="993">
        <v>4.2</v>
      </c>
      <c r="E141" s="1655" t="s">
        <v>857</v>
      </c>
      <c r="F141" s="1655"/>
      <c r="G141" s="1655"/>
      <c r="H141" s="2868"/>
      <c r="I141" s="3126">
        <f>採点LR1!G154</f>
        <v>0</v>
      </c>
      <c r="J141" s="3127"/>
      <c r="K141" s="3127"/>
      <c r="L141" s="3127"/>
      <c r="M141" s="3127"/>
      <c r="N141" s="3127"/>
      <c r="O141" s="3127"/>
      <c r="P141" s="3128"/>
      <c r="Q141" s="2143">
        <f t="shared" si="23"/>
        <v>3</v>
      </c>
      <c r="R141" s="2906">
        <f t="shared" si="17"/>
        <v>0.5</v>
      </c>
      <c r="S141" s="2967">
        <f t="shared" si="24"/>
        <v>0</v>
      </c>
      <c r="T141" s="2841">
        <f t="shared" si="18"/>
        <v>0</v>
      </c>
      <c r="U141" s="2842"/>
      <c r="V141" s="2788"/>
      <c r="W141" s="1666">
        <f>採点LR1!F148</f>
        <v>3</v>
      </c>
      <c r="X141" s="1845"/>
      <c r="Z141" s="453">
        <f>IF($Z$3=4,#REF!,W141)</f>
        <v>3</v>
      </c>
      <c r="AA141" s="1658">
        <f>重み!D141</f>
        <v>0.5</v>
      </c>
      <c r="AB141" s="453">
        <f>IF($Z$3=4,#REF!,X141)</f>
        <v>0</v>
      </c>
      <c r="AC141" s="1658">
        <f>重み!E141</f>
        <v>0</v>
      </c>
      <c r="AD141" s="447"/>
      <c r="AE141" s="434"/>
      <c r="AF141" s="442">
        <f>重み!M141</f>
        <v>0.5</v>
      </c>
      <c r="AG141" s="182"/>
      <c r="AH141" s="442"/>
      <c r="AI141" s="2563"/>
      <c r="AJ141" s="2563"/>
      <c r="AK141" s="2564"/>
    </row>
    <row r="142" spans="2:37" ht="14.25" customHeight="1" thickBot="1">
      <c r="B142" s="2879"/>
      <c r="C142" s="2068"/>
      <c r="D142" s="2129" t="s">
        <v>861</v>
      </c>
      <c r="E142" s="2107"/>
      <c r="F142" s="2107"/>
      <c r="G142" s="2107"/>
      <c r="H142" s="2855"/>
      <c r="I142" s="2836"/>
      <c r="J142" s="2837"/>
      <c r="K142" s="2837"/>
      <c r="L142" s="2837"/>
      <c r="M142" s="2837"/>
      <c r="N142" s="2837"/>
      <c r="O142" s="2837"/>
      <c r="P142" s="2838"/>
      <c r="Q142" s="2885">
        <f t="shared" si="23"/>
        <v>0</v>
      </c>
      <c r="R142" s="2840">
        <f>AA142</f>
        <v>0</v>
      </c>
      <c r="S142" s="2966">
        <f t="shared" si="24"/>
        <v>0</v>
      </c>
      <c r="T142" s="2841">
        <f t="shared" ref="T142" si="25">AC142</f>
        <v>0</v>
      </c>
      <c r="U142" s="2842"/>
      <c r="V142" s="2788"/>
      <c r="W142" s="460"/>
      <c r="X142" s="1837"/>
      <c r="Z142" s="450">
        <f>SUMPRODUCT(Z143:Z144,AA143:AA144)</f>
        <v>0</v>
      </c>
      <c r="AA142" s="1658">
        <f>重み!D142</f>
        <v>0</v>
      </c>
      <c r="AB142" s="450">
        <f>SUMPRODUCT(AB143:AB144,AC143:AC144)</f>
        <v>0</v>
      </c>
      <c r="AC142" s="1658">
        <f>重み!E142</f>
        <v>0</v>
      </c>
      <c r="AD142" s="447"/>
      <c r="AE142" s="434"/>
      <c r="AF142" s="442">
        <f>重み!M142</f>
        <v>0</v>
      </c>
      <c r="AG142" s="182"/>
      <c r="AH142" s="442">
        <f>重み!N142</f>
        <v>0</v>
      </c>
      <c r="AI142" s="2563"/>
      <c r="AJ142" s="2563"/>
      <c r="AK142" s="2564"/>
    </row>
    <row r="143" spans="2:37" ht="14.25" customHeight="1">
      <c r="B143" s="2879"/>
      <c r="C143" s="2127"/>
      <c r="D143" s="993">
        <v>4.0999999999999996</v>
      </c>
      <c r="E143" s="1655" t="s">
        <v>849</v>
      </c>
      <c r="F143" s="1655"/>
      <c r="G143" s="1655"/>
      <c r="H143" s="2868"/>
      <c r="I143" s="3126">
        <f>採点LR1!L123</f>
        <v>0</v>
      </c>
      <c r="J143" s="3127"/>
      <c r="K143" s="3127"/>
      <c r="L143" s="3127"/>
      <c r="M143" s="3127"/>
      <c r="N143" s="3127"/>
      <c r="O143" s="3127"/>
      <c r="P143" s="3128"/>
      <c r="Q143" s="2149">
        <f t="shared" si="23"/>
        <v>3</v>
      </c>
      <c r="R143" s="2906">
        <f t="shared" si="17"/>
        <v>0</v>
      </c>
      <c r="S143" s="2967">
        <f t="shared" si="24"/>
        <v>0</v>
      </c>
      <c r="T143" s="2841">
        <f t="shared" si="18"/>
        <v>0</v>
      </c>
      <c r="U143" s="2842"/>
      <c r="V143" s="2788"/>
      <c r="W143" s="1665">
        <f>採点LR1!K117</f>
        <v>3</v>
      </c>
      <c r="X143" s="1837"/>
      <c r="Z143" s="453">
        <f>IF($Z$3=4,#REF!,W143)</f>
        <v>3</v>
      </c>
      <c r="AA143" s="1658">
        <f>重み!D143</f>
        <v>0</v>
      </c>
      <c r="AB143" s="453">
        <f>IF($Z$3=4,#REF!,X143)</f>
        <v>0</v>
      </c>
      <c r="AC143" s="1658">
        <f>重み!E143</f>
        <v>0</v>
      </c>
      <c r="AD143" s="447"/>
      <c r="AE143" s="434"/>
      <c r="AF143" s="442">
        <f>重み!M143</f>
        <v>0</v>
      </c>
      <c r="AG143" s="182"/>
      <c r="AH143" s="442"/>
      <c r="AI143" s="2563"/>
      <c r="AJ143" s="2563"/>
      <c r="AK143" s="2564"/>
    </row>
    <row r="144" spans="2:37" ht="14.25" customHeight="1" thickBot="1">
      <c r="B144" s="2968"/>
      <c r="C144" s="2125"/>
      <c r="D144" s="993">
        <v>4.2</v>
      </c>
      <c r="E144" s="1655" t="s">
        <v>857</v>
      </c>
      <c r="F144" s="1655"/>
      <c r="G144" s="1655"/>
      <c r="H144" s="2868"/>
      <c r="I144" s="3126">
        <f>採点LR1!L154</f>
        <v>0</v>
      </c>
      <c r="J144" s="3127"/>
      <c r="K144" s="3127"/>
      <c r="L144" s="3127"/>
      <c r="M144" s="3127"/>
      <c r="N144" s="3127"/>
      <c r="O144" s="3127"/>
      <c r="P144" s="3128"/>
      <c r="Q144" s="2143">
        <f t="shared" si="23"/>
        <v>3</v>
      </c>
      <c r="R144" s="2906">
        <f t="shared" si="17"/>
        <v>0</v>
      </c>
      <c r="S144" s="2967">
        <f t="shared" si="24"/>
        <v>0</v>
      </c>
      <c r="T144" s="2841">
        <f t="shared" si="18"/>
        <v>0</v>
      </c>
      <c r="U144" s="2842"/>
      <c r="V144" s="2788"/>
      <c r="W144" s="1666">
        <f>採点LR1!K148</f>
        <v>3</v>
      </c>
      <c r="X144" s="1837"/>
      <c r="Z144" s="453">
        <f>IF($Z$3=4,#REF!,W144)</f>
        <v>3</v>
      </c>
      <c r="AA144" s="1658">
        <f>重み!D144</f>
        <v>0</v>
      </c>
      <c r="AB144" s="453">
        <f>IF($Z$3=4,#REF!,X144)</f>
        <v>0</v>
      </c>
      <c r="AC144" s="1658">
        <f>重み!E144</f>
        <v>0</v>
      </c>
      <c r="AD144" s="447"/>
      <c r="AE144" s="434"/>
      <c r="AF144" s="442">
        <f>重み!M144</f>
        <v>0</v>
      </c>
      <c r="AG144" s="182"/>
      <c r="AH144" s="442"/>
      <c r="AI144" s="2563"/>
      <c r="AJ144" s="2563"/>
      <c r="AK144" s="2564"/>
    </row>
    <row r="145" spans="2:37" ht="14.25" customHeight="1" thickBot="1">
      <c r="B145" s="2887" t="s">
        <v>1610</v>
      </c>
      <c r="C145" s="2087" t="s">
        <v>1611</v>
      </c>
      <c r="D145" s="2087"/>
      <c r="E145" s="2087"/>
      <c r="F145" s="2087"/>
      <c r="G145" s="2087"/>
      <c r="H145" s="2923"/>
      <c r="I145" s="2924"/>
      <c r="J145" s="2925"/>
      <c r="K145" s="2925"/>
      <c r="L145" s="2925"/>
      <c r="M145" s="2925"/>
      <c r="N145" s="2925"/>
      <c r="O145" s="2925"/>
      <c r="P145" s="2926"/>
      <c r="Q145" s="2890">
        <f t="shared" si="23"/>
        <v>0</v>
      </c>
      <c r="R145" s="2891" t="e">
        <f t="shared" si="17"/>
        <v>#VALUE!</v>
      </c>
      <c r="S145" s="2969">
        <f t="shared" si="24"/>
        <v>0</v>
      </c>
      <c r="T145" s="2893">
        <f t="shared" si="18"/>
        <v>0</v>
      </c>
      <c r="U145" s="2894">
        <f>ROUNDDOWN(AD145,1)</f>
        <v>3</v>
      </c>
      <c r="V145" s="2788"/>
      <c r="W145" s="1839"/>
      <c r="X145" s="1837"/>
      <c r="Z145" s="454"/>
      <c r="AA145" s="448" t="e">
        <f>重み!D145</f>
        <v>#VALUE!</v>
      </c>
      <c r="AB145" s="454"/>
      <c r="AC145" s="448"/>
      <c r="AD145" s="1858">
        <f>AD146*AA146+AD151*AA151+AA166*AD166</f>
        <v>3.0000000000000004</v>
      </c>
      <c r="AE145" s="434"/>
      <c r="AF145" s="442">
        <f>重み!M145</f>
        <v>0.3</v>
      </c>
      <c r="AG145" s="182"/>
      <c r="AH145" s="442">
        <f>重み!N145</f>
        <v>0</v>
      </c>
      <c r="AI145" s="442" t="s">
        <v>3112</v>
      </c>
      <c r="AJ145" s="442" t="s">
        <v>3360</v>
      </c>
      <c r="AK145" s="182"/>
    </row>
    <row r="146" spans="2:37" ht="14.25" customHeight="1" thickBot="1">
      <c r="B146" s="2970">
        <v>1</v>
      </c>
      <c r="C146" s="2045" t="s">
        <v>1065</v>
      </c>
      <c r="D146" s="2045"/>
      <c r="E146" s="2045"/>
      <c r="F146" s="2045"/>
      <c r="G146" s="2045"/>
      <c r="H146" s="2835"/>
      <c r="I146" s="2836"/>
      <c r="J146" s="2837"/>
      <c r="K146" s="2837"/>
      <c r="L146" s="2837"/>
      <c r="M146" s="2837"/>
      <c r="N146" s="2837"/>
      <c r="O146" s="2837"/>
      <c r="P146" s="2838"/>
      <c r="Q146" s="2885">
        <f t="shared" si="23"/>
        <v>3</v>
      </c>
      <c r="R146" s="2840">
        <f>AA146</f>
        <v>0.2</v>
      </c>
      <c r="S146" s="2966">
        <f t="shared" si="24"/>
        <v>0</v>
      </c>
      <c r="T146" s="2841">
        <f t="shared" ref="T146" si="26">AC146</f>
        <v>0</v>
      </c>
      <c r="U146" s="2842">
        <f>ROUNDDOWN(AD146,1)</f>
        <v>3</v>
      </c>
      <c r="V146" s="2788"/>
      <c r="W146" s="1842"/>
      <c r="X146" s="1837"/>
      <c r="Z146" s="1833">
        <f>Z147*AA147+Z148*AA148</f>
        <v>3</v>
      </c>
      <c r="AA146" s="1658">
        <f>重み!D146</f>
        <v>0.2</v>
      </c>
      <c r="AB146" s="1833">
        <f>AB147*AC147+AB148*AC148</f>
        <v>0</v>
      </c>
      <c r="AC146" s="451">
        <f>SUM(AC147,AC148)</f>
        <v>0</v>
      </c>
      <c r="AD146" s="447">
        <f>IF(AB146=0,Z146,IF(Z146=0,AB146,Z146*AF$6+AB146*AH$6))</f>
        <v>3</v>
      </c>
      <c r="AE146" s="434"/>
      <c r="AF146" s="442">
        <f>重み!M146</f>
        <v>0.2</v>
      </c>
      <c r="AG146" s="182"/>
      <c r="AH146" s="451">
        <f>SUM(AH147,AH148)</f>
        <v>0</v>
      </c>
      <c r="AI146" s="2563"/>
      <c r="AJ146" s="2563"/>
      <c r="AK146" s="2564"/>
    </row>
    <row r="147" spans="2:37" ht="14.25" customHeight="1" thickBot="1">
      <c r="B147" s="2879"/>
      <c r="C147" s="2069">
        <v>1.1000000000000001</v>
      </c>
      <c r="D147" s="1655" t="s">
        <v>1066</v>
      </c>
      <c r="E147" s="1655"/>
      <c r="F147" s="1655"/>
      <c r="G147" s="1655"/>
      <c r="H147" s="2868"/>
      <c r="I147" s="3134">
        <f>採点LR2!G20</f>
        <v>0</v>
      </c>
      <c r="J147" s="3135"/>
      <c r="K147" s="3135"/>
      <c r="L147" s="3135"/>
      <c r="M147" s="3135"/>
      <c r="N147" s="3135"/>
      <c r="O147" s="3135"/>
      <c r="P147" s="3136"/>
      <c r="Q147" s="2955">
        <f t="shared" si="23"/>
        <v>3</v>
      </c>
      <c r="R147" s="2971">
        <f t="shared" si="17"/>
        <v>0.4</v>
      </c>
      <c r="S147" s="2972">
        <f t="shared" si="24"/>
        <v>0</v>
      </c>
      <c r="T147" s="2867">
        <f t="shared" si="18"/>
        <v>0</v>
      </c>
      <c r="U147" s="2846"/>
      <c r="V147" s="2788"/>
      <c r="W147" s="1665">
        <f>採点LR2!F14</f>
        <v>3</v>
      </c>
      <c r="X147" s="1845"/>
      <c r="Z147" s="1832">
        <f>IF($Z$3=4,#REF!,W147)</f>
        <v>3</v>
      </c>
      <c r="AA147" s="1658">
        <f>重み!D147</f>
        <v>0.4</v>
      </c>
      <c r="AB147" s="1832">
        <f>IF($Z$3=4,#REF!,X147)</f>
        <v>0</v>
      </c>
      <c r="AC147" s="1658">
        <f>重み!E147</f>
        <v>0</v>
      </c>
      <c r="AD147" s="447"/>
      <c r="AE147" s="434"/>
      <c r="AF147" s="442">
        <f>重み!M147</f>
        <v>0.4</v>
      </c>
      <c r="AG147" s="182"/>
      <c r="AH147" s="442">
        <f>重み!N147</f>
        <v>0</v>
      </c>
      <c r="AI147" s="2563"/>
      <c r="AJ147" s="2563"/>
      <c r="AK147" s="2564"/>
    </row>
    <row r="148" spans="2:37" ht="14.25" customHeight="1" thickBot="1">
      <c r="B148" s="2879"/>
      <c r="C148" s="2130">
        <v>1.2</v>
      </c>
      <c r="D148" s="2129" t="s">
        <v>1067</v>
      </c>
      <c r="E148" s="2107"/>
      <c r="F148" s="2107"/>
      <c r="G148" s="2107"/>
      <c r="H148" s="2855"/>
      <c r="I148" s="2836"/>
      <c r="J148" s="2837"/>
      <c r="K148" s="2837"/>
      <c r="L148" s="2837"/>
      <c r="M148" s="2837"/>
      <c r="N148" s="2837"/>
      <c r="O148" s="2837"/>
      <c r="P148" s="2838"/>
      <c r="Q148" s="2885">
        <f t="shared" si="23"/>
        <v>3</v>
      </c>
      <c r="R148" s="2840">
        <f>AA148</f>
        <v>0.6</v>
      </c>
      <c r="S148" s="2966">
        <f t="shared" si="24"/>
        <v>0</v>
      </c>
      <c r="T148" s="2841">
        <f t="shared" ref="T148" si="27">AC148</f>
        <v>0</v>
      </c>
      <c r="U148" s="2842"/>
      <c r="V148" s="2788"/>
      <c r="W148" s="461"/>
      <c r="X148" s="1837"/>
      <c r="Z148" s="450">
        <f>SUMPRODUCT(Z149:Z150,AA149:AA150)</f>
        <v>2.9999999999999996</v>
      </c>
      <c r="AA148" s="1658">
        <f>重み!D148</f>
        <v>0.6</v>
      </c>
      <c r="AB148" s="450">
        <f>SUMPRODUCT(AB149:AB150,AC149:AC150)</f>
        <v>0</v>
      </c>
      <c r="AC148" s="1658">
        <f>重み!E148</f>
        <v>0</v>
      </c>
      <c r="AD148" s="447"/>
      <c r="AE148" s="434"/>
      <c r="AF148" s="442">
        <f>重み!M148</f>
        <v>0.6</v>
      </c>
      <c r="AG148" s="182"/>
      <c r="AH148" s="442">
        <f>重み!N148</f>
        <v>0</v>
      </c>
      <c r="AI148" s="2563"/>
      <c r="AJ148" s="2563"/>
      <c r="AK148" s="2564"/>
    </row>
    <row r="149" spans="2:37" ht="14.25" customHeight="1">
      <c r="B149" s="2879"/>
      <c r="C149" s="2127"/>
      <c r="D149" s="993">
        <v>1</v>
      </c>
      <c r="E149" s="1655" t="s">
        <v>1068</v>
      </c>
      <c r="F149" s="1655"/>
      <c r="G149" s="1655"/>
      <c r="H149" s="2868"/>
      <c r="I149" s="3126">
        <f>採点LR2!G31</f>
        <v>0</v>
      </c>
      <c r="J149" s="3127"/>
      <c r="K149" s="3127"/>
      <c r="L149" s="3127"/>
      <c r="M149" s="3127"/>
      <c r="N149" s="3127"/>
      <c r="O149" s="3127"/>
      <c r="P149" s="3128"/>
      <c r="Q149" s="2149">
        <f t="shared" si="23"/>
        <v>3</v>
      </c>
      <c r="R149" s="2906">
        <f t="shared" ref="R149:R187" si="28">AA149</f>
        <v>0.7</v>
      </c>
      <c r="S149" s="2967">
        <f t="shared" si="24"/>
        <v>0</v>
      </c>
      <c r="T149" s="2841">
        <f t="shared" ref="T149:T189" si="29">AC149</f>
        <v>0</v>
      </c>
      <c r="U149" s="2842"/>
      <c r="V149" s="2788"/>
      <c r="W149" s="456">
        <f>採点LR2!F25</f>
        <v>3</v>
      </c>
      <c r="X149" s="1845"/>
      <c r="Z149" s="453">
        <f>IF($Z$3=4,#REF!,W149)</f>
        <v>3</v>
      </c>
      <c r="AA149" s="1658">
        <f>重み!D149</f>
        <v>0.7</v>
      </c>
      <c r="AB149" s="453">
        <f>IF($Z$3=4,#REF!,X149)</f>
        <v>0</v>
      </c>
      <c r="AC149" s="1658">
        <f>重み!E149</f>
        <v>0</v>
      </c>
      <c r="AD149" s="447"/>
      <c r="AE149" s="434"/>
      <c r="AF149" s="442">
        <f>重み!M149</f>
        <v>0.7</v>
      </c>
      <c r="AG149" s="182"/>
      <c r="AH149" s="442">
        <f>重み!N149</f>
        <v>0</v>
      </c>
      <c r="AI149" s="2563"/>
      <c r="AJ149" s="2563"/>
      <c r="AK149" s="2564"/>
    </row>
    <row r="150" spans="2:37" ht="14.25" customHeight="1" thickBot="1">
      <c r="B150" s="2968"/>
      <c r="C150" s="2125"/>
      <c r="D150" s="993">
        <v>2</v>
      </c>
      <c r="E150" s="3125" t="s">
        <v>1069</v>
      </c>
      <c r="F150" s="3116"/>
      <c r="G150" s="3116"/>
      <c r="H150" s="3137"/>
      <c r="I150" s="3126">
        <f>採点LR2!L31</f>
        <v>0</v>
      </c>
      <c r="J150" s="3127"/>
      <c r="K150" s="3127"/>
      <c r="L150" s="3127"/>
      <c r="M150" s="3127"/>
      <c r="N150" s="3127"/>
      <c r="O150" s="3127"/>
      <c r="P150" s="3128"/>
      <c r="Q150" s="2143">
        <f t="shared" si="23"/>
        <v>3</v>
      </c>
      <c r="R150" s="2906">
        <f t="shared" si="28"/>
        <v>0.3</v>
      </c>
      <c r="S150" s="2967">
        <f t="shared" si="24"/>
        <v>0</v>
      </c>
      <c r="T150" s="2841">
        <f t="shared" si="29"/>
        <v>0</v>
      </c>
      <c r="U150" s="2842"/>
      <c r="V150" s="2788"/>
      <c r="W150" s="456">
        <f>採点LR2!K25</f>
        <v>3</v>
      </c>
      <c r="X150" s="1845"/>
      <c r="Z150" s="453">
        <f>IF($Z$3=4,#REF!,W150)</f>
        <v>3</v>
      </c>
      <c r="AA150" s="1658">
        <f>重み!D150</f>
        <v>0.3</v>
      </c>
      <c r="AB150" s="453">
        <f>IF($Z$3=4,#REF!,X150)</f>
        <v>0</v>
      </c>
      <c r="AC150" s="1658">
        <f>重み!E150</f>
        <v>0</v>
      </c>
      <c r="AD150" s="447"/>
      <c r="AE150" s="434"/>
      <c r="AF150" s="442">
        <f>重み!M150</f>
        <v>0.3</v>
      </c>
      <c r="AG150" s="182"/>
      <c r="AH150" s="442">
        <f>重み!N150</f>
        <v>0</v>
      </c>
      <c r="AI150" s="2563"/>
      <c r="AJ150" s="2563"/>
      <c r="AK150" s="2564"/>
    </row>
    <row r="151" spans="2:37" ht="14.25" customHeight="1" thickBot="1">
      <c r="B151" s="2957">
        <v>2</v>
      </c>
      <c r="C151" s="2116" t="s">
        <v>1070</v>
      </c>
      <c r="D151" s="2116"/>
      <c r="E151" s="2116"/>
      <c r="F151" s="2116"/>
      <c r="G151" s="2116"/>
      <c r="H151" s="2855"/>
      <c r="I151" s="2856"/>
      <c r="J151" s="2857"/>
      <c r="K151" s="2857"/>
      <c r="L151" s="2857"/>
      <c r="M151" s="2857"/>
      <c r="N151" s="2857"/>
      <c r="O151" s="2857"/>
      <c r="P151" s="2858"/>
      <c r="Q151" s="2885">
        <f t="shared" si="23"/>
        <v>3</v>
      </c>
      <c r="R151" s="2860">
        <f>AA151</f>
        <v>0.6</v>
      </c>
      <c r="S151" s="2973">
        <f t="shared" si="24"/>
        <v>0</v>
      </c>
      <c r="T151" s="2862">
        <f t="shared" si="29"/>
        <v>0</v>
      </c>
      <c r="U151" s="2863">
        <f>ROUNDDOWN(AD151,1)</f>
        <v>3</v>
      </c>
      <c r="V151" s="2788"/>
      <c r="W151" s="461"/>
      <c r="X151" s="1837"/>
      <c r="Z151" s="1833">
        <f>SUMPRODUCT(Z152:Z158,AA152:AA158)+Z165*AA165</f>
        <v>3.0000000000000004</v>
      </c>
      <c r="AA151" s="1658">
        <f>重み!D151</f>
        <v>0.6</v>
      </c>
      <c r="AB151" s="1833">
        <f>SUMPRODUCT(AB152:AB158,AC152:AC158)+AB165*AC165</f>
        <v>0</v>
      </c>
      <c r="AC151" s="451">
        <f>SUM(AC152:AC158)+AC165</f>
        <v>0</v>
      </c>
      <c r="AD151" s="447">
        <f>IF(AB151=0,Z151,IF(Z151=0,AB151,Z151*AF$6+AB151*AH$6))</f>
        <v>3.0000000000000004</v>
      </c>
      <c r="AE151" s="434"/>
      <c r="AF151" s="442">
        <f>重み!M151</f>
        <v>0.6</v>
      </c>
      <c r="AG151" s="182"/>
      <c r="AH151" s="451">
        <f>SUM(AH152:AH158)+AH165</f>
        <v>0</v>
      </c>
      <c r="AI151" s="2563"/>
      <c r="AJ151" s="2563"/>
      <c r="AK151" s="2564"/>
    </row>
    <row r="152" spans="2:37" ht="14.25" customHeight="1">
      <c r="B152" s="2794"/>
      <c r="C152" s="2069">
        <v>2.1</v>
      </c>
      <c r="D152" s="2034" t="s">
        <v>1071</v>
      </c>
      <c r="E152" s="1655"/>
      <c r="F152" s="1655"/>
      <c r="G152" s="1655"/>
      <c r="H152" s="2868"/>
      <c r="I152" s="3134">
        <f>採点LR2!G50</f>
        <v>0</v>
      </c>
      <c r="J152" s="3135"/>
      <c r="K152" s="3135"/>
      <c r="L152" s="3135"/>
      <c r="M152" s="3135"/>
      <c r="N152" s="3135"/>
      <c r="O152" s="3135"/>
      <c r="P152" s="3136"/>
      <c r="Q152" s="2149">
        <f t="shared" si="23"/>
        <v>3</v>
      </c>
      <c r="R152" s="2906">
        <f t="shared" si="28"/>
        <v>0.1</v>
      </c>
      <c r="S152" s="2967">
        <f t="shared" si="24"/>
        <v>0</v>
      </c>
      <c r="T152" s="2841">
        <f t="shared" si="29"/>
        <v>0</v>
      </c>
      <c r="U152" s="2842"/>
      <c r="V152" s="2788"/>
      <c r="W152" s="1715">
        <f>採点LR2!F44</f>
        <v>3</v>
      </c>
      <c r="X152" s="1845"/>
      <c r="Z152" s="1832">
        <f>IF($Z$3=4,#REF!,W152)</f>
        <v>3</v>
      </c>
      <c r="AA152" s="1658">
        <f>重み!D152</f>
        <v>0.1</v>
      </c>
      <c r="AB152" s="1832">
        <f>IF($Z$3=4,#REF!,X152)</f>
        <v>0</v>
      </c>
      <c r="AC152" s="1658">
        <f>重み!E152</f>
        <v>0</v>
      </c>
      <c r="AD152" s="447"/>
      <c r="AE152" s="434"/>
      <c r="AF152" s="442">
        <f>重み!M152</f>
        <v>0.1</v>
      </c>
      <c r="AG152" s="182"/>
      <c r="AH152" s="442">
        <f>重み!N152</f>
        <v>0</v>
      </c>
      <c r="AI152" s="2563"/>
      <c r="AJ152" s="2563"/>
      <c r="AK152" s="2564"/>
    </row>
    <row r="153" spans="2:37" ht="14.25" customHeight="1">
      <c r="B153" s="2881"/>
      <c r="C153" s="2069">
        <v>2.2000000000000002</v>
      </c>
      <c r="D153" s="2034" t="s">
        <v>1072</v>
      </c>
      <c r="E153" s="1655"/>
      <c r="F153" s="1655"/>
      <c r="G153" s="1655"/>
      <c r="H153" s="2868"/>
      <c r="I153" s="3126">
        <f>採点LR2!G67</f>
        <v>0</v>
      </c>
      <c r="J153" s="3127"/>
      <c r="K153" s="3127"/>
      <c r="L153" s="3127"/>
      <c r="M153" s="3127"/>
      <c r="N153" s="3127"/>
      <c r="O153" s="3127"/>
      <c r="P153" s="3128"/>
      <c r="Q153" s="2063">
        <f t="shared" si="23"/>
        <v>3</v>
      </c>
      <c r="R153" s="2906">
        <f t="shared" si="28"/>
        <v>0.2</v>
      </c>
      <c r="S153" s="2967">
        <f t="shared" si="24"/>
        <v>0</v>
      </c>
      <c r="T153" s="2841">
        <f t="shared" si="29"/>
        <v>0</v>
      </c>
      <c r="U153" s="2842"/>
      <c r="V153" s="2788"/>
      <c r="W153" s="463">
        <f>採点LR2!F61</f>
        <v>3</v>
      </c>
      <c r="X153" s="1837"/>
      <c r="Z153" s="1832">
        <f>IF($Z$3=4,#REF!,W153)</f>
        <v>3</v>
      </c>
      <c r="AA153" s="1658">
        <f>重み!D153</f>
        <v>0.2</v>
      </c>
      <c r="AB153" s="1832">
        <f>IF($Z$3=4,#REF!,X153)</f>
        <v>0</v>
      </c>
      <c r="AC153" s="1658">
        <f>重み!E153</f>
        <v>0</v>
      </c>
      <c r="AD153" s="447"/>
      <c r="AE153" s="434"/>
      <c r="AF153" s="442">
        <f>重み!M153</f>
        <v>0.2</v>
      </c>
      <c r="AG153" s="182"/>
      <c r="AH153" s="442">
        <f>重み!N153</f>
        <v>0</v>
      </c>
      <c r="AI153" s="2563"/>
      <c r="AJ153" s="2563"/>
      <c r="AK153" s="2564"/>
    </row>
    <row r="154" spans="2:37" ht="14.25" customHeight="1">
      <c r="B154" s="2879"/>
      <c r="C154" s="2069">
        <v>2.2999999999999998</v>
      </c>
      <c r="D154" s="1655" t="s">
        <v>1073</v>
      </c>
      <c r="E154" s="1655"/>
      <c r="F154" s="1655"/>
      <c r="G154" s="1655"/>
      <c r="H154" s="2868"/>
      <c r="I154" s="3126">
        <f>採点LR2!G77</f>
        <v>0</v>
      </c>
      <c r="J154" s="3127"/>
      <c r="K154" s="3127"/>
      <c r="L154" s="3127"/>
      <c r="M154" s="3127"/>
      <c r="N154" s="3127"/>
      <c r="O154" s="3127"/>
      <c r="P154" s="3128"/>
      <c r="Q154" s="2063">
        <f t="shared" si="23"/>
        <v>3</v>
      </c>
      <c r="R154" s="2906">
        <f t="shared" si="28"/>
        <v>0.2</v>
      </c>
      <c r="S154" s="2967">
        <f t="shared" si="24"/>
        <v>0</v>
      </c>
      <c r="T154" s="2841">
        <f t="shared" si="29"/>
        <v>0</v>
      </c>
      <c r="U154" s="2842"/>
      <c r="V154" s="2788"/>
      <c r="W154" s="462">
        <f>採点LR2!F71</f>
        <v>3</v>
      </c>
      <c r="X154" s="1845"/>
      <c r="Z154" s="1832">
        <f>IF($Z$3=4,#REF!,W154)</f>
        <v>3</v>
      </c>
      <c r="AA154" s="1658">
        <f>重み!D154</f>
        <v>0.2</v>
      </c>
      <c r="AB154" s="1832">
        <f>IF($Z$3=4,#REF!,X154)</f>
        <v>0</v>
      </c>
      <c r="AC154" s="1658">
        <f>重み!E154</f>
        <v>0</v>
      </c>
      <c r="AD154" s="447"/>
      <c r="AE154" s="434"/>
      <c r="AF154" s="442">
        <f>重み!M154</f>
        <v>0.2</v>
      </c>
      <c r="AG154" s="182"/>
      <c r="AH154" s="442">
        <f>重み!N154</f>
        <v>0</v>
      </c>
      <c r="AI154" s="2563"/>
      <c r="AJ154" s="2563"/>
      <c r="AK154" s="2564"/>
    </row>
    <row r="155" spans="2:37" ht="14.25" customHeight="1">
      <c r="B155" s="2879"/>
      <c r="C155" s="2069">
        <v>2.4</v>
      </c>
      <c r="D155" s="3116" t="s">
        <v>51</v>
      </c>
      <c r="E155" s="3117"/>
      <c r="F155" s="3117"/>
      <c r="G155" s="3117"/>
      <c r="H155" s="3137"/>
      <c r="I155" s="3126">
        <f>採点LR2!G93</f>
        <v>0</v>
      </c>
      <c r="J155" s="3127"/>
      <c r="K155" s="3127"/>
      <c r="L155" s="3127"/>
      <c r="M155" s="3127"/>
      <c r="N155" s="3127"/>
      <c r="O155" s="3127"/>
      <c r="P155" s="3128"/>
      <c r="Q155" s="2063">
        <f t="shared" si="23"/>
        <v>3</v>
      </c>
      <c r="R155" s="2906">
        <f t="shared" si="28"/>
        <v>0.2</v>
      </c>
      <c r="S155" s="2967">
        <f t="shared" si="24"/>
        <v>0</v>
      </c>
      <c r="T155" s="2841">
        <f t="shared" si="29"/>
        <v>0</v>
      </c>
      <c r="U155" s="2842"/>
      <c r="V155" s="2788"/>
      <c r="W155" s="462">
        <f>採点LR2!F87</f>
        <v>3</v>
      </c>
      <c r="X155" s="1845"/>
      <c r="Z155" s="1832">
        <f>IF($Z$3=4,#REF!,W155)</f>
        <v>3</v>
      </c>
      <c r="AA155" s="1658">
        <f>重み!D155</f>
        <v>0.2</v>
      </c>
      <c r="AB155" s="1832">
        <f>IF($Z$3=4,#REF!,X155)</f>
        <v>0</v>
      </c>
      <c r="AC155" s="1658">
        <f>重み!E155</f>
        <v>0</v>
      </c>
      <c r="AD155" s="447"/>
      <c r="AE155" s="434"/>
      <c r="AF155" s="442">
        <f>重み!M155</f>
        <v>0.2</v>
      </c>
      <c r="AG155" s="182"/>
      <c r="AH155" s="442">
        <f>重み!N155</f>
        <v>0</v>
      </c>
      <c r="AI155" s="2563"/>
      <c r="AJ155" s="2563"/>
      <c r="AK155" s="2564"/>
    </row>
    <row r="156" spans="2:37" ht="14.25" customHeight="1">
      <c r="B156" s="2879"/>
      <c r="C156" s="2069">
        <v>2.5</v>
      </c>
      <c r="D156" s="2034" t="s">
        <v>1074</v>
      </c>
      <c r="E156" s="1655"/>
      <c r="F156" s="1655"/>
      <c r="G156" s="1655"/>
      <c r="H156" s="2868"/>
      <c r="I156" s="3126">
        <f>採点LR2!G107</f>
        <v>0</v>
      </c>
      <c r="J156" s="3127"/>
      <c r="K156" s="3127"/>
      <c r="L156" s="3127"/>
      <c r="M156" s="3127"/>
      <c r="N156" s="3127"/>
      <c r="O156" s="3127"/>
      <c r="P156" s="3128"/>
      <c r="Q156" s="2063">
        <f t="shared" si="23"/>
        <v>3</v>
      </c>
      <c r="R156" s="2906">
        <f t="shared" si="28"/>
        <v>0.1</v>
      </c>
      <c r="S156" s="2967">
        <f t="shared" si="24"/>
        <v>0</v>
      </c>
      <c r="T156" s="2841">
        <f t="shared" si="29"/>
        <v>0</v>
      </c>
      <c r="U156" s="2842"/>
      <c r="V156" s="2788"/>
      <c r="W156" s="462">
        <f>採点LR2!F101</f>
        <v>3</v>
      </c>
      <c r="X156" s="1845"/>
      <c r="Z156" s="1832">
        <f>IF($Z$3=4,#REF!,W156)</f>
        <v>3</v>
      </c>
      <c r="AA156" s="1658">
        <f>重み!D156</f>
        <v>0.1</v>
      </c>
      <c r="AB156" s="1832">
        <f>IF($Z$3=4,#REF!,X156)</f>
        <v>0</v>
      </c>
      <c r="AC156" s="1658">
        <f>重み!E156</f>
        <v>0</v>
      </c>
      <c r="AD156" s="447"/>
      <c r="AE156" s="434"/>
      <c r="AF156" s="442">
        <f>重み!M156</f>
        <v>0.1</v>
      </c>
      <c r="AG156" s="182"/>
      <c r="AH156" s="442">
        <f>重み!N156</f>
        <v>0</v>
      </c>
      <c r="AI156" s="2563"/>
      <c r="AJ156" s="2563"/>
      <c r="AK156" s="2564"/>
    </row>
    <row r="157" spans="2:37" thickBot="1">
      <c r="B157" s="2879"/>
      <c r="C157" s="2035">
        <v>2.6</v>
      </c>
      <c r="D157" s="2034" t="s">
        <v>1075</v>
      </c>
      <c r="E157" s="1655"/>
      <c r="F157" s="1655"/>
      <c r="G157" s="1655"/>
      <c r="H157" s="2868"/>
      <c r="I157" s="3126">
        <f>採点LR2!G119</f>
        <v>0</v>
      </c>
      <c r="J157" s="3127"/>
      <c r="K157" s="3127"/>
      <c r="L157" s="3127"/>
      <c r="M157" s="3127"/>
      <c r="N157" s="3127"/>
      <c r="O157" s="3127"/>
      <c r="P157" s="3128"/>
      <c r="Q157" s="2143">
        <f t="shared" si="23"/>
        <v>3</v>
      </c>
      <c r="R157" s="2906">
        <f t="shared" ref="R157:R165" si="30">AA157</f>
        <v>0.2</v>
      </c>
      <c r="S157" s="2967">
        <f t="shared" si="24"/>
        <v>0</v>
      </c>
      <c r="T157" s="2841">
        <f t="shared" ref="T157:T166" si="31">AC157</f>
        <v>0</v>
      </c>
      <c r="U157" s="2842"/>
      <c r="V157" s="2788"/>
      <c r="W157" s="1716">
        <f>採点LR2!F113</f>
        <v>3</v>
      </c>
      <c r="X157" s="1837"/>
      <c r="Z157" s="1832">
        <f>IF($Z$3=4,#REF!,W157)</f>
        <v>3</v>
      </c>
      <c r="AA157" s="1658">
        <f>重み!D157</f>
        <v>0.2</v>
      </c>
      <c r="AB157" s="1832">
        <f>IF($Z$3=4,#REF!,X157)</f>
        <v>0</v>
      </c>
      <c r="AC157" s="1658">
        <f>重み!E157</f>
        <v>0</v>
      </c>
      <c r="AD157" s="447"/>
      <c r="AE157" s="434"/>
      <c r="AF157" s="442">
        <f>重み!M157</f>
        <v>0.2</v>
      </c>
      <c r="AG157" s="182"/>
      <c r="AH157" s="442">
        <f>重み!N157</f>
        <v>0</v>
      </c>
      <c r="AI157" s="2563"/>
      <c r="AJ157" s="2563"/>
      <c r="AK157" s="2564"/>
    </row>
    <row r="158" spans="2:37" hidden="1" thickBot="1">
      <c r="B158" s="2879"/>
      <c r="C158" s="2124">
        <v>2.6</v>
      </c>
      <c r="D158" s="2119" t="s">
        <v>1075</v>
      </c>
      <c r="E158" s="2118"/>
      <c r="F158" s="2118"/>
      <c r="G158" s="2118"/>
      <c r="H158" s="2974"/>
      <c r="I158" s="2836"/>
      <c r="J158" s="2837"/>
      <c r="K158" s="2837"/>
      <c r="L158" s="2837"/>
      <c r="M158" s="2837"/>
      <c r="N158" s="2837"/>
      <c r="O158" s="2837"/>
      <c r="P158" s="2838"/>
      <c r="Q158" s="2852">
        <f t="shared" si="23"/>
        <v>0</v>
      </c>
      <c r="R158" s="2840">
        <f>AA158</f>
        <v>0</v>
      </c>
      <c r="S158" s="2966">
        <f t="shared" si="24"/>
        <v>0</v>
      </c>
      <c r="T158" s="2937">
        <f t="shared" si="31"/>
        <v>0</v>
      </c>
      <c r="U158" s="2842"/>
      <c r="V158" s="2788"/>
      <c r="W158" s="467"/>
      <c r="X158" s="1837"/>
      <c r="Z158" s="1835">
        <f>SUMPRODUCT(Z159:Z164,AA159:AA164)</f>
        <v>0</v>
      </c>
      <c r="AA158" s="1658">
        <f>重み!D158</f>
        <v>0</v>
      </c>
      <c r="AB158" s="450">
        <f>SUMPRODUCT(AB159:AB164,AC159:AC164)</f>
        <v>0</v>
      </c>
      <c r="AC158" s="1658">
        <f>重み!E158</f>
        <v>0</v>
      </c>
      <c r="AD158" s="447"/>
      <c r="AE158" s="434"/>
      <c r="AF158" s="442">
        <f>重み!M158</f>
        <v>0</v>
      </c>
      <c r="AG158" s="182"/>
      <c r="AH158" s="442">
        <f>重み!N159</f>
        <v>0</v>
      </c>
      <c r="AI158" s="2563"/>
      <c r="AJ158" s="2563"/>
      <c r="AK158" s="2564"/>
    </row>
    <row r="159" spans="2:37" ht="13.5" hidden="1">
      <c r="B159" s="2879"/>
      <c r="C159" s="2122"/>
      <c r="D159" s="2121">
        <v>1</v>
      </c>
      <c r="E159" s="2118" t="s">
        <v>2799</v>
      </c>
      <c r="F159" s="2118"/>
      <c r="G159" s="2118"/>
      <c r="H159" s="2974"/>
      <c r="I159" s="3126"/>
      <c r="J159" s="3127"/>
      <c r="K159" s="3127"/>
      <c r="L159" s="3127"/>
      <c r="M159" s="3127"/>
      <c r="N159" s="3127"/>
      <c r="O159" s="3127"/>
      <c r="P159" s="3128"/>
      <c r="Q159" s="2149">
        <f t="shared" si="23"/>
        <v>5</v>
      </c>
      <c r="R159" s="2906">
        <f t="shared" si="30"/>
        <v>0</v>
      </c>
      <c r="S159" s="2967">
        <f t="shared" si="24"/>
        <v>0</v>
      </c>
      <c r="T159" s="2841">
        <f t="shared" si="31"/>
        <v>0</v>
      </c>
      <c r="U159" s="2842"/>
      <c r="V159" s="2788"/>
      <c r="W159" s="462">
        <f>採点LR2!F129</f>
        <v>5</v>
      </c>
      <c r="X159" s="1845"/>
      <c r="Z159" s="453">
        <f>IF($Z$3=4,#REF!,W159)</f>
        <v>5</v>
      </c>
      <c r="AA159" s="1658">
        <f>重み!D159</f>
        <v>0</v>
      </c>
      <c r="AB159" s="453">
        <f>IF($Z$3=4,#REF!,X159)</f>
        <v>0</v>
      </c>
      <c r="AC159" s="1658">
        <f>重み!E159</f>
        <v>0</v>
      </c>
      <c r="AD159" s="447"/>
      <c r="AE159" s="434"/>
      <c r="AF159" s="442">
        <f>重み!M159</f>
        <v>0</v>
      </c>
      <c r="AG159" s="182"/>
      <c r="AH159" s="442">
        <f>重み!N159</f>
        <v>0</v>
      </c>
      <c r="AI159" s="2563"/>
      <c r="AJ159" s="2563"/>
      <c r="AK159" s="2564"/>
    </row>
    <row r="160" spans="2:37" ht="13.5" hidden="1">
      <c r="B160" s="2879"/>
      <c r="C160" s="2122"/>
      <c r="D160" s="2121">
        <v>2</v>
      </c>
      <c r="E160" s="2118" t="s">
        <v>2801</v>
      </c>
      <c r="F160" s="2118"/>
      <c r="G160" s="2118"/>
      <c r="H160" s="2974"/>
      <c r="I160" s="3126"/>
      <c r="J160" s="3127"/>
      <c r="K160" s="3127"/>
      <c r="L160" s="3127"/>
      <c r="M160" s="3127"/>
      <c r="N160" s="3127"/>
      <c r="O160" s="3127"/>
      <c r="P160" s="3128"/>
      <c r="Q160" s="2063">
        <f t="shared" si="23"/>
        <v>4</v>
      </c>
      <c r="R160" s="2906">
        <f t="shared" si="30"/>
        <v>0</v>
      </c>
      <c r="S160" s="2967">
        <f t="shared" si="24"/>
        <v>0</v>
      </c>
      <c r="T160" s="2841">
        <f t="shared" si="31"/>
        <v>0</v>
      </c>
      <c r="U160" s="2842"/>
      <c r="V160" s="2788"/>
      <c r="W160" s="462">
        <f>採点LR2!K129</f>
        <v>4</v>
      </c>
      <c r="X160" s="1845"/>
      <c r="Z160" s="453">
        <f>IF($Z$3=4,#REF!,W160)</f>
        <v>4</v>
      </c>
      <c r="AA160" s="1658">
        <f>重み!D160</f>
        <v>0</v>
      </c>
      <c r="AB160" s="453">
        <f>IF($Z$3=4,#REF!,X160)</f>
        <v>0</v>
      </c>
      <c r="AC160" s="1658">
        <f>重み!E160</f>
        <v>0</v>
      </c>
      <c r="AD160" s="447"/>
      <c r="AE160" s="434"/>
      <c r="AF160" s="442">
        <f>重み!M160</f>
        <v>0</v>
      </c>
      <c r="AG160" s="182"/>
      <c r="AH160" s="442">
        <f>重み!N160</f>
        <v>0</v>
      </c>
      <c r="AI160" s="2563"/>
      <c r="AJ160" s="2563"/>
      <c r="AK160" s="2564"/>
    </row>
    <row r="161" spans="2:37" ht="13.5" hidden="1">
      <c r="B161" s="2881"/>
      <c r="C161" s="2122"/>
      <c r="D161" s="2121">
        <v>3</v>
      </c>
      <c r="E161" s="2118" t="s">
        <v>2803</v>
      </c>
      <c r="F161" s="2118"/>
      <c r="G161" s="2118"/>
      <c r="H161" s="2974"/>
      <c r="I161" s="3126"/>
      <c r="J161" s="3127"/>
      <c r="K161" s="3127"/>
      <c r="L161" s="3127"/>
      <c r="M161" s="3127"/>
      <c r="N161" s="3127"/>
      <c r="O161" s="3127"/>
      <c r="P161" s="3128"/>
      <c r="Q161" s="2063">
        <f t="shared" si="23"/>
        <v>4</v>
      </c>
      <c r="R161" s="2906">
        <f t="shared" si="30"/>
        <v>0</v>
      </c>
      <c r="S161" s="2967">
        <f t="shared" si="24"/>
        <v>0</v>
      </c>
      <c r="T161" s="2841">
        <f t="shared" si="31"/>
        <v>0</v>
      </c>
      <c r="U161" s="2842"/>
      <c r="V161" s="2788"/>
      <c r="W161" s="462">
        <f>採点LR2!F138</f>
        <v>4</v>
      </c>
      <c r="X161" s="1845"/>
      <c r="Z161" s="453">
        <f>IF($Z$3=4,#REF!,W161)</f>
        <v>4</v>
      </c>
      <c r="AA161" s="1658">
        <f>重み!D161</f>
        <v>0</v>
      </c>
      <c r="AB161" s="453">
        <f>IF($Z$3=4,#REF!,X161)</f>
        <v>0</v>
      </c>
      <c r="AC161" s="1658">
        <f>重み!E161</f>
        <v>0</v>
      </c>
      <c r="AD161" s="447"/>
      <c r="AE161" s="434"/>
      <c r="AF161" s="442">
        <f>重み!M161</f>
        <v>0</v>
      </c>
      <c r="AG161" s="182"/>
      <c r="AH161" s="442">
        <f>重み!N161</f>
        <v>0</v>
      </c>
      <c r="AI161" s="2563"/>
      <c r="AJ161" s="2563"/>
      <c r="AK161" s="2564"/>
    </row>
    <row r="162" spans="2:37" ht="13.5" hidden="1">
      <c r="B162" s="2881"/>
      <c r="C162" s="2122"/>
      <c r="D162" s="2121">
        <v>4</v>
      </c>
      <c r="E162" s="2118" t="s">
        <v>2805</v>
      </c>
      <c r="F162" s="2118"/>
      <c r="G162" s="2118"/>
      <c r="H162" s="2974"/>
      <c r="I162" s="3126"/>
      <c r="J162" s="3127"/>
      <c r="K162" s="3127"/>
      <c r="L162" s="3127"/>
      <c r="M162" s="3127"/>
      <c r="N162" s="3127"/>
      <c r="O162" s="3127"/>
      <c r="P162" s="3128"/>
      <c r="Q162" s="2063">
        <f t="shared" si="23"/>
        <v>4</v>
      </c>
      <c r="R162" s="2906">
        <f t="shared" si="30"/>
        <v>0</v>
      </c>
      <c r="S162" s="2967">
        <f t="shared" si="24"/>
        <v>0</v>
      </c>
      <c r="T162" s="2841">
        <f t="shared" si="31"/>
        <v>0</v>
      </c>
      <c r="U162" s="2842"/>
      <c r="V162" s="2788"/>
      <c r="W162" s="462">
        <f>採点LR2!K138</f>
        <v>4</v>
      </c>
      <c r="X162" s="1845"/>
      <c r="Z162" s="453">
        <f>IF($Z$3=4,#REF!,W162)</f>
        <v>4</v>
      </c>
      <c r="AA162" s="1658">
        <f>重み!D162</f>
        <v>0</v>
      </c>
      <c r="AB162" s="453">
        <f>IF($Z$3=4,#REF!,X162)</f>
        <v>0</v>
      </c>
      <c r="AC162" s="1658">
        <f>重み!E162</f>
        <v>0</v>
      </c>
      <c r="AD162" s="447"/>
      <c r="AE162" s="434"/>
      <c r="AF162" s="442">
        <f>重み!M162</f>
        <v>0</v>
      </c>
      <c r="AG162" s="182"/>
      <c r="AH162" s="442">
        <f>重み!N162</f>
        <v>0</v>
      </c>
      <c r="AI162" s="2563"/>
      <c r="AJ162" s="2563"/>
      <c r="AK162" s="2564"/>
    </row>
    <row r="163" spans="2:37" ht="13.5" hidden="1">
      <c r="B163" s="2881"/>
      <c r="C163" s="2122"/>
      <c r="D163" s="2121">
        <v>5</v>
      </c>
      <c r="E163" s="2118" t="s">
        <v>2807</v>
      </c>
      <c r="F163" s="2118"/>
      <c r="G163" s="2118"/>
      <c r="H163" s="2974"/>
      <c r="I163" s="3126"/>
      <c r="J163" s="3127"/>
      <c r="K163" s="3127"/>
      <c r="L163" s="3127"/>
      <c r="M163" s="3127"/>
      <c r="N163" s="3127"/>
      <c r="O163" s="3127"/>
      <c r="P163" s="3128"/>
      <c r="Q163" s="2063">
        <f t="shared" si="23"/>
        <v>5</v>
      </c>
      <c r="R163" s="2906">
        <f t="shared" si="30"/>
        <v>0</v>
      </c>
      <c r="S163" s="2967">
        <f t="shared" si="24"/>
        <v>0</v>
      </c>
      <c r="T163" s="2841">
        <f t="shared" si="31"/>
        <v>0</v>
      </c>
      <c r="U163" s="2842"/>
      <c r="V163" s="2788"/>
      <c r="W163" s="462">
        <f>採点LR2!F147</f>
        <v>5</v>
      </c>
      <c r="X163" s="1845"/>
      <c r="Z163" s="453">
        <f>IF($Z$3=4,#REF!,W163)</f>
        <v>5</v>
      </c>
      <c r="AA163" s="1658">
        <f>重み!D163</f>
        <v>0</v>
      </c>
      <c r="AB163" s="453">
        <f>IF($Z$3=4,#REF!,X163)</f>
        <v>0</v>
      </c>
      <c r="AC163" s="1658">
        <f>重み!E163</f>
        <v>0</v>
      </c>
      <c r="AD163" s="447"/>
      <c r="AE163" s="434"/>
      <c r="AF163" s="442">
        <f>重み!M163</f>
        <v>0</v>
      </c>
      <c r="AG163" s="182"/>
      <c r="AH163" s="442">
        <f>重み!N163</f>
        <v>0</v>
      </c>
      <c r="AI163" s="2563"/>
      <c r="AJ163" s="2563"/>
      <c r="AK163" s="2564"/>
    </row>
    <row r="164" spans="2:37" ht="13.5" hidden="1">
      <c r="B164" s="2881"/>
      <c r="C164" s="2122"/>
      <c r="D164" s="2121">
        <v>6</v>
      </c>
      <c r="E164" s="2118" t="s">
        <v>2809</v>
      </c>
      <c r="F164" s="2118"/>
      <c r="G164" s="2118"/>
      <c r="H164" s="2974"/>
      <c r="I164" s="3126"/>
      <c r="J164" s="3127"/>
      <c r="K164" s="3127"/>
      <c r="L164" s="3127"/>
      <c r="M164" s="3127"/>
      <c r="N164" s="3127"/>
      <c r="O164" s="3127"/>
      <c r="P164" s="3128"/>
      <c r="Q164" s="2063">
        <f t="shared" si="23"/>
        <v>5</v>
      </c>
      <c r="R164" s="2906">
        <f t="shared" si="30"/>
        <v>0</v>
      </c>
      <c r="S164" s="2967">
        <f t="shared" si="24"/>
        <v>0</v>
      </c>
      <c r="T164" s="2841">
        <f t="shared" si="31"/>
        <v>0</v>
      </c>
      <c r="U164" s="2842"/>
      <c r="V164" s="2788"/>
      <c r="W164" s="462">
        <f>採点LR2!K147</f>
        <v>5</v>
      </c>
      <c r="X164" s="1845"/>
      <c r="Z164" s="453">
        <f>IF($Z$3=4,#REF!,W164)</f>
        <v>5</v>
      </c>
      <c r="AA164" s="1658">
        <f>重み!D164</f>
        <v>0</v>
      </c>
      <c r="AB164" s="453">
        <f>IF($Z$3=4,#REF!,X164)</f>
        <v>0</v>
      </c>
      <c r="AC164" s="1658">
        <f>重み!E164</f>
        <v>0</v>
      </c>
      <c r="AD164" s="447"/>
      <c r="AE164" s="434"/>
      <c r="AF164" s="442">
        <f>重み!M164</f>
        <v>0</v>
      </c>
      <c r="AG164" s="182"/>
      <c r="AH164" s="442">
        <f>重み!N164</f>
        <v>0</v>
      </c>
      <c r="AI164" s="2563"/>
      <c r="AJ164" s="2563"/>
      <c r="AK164" s="2564"/>
    </row>
    <row r="165" spans="2:37" hidden="1" thickBot="1">
      <c r="B165" s="2881"/>
      <c r="C165" s="2120">
        <v>2.7</v>
      </c>
      <c r="D165" s="2119" t="s">
        <v>2811</v>
      </c>
      <c r="E165" s="2118"/>
      <c r="F165" s="2118"/>
      <c r="G165" s="2118"/>
      <c r="H165" s="2974"/>
      <c r="I165" s="3126"/>
      <c r="J165" s="3127"/>
      <c r="K165" s="3127"/>
      <c r="L165" s="3127"/>
      <c r="M165" s="3127"/>
      <c r="N165" s="3127"/>
      <c r="O165" s="3127"/>
      <c r="P165" s="3128"/>
      <c r="Q165" s="2143">
        <f t="shared" si="23"/>
        <v>5</v>
      </c>
      <c r="R165" s="2906">
        <f t="shared" si="30"/>
        <v>0</v>
      </c>
      <c r="S165" s="2967">
        <f t="shared" si="24"/>
        <v>0</v>
      </c>
      <c r="T165" s="2841">
        <f t="shared" si="31"/>
        <v>0</v>
      </c>
      <c r="U165" s="2842"/>
      <c r="V165" s="2788"/>
      <c r="W165" s="1716">
        <f>採点LR2!F169</f>
        <v>5</v>
      </c>
      <c r="X165" s="1837"/>
      <c r="Z165" s="1832">
        <f>IF($Z$3=4,#REF!,W165)</f>
        <v>5</v>
      </c>
      <c r="AA165" s="1658">
        <f>重み!D165</f>
        <v>0</v>
      </c>
      <c r="AB165" s="1832">
        <f>IF($Z$3=4,#REF!,X165)</f>
        <v>0</v>
      </c>
      <c r="AC165" s="1658">
        <f>重み!E165</f>
        <v>0</v>
      </c>
      <c r="AD165" s="447"/>
      <c r="AE165" s="434"/>
      <c r="AF165" s="442">
        <f>重み!M165</f>
        <v>0</v>
      </c>
      <c r="AG165" s="182"/>
      <c r="AH165" s="442">
        <f>重み!N165</f>
        <v>0</v>
      </c>
      <c r="AI165" s="2563"/>
      <c r="AJ165" s="2563"/>
      <c r="AK165" s="2564"/>
    </row>
    <row r="166" spans="2:37" thickBot="1">
      <c r="B166" s="2957">
        <v>3</v>
      </c>
      <c r="C166" s="2116" t="s">
        <v>1076</v>
      </c>
      <c r="D166" s="2034"/>
      <c r="E166" s="1655"/>
      <c r="F166" s="1655"/>
      <c r="G166" s="1655"/>
      <c r="H166" s="2868"/>
      <c r="I166" s="2856"/>
      <c r="J166" s="2857"/>
      <c r="K166" s="2857"/>
      <c r="L166" s="2857"/>
      <c r="M166" s="2857"/>
      <c r="N166" s="2857"/>
      <c r="O166" s="2857"/>
      <c r="P166" s="2858"/>
      <c r="Q166" s="2885">
        <f t="shared" si="23"/>
        <v>3</v>
      </c>
      <c r="R166" s="2860">
        <f>AA166</f>
        <v>0.2</v>
      </c>
      <c r="S166" s="2973">
        <f t="shared" si="24"/>
        <v>0</v>
      </c>
      <c r="T166" s="2862">
        <f t="shared" si="31"/>
        <v>0</v>
      </c>
      <c r="U166" s="2863">
        <f>ROUNDDOWN(AD166,1)</f>
        <v>3</v>
      </c>
      <c r="V166" s="2788"/>
      <c r="W166" s="465"/>
      <c r="X166" s="1837"/>
      <c r="Z166" s="1833">
        <f>Z167*AA167+Z168*AA168</f>
        <v>2.9999999999999996</v>
      </c>
      <c r="AA166" s="1658">
        <f>重み!D166</f>
        <v>0.2</v>
      </c>
      <c r="AB166" s="1833">
        <f>AB167*AC167+AB168*AC168</f>
        <v>0</v>
      </c>
      <c r="AC166" s="451">
        <f>SUM(AC167,AC168)</f>
        <v>0</v>
      </c>
      <c r="AD166" s="1859">
        <f>IF(AB166=0,Z166,IF(Z166=0,AB166,Z166*AF$6+AB166*AH$6))</f>
        <v>2.9999999999999996</v>
      </c>
      <c r="AE166" s="434"/>
      <c r="AF166" s="442">
        <f>重み!M166</f>
        <v>0.2</v>
      </c>
      <c r="AG166" s="182"/>
      <c r="AH166" s="451">
        <f>SUM(AH167,AH168)</f>
        <v>0</v>
      </c>
      <c r="AI166" s="2563"/>
      <c r="AJ166" s="2563"/>
      <c r="AK166" s="2564"/>
    </row>
    <row r="167" spans="2:37" ht="14.25" customHeight="1" thickBot="1">
      <c r="B167" s="2881"/>
      <c r="C167" s="2069">
        <v>3.1</v>
      </c>
      <c r="D167" s="2034" t="s">
        <v>1077</v>
      </c>
      <c r="E167" s="1655"/>
      <c r="F167" s="1655"/>
      <c r="G167" s="1655"/>
      <c r="H167" s="2868"/>
      <c r="I167" s="3134">
        <f>採点LR2!G195</f>
        <v>0</v>
      </c>
      <c r="J167" s="3135"/>
      <c r="K167" s="3135"/>
      <c r="L167" s="3135"/>
      <c r="M167" s="3135"/>
      <c r="N167" s="3135"/>
      <c r="O167" s="3135"/>
      <c r="P167" s="3136"/>
      <c r="Q167" s="2955">
        <f t="shared" si="23"/>
        <v>3</v>
      </c>
      <c r="R167" s="2906">
        <f t="shared" si="28"/>
        <v>0.3</v>
      </c>
      <c r="S167" s="2967">
        <f t="shared" si="24"/>
        <v>0</v>
      </c>
      <c r="T167" s="2841">
        <f t="shared" si="29"/>
        <v>0</v>
      </c>
      <c r="U167" s="2842"/>
      <c r="V167" s="2788"/>
      <c r="W167" s="466">
        <f>採点LR2!F189</f>
        <v>3</v>
      </c>
      <c r="X167" s="1837"/>
      <c r="Z167" s="1832">
        <f>IF($Z$3=4,#REF!,W167)</f>
        <v>3</v>
      </c>
      <c r="AA167" s="1658">
        <f>重み!D167</f>
        <v>0.3</v>
      </c>
      <c r="AB167" s="1832">
        <f>IF($Z$3=4,#REF!,X167)</f>
        <v>0</v>
      </c>
      <c r="AC167" s="1658">
        <f>重み!E167</f>
        <v>0</v>
      </c>
      <c r="AD167" s="447"/>
      <c r="AE167" s="434"/>
      <c r="AF167" s="442">
        <f>重み!M167</f>
        <v>0.3</v>
      </c>
      <c r="AG167" s="182"/>
      <c r="AH167" s="442">
        <f>重み!N167</f>
        <v>0</v>
      </c>
      <c r="AI167" s="2563"/>
      <c r="AJ167" s="2563"/>
      <c r="AK167" s="2564"/>
    </row>
    <row r="168" spans="2:37" ht="14.25" customHeight="1" thickBot="1">
      <c r="B168" s="2881"/>
      <c r="C168" s="2035">
        <v>3.2</v>
      </c>
      <c r="D168" s="2034" t="s">
        <v>1078</v>
      </c>
      <c r="E168" s="2107"/>
      <c r="F168" s="2107"/>
      <c r="G168" s="2107"/>
      <c r="H168" s="2855"/>
      <c r="I168" s="2836"/>
      <c r="J168" s="2837"/>
      <c r="K168" s="2837"/>
      <c r="L168" s="2837"/>
      <c r="M168" s="2837"/>
      <c r="N168" s="2837"/>
      <c r="O168" s="2837"/>
      <c r="P168" s="2838"/>
      <c r="Q168" s="2885">
        <f t="shared" si="23"/>
        <v>3</v>
      </c>
      <c r="R168" s="2840">
        <f>AA168</f>
        <v>0.7</v>
      </c>
      <c r="S168" s="2966">
        <f t="shared" si="24"/>
        <v>0</v>
      </c>
      <c r="T168" s="2937">
        <f t="shared" si="29"/>
        <v>0</v>
      </c>
      <c r="U168" s="2842"/>
      <c r="V168" s="2788"/>
      <c r="W168" s="467"/>
      <c r="X168" s="1837"/>
      <c r="Z168" s="450">
        <f>SUMPRODUCT(Z169:Z171,AA169:AA171)</f>
        <v>3</v>
      </c>
      <c r="AA168" s="1658">
        <f>重み!D168</f>
        <v>0.7</v>
      </c>
      <c r="AB168" s="450">
        <f>SUMPRODUCT(AB169:AB171,AC169:AC171)</f>
        <v>0</v>
      </c>
      <c r="AC168" s="1658">
        <f>重み!E168</f>
        <v>0</v>
      </c>
      <c r="AD168" s="447"/>
      <c r="AE168" s="434"/>
      <c r="AF168" s="442">
        <f>重み!M168</f>
        <v>0.7</v>
      </c>
      <c r="AG168" s="182"/>
      <c r="AH168" s="442">
        <f>重み!N168</f>
        <v>0</v>
      </c>
      <c r="AI168" s="2563"/>
      <c r="AJ168" s="2563"/>
      <c r="AK168" s="2564"/>
    </row>
    <row r="169" spans="2:37" ht="14.25" customHeight="1">
      <c r="B169" s="2881"/>
      <c r="C169" s="2101"/>
      <c r="D169" s="993">
        <v>1</v>
      </c>
      <c r="E169" s="1655" t="s">
        <v>100</v>
      </c>
      <c r="F169" s="1655"/>
      <c r="G169" s="1655"/>
      <c r="H169" s="2868"/>
      <c r="I169" s="3126">
        <f>採点LR2!G218</f>
        <v>0</v>
      </c>
      <c r="J169" s="3127"/>
      <c r="K169" s="3127"/>
      <c r="L169" s="3127"/>
      <c r="M169" s="3127"/>
      <c r="N169" s="3127"/>
      <c r="O169" s="3127"/>
      <c r="P169" s="3128"/>
      <c r="Q169" s="2149">
        <f t="shared" si="23"/>
        <v>2</v>
      </c>
      <c r="R169" s="2906">
        <f t="shared" si="28"/>
        <v>0.33333333333333331</v>
      </c>
      <c r="S169" s="2967">
        <f t="shared" si="24"/>
        <v>0</v>
      </c>
      <c r="T169" s="2841">
        <f t="shared" si="29"/>
        <v>0</v>
      </c>
      <c r="U169" s="2842"/>
      <c r="V169" s="2788"/>
      <c r="W169" s="462">
        <f>採点LR2!F212</f>
        <v>2</v>
      </c>
      <c r="X169" s="1845"/>
      <c r="Z169" s="453">
        <f>IF($Z$3=4,#REF!,W169)</f>
        <v>2</v>
      </c>
      <c r="AA169" s="1658">
        <f>重み!D169</f>
        <v>0.33333333333333331</v>
      </c>
      <c r="AB169" s="453">
        <f>IF($Z$3=4,#REF!,X169)</f>
        <v>0</v>
      </c>
      <c r="AC169" s="1658">
        <f>重み!E169</f>
        <v>0</v>
      </c>
      <c r="AD169" s="447"/>
      <c r="AE169" s="434"/>
      <c r="AF169" s="442">
        <f>重み!M169</f>
        <v>0.33333333333333331</v>
      </c>
      <c r="AG169" s="182"/>
      <c r="AH169" s="442">
        <f>重み!N169</f>
        <v>0</v>
      </c>
      <c r="AI169" s="2563"/>
      <c r="AJ169" s="2563"/>
      <c r="AK169" s="2564"/>
    </row>
    <row r="170" spans="2:37" ht="14.25" customHeight="1">
      <c r="B170" s="2881"/>
      <c r="C170" s="2101"/>
      <c r="D170" s="993">
        <v>2</v>
      </c>
      <c r="E170" s="1655" t="s">
        <v>101</v>
      </c>
      <c r="F170" s="1655"/>
      <c r="G170" s="1655"/>
      <c r="H170" s="2868"/>
      <c r="I170" s="3126">
        <f>採点LR2!G229</f>
        <v>0</v>
      </c>
      <c r="J170" s="3127"/>
      <c r="K170" s="3127"/>
      <c r="L170" s="3127"/>
      <c r="M170" s="3127"/>
      <c r="N170" s="3127"/>
      <c r="O170" s="3127"/>
      <c r="P170" s="3128"/>
      <c r="Q170" s="2063">
        <f t="shared" si="23"/>
        <v>3</v>
      </c>
      <c r="R170" s="2906">
        <f t="shared" si="28"/>
        <v>0.33333333333333331</v>
      </c>
      <c r="S170" s="2967">
        <f t="shared" si="24"/>
        <v>0</v>
      </c>
      <c r="T170" s="2841">
        <f t="shared" si="29"/>
        <v>0</v>
      </c>
      <c r="U170" s="2842"/>
      <c r="V170" s="2788"/>
      <c r="W170" s="462">
        <f>採点LR2!F223</f>
        <v>3</v>
      </c>
      <c r="X170" s="1845"/>
      <c r="Z170" s="453">
        <f>IF($Z$3=4,#REF!,W170)</f>
        <v>3</v>
      </c>
      <c r="AA170" s="1658">
        <f>重み!D170</f>
        <v>0.33333333333333331</v>
      </c>
      <c r="AB170" s="453">
        <f>IF($Z$3=4,#REF!,X170)</f>
        <v>0</v>
      </c>
      <c r="AC170" s="1658">
        <f>重み!E170</f>
        <v>0</v>
      </c>
      <c r="AD170" s="447"/>
      <c r="AE170" s="434"/>
      <c r="AF170" s="442">
        <f>重み!M170</f>
        <v>0.33333333333333331</v>
      </c>
      <c r="AG170" s="182"/>
      <c r="AH170" s="442">
        <f>重み!N170</f>
        <v>0</v>
      </c>
      <c r="AI170" s="2563"/>
      <c r="AJ170" s="2563"/>
      <c r="AK170" s="2564"/>
    </row>
    <row r="171" spans="2:37" ht="14.25" customHeight="1" thickBot="1">
      <c r="B171" s="2975"/>
      <c r="C171" s="2098"/>
      <c r="D171" s="2097">
        <v>3</v>
      </c>
      <c r="E171" s="2096" t="s">
        <v>102</v>
      </c>
      <c r="F171" s="2096"/>
      <c r="G171" s="2096"/>
      <c r="H171" s="2918"/>
      <c r="I171" s="3126" t="str">
        <f>採点LR2!G295</f>
        <v>CO2冷媒冷凍機</v>
      </c>
      <c r="J171" s="3127"/>
      <c r="K171" s="3127"/>
      <c r="L171" s="3127"/>
      <c r="M171" s="3127"/>
      <c r="N171" s="3127"/>
      <c r="O171" s="3127"/>
      <c r="P171" s="3128"/>
      <c r="Q171" s="2143">
        <f t="shared" si="23"/>
        <v>4</v>
      </c>
      <c r="R171" s="2919">
        <f t="shared" si="28"/>
        <v>0.33333333333333331</v>
      </c>
      <c r="S171" s="2976">
        <f t="shared" si="24"/>
        <v>0</v>
      </c>
      <c r="T171" s="2921">
        <f t="shared" si="29"/>
        <v>0</v>
      </c>
      <c r="U171" s="2922"/>
      <c r="V171" s="2788"/>
      <c r="W171" s="464">
        <f>採点LR2!F289</f>
        <v>4</v>
      </c>
      <c r="X171" s="1837"/>
      <c r="Z171" s="453">
        <f>IF($Z$3=4,#REF!,W171)</f>
        <v>4</v>
      </c>
      <c r="AA171" s="1658">
        <f>重み!D171</f>
        <v>0.33333333333333331</v>
      </c>
      <c r="AB171" s="453">
        <f>IF($Z$3=4,#REF!,X171)</f>
        <v>0</v>
      </c>
      <c r="AC171" s="1658">
        <f>重み!E171</f>
        <v>0</v>
      </c>
      <c r="AD171" s="447"/>
      <c r="AE171" s="434"/>
      <c r="AF171" s="442">
        <f>重み!M171</f>
        <v>0.33333333333333331</v>
      </c>
      <c r="AG171" s="182"/>
      <c r="AH171" s="442">
        <f>重み!N171</f>
        <v>0</v>
      </c>
      <c r="AI171" s="2563"/>
      <c r="AJ171" s="2563"/>
      <c r="AK171" s="2564"/>
    </row>
    <row r="172" spans="2:37" ht="14.25" customHeight="1" thickBot="1">
      <c r="B172" s="2887" t="s">
        <v>1612</v>
      </c>
      <c r="C172" s="2087" t="s">
        <v>1613</v>
      </c>
      <c r="D172" s="2087"/>
      <c r="E172" s="2087"/>
      <c r="F172" s="2087"/>
      <c r="G172" s="2087"/>
      <c r="H172" s="2923"/>
      <c r="I172" s="2924"/>
      <c r="J172" s="2925"/>
      <c r="K172" s="2925"/>
      <c r="L172" s="2925"/>
      <c r="M172" s="2925"/>
      <c r="N172" s="2925"/>
      <c r="O172" s="2925"/>
      <c r="P172" s="2926"/>
      <c r="Q172" s="2977">
        <f t="shared" si="23"/>
        <v>0</v>
      </c>
      <c r="R172" s="2891" t="e">
        <f t="shared" si="28"/>
        <v>#VALUE!</v>
      </c>
      <c r="S172" s="2969">
        <f t="shared" si="24"/>
        <v>0</v>
      </c>
      <c r="T172" s="2893">
        <f t="shared" si="29"/>
        <v>0</v>
      </c>
      <c r="U172" s="2894" t="e">
        <f>ROUNDDOWN(AD172,1)</f>
        <v>#VALUE!</v>
      </c>
      <c r="V172" s="2788"/>
      <c r="W172" s="467"/>
      <c r="X172" s="1837"/>
      <c r="Z172" s="454"/>
      <c r="AA172" s="448" t="e">
        <f>重み!D172</f>
        <v>#VALUE!</v>
      </c>
      <c r="AB172" s="454"/>
      <c r="AC172" s="448"/>
      <c r="AD172" s="447" t="e">
        <f>AA173*AD173+AA174*AD174+AA183*AD183</f>
        <v>#VALUE!</v>
      </c>
      <c r="AE172" s="434"/>
      <c r="AF172" s="442">
        <f>重み!M172</f>
        <v>0.3</v>
      </c>
      <c r="AG172" s="182"/>
      <c r="AH172" s="442">
        <f>重み!N172</f>
        <v>0</v>
      </c>
      <c r="AI172" s="442" t="s">
        <v>3112</v>
      </c>
      <c r="AJ172" s="442" t="s">
        <v>3360</v>
      </c>
      <c r="AK172" s="182"/>
    </row>
    <row r="173" spans="2:37" ht="14.25" customHeight="1" thickBot="1">
      <c r="B173" s="2834">
        <v>1</v>
      </c>
      <c r="C173" s="2045" t="s">
        <v>552</v>
      </c>
      <c r="D173" s="2033"/>
      <c r="E173" s="2033"/>
      <c r="F173" s="2033"/>
      <c r="G173" s="2033"/>
      <c r="H173" s="2886"/>
      <c r="I173" s="3134">
        <f>採点LR3!G19</f>
        <v>0</v>
      </c>
      <c r="J173" s="3135"/>
      <c r="K173" s="3135"/>
      <c r="L173" s="3135"/>
      <c r="M173" s="3135"/>
      <c r="N173" s="3135"/>
      <c r="O173" s="3135"/>
      <c r="P173" s="3136"/>
      <c r="Q173" s="2955" t="e">
        <f t="shared" si="23"/>
        <v>#VALUE!</v>
      </c>
      <c r="R173" s="2906" t="e">
        <f>AA173</f>
        <v>#VALUE!</v>
      </c>
      <c r="S173" s="2966">
        <f t="shared" si="24"/>
        <v>0</v>
      </c>
      <c r="T173" s="2841">
        <f t="shared" si="29"/>
        <v>0</v>
      </c>
      <c r="U173" s="2842" t="e">
        <f>ROUNDDOWN(AD173,1)</f>
        <v>#VALUE!</v>
      </c>
      <c r="V173" s="2788"/>
      <c r="W173" s="462" t="e">
        <f>採点LR3!F13</f>
        <v>#VALUE!</v>
      </c>
      <c r="X173" s="1845"/>
      <c r="Z173" s="1834" t="e">
        <f>IF($Z$3=4,#REF!,W173)</f>
        <v>#VALUE!</v>
      </c>
      <c r="AA173" s="1658" t="e">
        <f>重み!D173</f>
        <v>#VALUE!</v>
      </c>
      <c r="AB173" s="1834">
        <f>IF($Z$3=4,#REF!,X173)</f>
        <v>0</v>
      </c>
      <c r="AC173" s="1658">
        <f>重み!E173</f>
        <v>0</v>
      </c>
      <c r="AD173" s="447" t="e">
        <f>IF(AB173=0,Z173,IF(Z173=0,AB173,Z173*AF$6+AB173*AH$6))</f>
        <v>#VALUE!</v>
      </c>
      <c r="AE173" s="434"/>
      <c r="AF173" s="442">
        <f>重み!M173</f>
        <v>0.33333333333333331</v>
      </c>
      <c r="AG173" s="182"/>
      <c r="AH173" s="442">
        <f>重み!N173</f>
        <v>0</v>
      </c>
      <c r="AI173" s="2563"/>
      <c r="AJ173" s="2563"/>
      <c r="AK173" s="2564"/>
    </row>
    <row r="174" spans="2:37" ht="14.25" customHeight="1" thickBot="1">
      <c r="B174" s="2854">
        <v>2</v>
      </c>
      <c r="C174" s="2058" t="s">
        <v>553</v>
      </c>
      <c r="D174" s="2058"/>
      <c r="E174" s="2058"/>
      <c r="F174" s="2058"/>
      <c r="G174" s="2058"/>
      <c r="H174" s="2868"/>
      <c r="I174" s="2856"/>
      <c r="J174" s="2857"/>
      <c r="K174" s="2857"/>
      <c r="L174" s="2857"/>
      <c r="M174" s="2857"/>
      <c r="N174" s="2857"/>
      <c r="O174" s="2857"/>
      <c r="P174" s="2858"/>
      <c r="Q174" s="2885">
        <f t="shared" si="23"/>
        <v>3</v>
      </c>
      <c r="R174" s="2860" t="e">
        <f>AA174</f>
        <v>#VALUE!</v>
      </c>
      <c r="S174" s="2933">
        <f t="shared" si="24"/>
        <v>0</v>
      </c>
      <c r="T174" s="2978">
        <f t="shared" si="29"/>
        <v>0</v>
      </c>
      <c r="U174" s="2863">
        <f>ROUNDDOWN(AD174,1)</f>
        <v>3</v>
      </c>
      <c r="V174" s="2788"/>
      <c r="W174" s="468"/>
      <c r="X174" s="1837"/>
      <c r="Z174" s="1833">
        <f>SUMPRODUCT(Z175:Z177,AA175:AA177)+Z182*AA182</f>
        <v>3.0625</v>
      </c>
      <c r="AA174" s="1658" t="e">
        <f>重み!D174</f>
        <v>#VALUE!</v>
      </c>
      <c r="AB174" s="1833">
        <f>SUMPRODUCT(AB175:AB177,AC175:AC177)+AB182*AC182</f>
        <v>0</v>
      </c>
      <c r="AC174" s="451">
        <f>SUM(AC175,AC176:AC177)+AC182</f>
        <v>0</v>
      </c>
      <c r="AD174" s="447">
        <f>IF(AB174=0,Z174,IF(Z174=0,AB174,Z174*AF$6+AB174*AH$6))</f>
        <v>3.0625</v>
      </c>
      <c r="AE174" s="434"/>
      <c r="AF174" s="442">
        <f>重み!M174</f>
        <v>0.33333333333333331</v>
      </c>
      <c r="AG174" s="182"/>
      <c r="AH174" s="451">
        <f>SUM(AH175,AH176:AH177)+AH182</f>
        <v>0</v>
      </c>
      <c r="AI174" s="2563"/>
      <c r="AJ174" s="2563"/>
      <c r="AK174" s="2564"/>
    </row>
    <row r="175" spans="2:37" ht="14.25" customHeight="1">
      <c r="B175" s="2834"/>
      <c r="C175" s="2069">
        <v>2.1</v>
      </c>
      <c r="D175" s="2046" t="s">
        <v>554</v>
      </c>
      <c r="E175" s="2033"/>
      <c r="F175" s="2033"/>
      <c r="G175" s="2033"/>
      <c r="H175" s="2886"/>
      <c r="I175" s="3134">
        <f>採点LR3!G34</f>
        <v>0</v>
      </c>
      <c r="J175" s="3135"/>
      <c r="K175" s="3135"/>
      <c r="L175" s="3135"/>
      <c r="M175" s="3135"/>
      <c r="N175" s="3135"/>
      <c r="O175" s="3135"/>
      <c r="P175" s="3136"/>
      <c r="Q175" s="2162">
        <f t="shared" si="23"/>
        <v>3</v>
      </c>
      <c r="R175" s="2906">
        <f t="shared" si="28"/>
        <v>0.25</v>
      </c>
      <c r="S175" s="2966">
        <f t="shared" si="24"/>
        <v>0</v>
      </c>
      <c r="T175" s="2841">
        <f t="shared" si="29"/>
        <v>0</v>
      </c>
      <c r="U175" s="2842"/>
      <c r="V175" s="2788"/>
      <c r="W175" s="462">
        <f>採点LR3!F28</f>
        <v>3</v>
      </c>
      <c r="X175" s="1845"/>
      <c r="Z175" s="1832">
        <f>IF($Z$3=4,#REF!,W175)</f>
        <v>3</v>
      </c>
      <c r="AA175" s="1658">
        <f>重み!D175</f>
        <v>0.25</v>
      </c>
      <c r="AB175" s="1832">
        <f>IF($Z$3=4,#REF!,X175)</f>
        <v>0</v>
      </c>
      <c r="AC175" s="1658">
        <f>重み!E175</f>
        <v>0</v>
      </c>
      <c r="AD175" s="447"/>
      <c r="AE175" s="434"/>
      <c r="AF175" s="442">
        <f>重み!M175</f>
        <v>0.25</v>
      </c>
      <c r="AG175" s="182"/>
      <c r="AH175" s="442">
        <f>重み!N175</f>
        <v>0</v>
      </c>
      <c r="AI175" s="2563"/>
      <c r="AJ175" s="2563"/>
      <c r="AK175" s="2564"/>
    </row>
    <row r="176" spans="2:37" ht="14.25" customHeight="1" thickBot="1">
      <c r="B176" s="2834"/>
      <c r="C176" s="2069">
        <v>2.2000000000000002</v>
      </c>
      <c r="D176" s="2046" t="s">
        <v>1614</v>
      </c>
      <c r="E176" s="2058"/>
      <c r="F176" s="2058"/>
      <c r="G176" s="2058"/>
      <c r="H176" s="2868"/>
      <c r="I176" s="3126">
        <f>採点LR3!G44</f>
        <v>0</v>
      </c>
      <c r="J176" s="3127"/>
      <c r="K176" s="3127"/>
      <c r="L176" s="3127"/>
      <c r="M176" s="3127"/>
      <c r="N176" s="3127"/>
      <c r="O176" s="3127"/>
      <c r="P176" s="3128"/>
      <c r="Q176" s="2157">
        <f t="shared" si="23"/>
        <v>3</v>
      </c>
      <c r="R176" s="2906">
        <f t="shared" si="28"/>
        <v>0.5</v>
      </c>
      <c r="S176" s="2966">
        <f t="shared" si="24"/>
        <v>0</v>
      </c>
      <c r="T176" s="2937">
        <f t="shared" si="29"/>
        <v>0</v>
      </c>
      <c r="U176" s="2842"/>
      <c r="V176" s="2788"/>
      <c r="W176" s="464">
        <f>採点LR3!F38</f>
        <v>3</v>
      </c>
      <c r="X176" s="1837"/>
      <c r="Z176" s="1832">
        <f>IF($Z$3=4,#REF!,W176)</f>
        <v>3</v>
      </c>
      <c r="AA176" s="1658">
        <f>重み!D176</f>
        <v>0.5</v>
      </c>
      <c r="AB176" s="1832">
        <f>IF($Z$3=4,#REF!,X176)</f>
        <v>0</v>
      </c>
      <c r="AC176" s="1658">
        <f>重み!E176</f>
        <v>0</v>
      </c>
      <c r="AD176" s="447"/>
      <c r="AE176" s="434"/>
      <c r="AF176" s="442">
        <f>重み!M176</f>
        <v>0.5</v>
      </c>
      <c r="AG176" s="182"/>
      <c r="AH176" s="442">
        <f>重み!N176</f>
        <v>0</v>
      </c>
      <c r="AI176" s="2563"/>
      <c r="AJ176" s="2563"/>
      <c r="AK176" s="2564"/>
    </row>
    <row r="177" spans="2:37" ht="14.25" customHeight="1" thickBot="1">
      <c r="B177" s="2834"/>
      <c r="C177" s="2068">
        <v>2.2999999999999998</v>
      </c>
      <c r="D177" s="1317" t="s">
        <v>555</v>
      </c>
      <c r="E177" s="2045"/>
      <c r="F177" s="2045"/>
      <c r="G177" s="2045"/>
      <c r="H177" s="2835"/>
      <c r="I177" s="2836"/>
      <c r="J177" s="2837"/>
      <c r="K177" s="2837"/>
      <c r="L177" s="2837"/>
      <c r="M177" s="2837"/>
      <c r="N177" s="2837"/>
      <c r="O177" s="2837"/>
      <c r="P177" s="2838"/>
      <c r="Q177" s="2885">
        <f t="shared" si="23"/>
        <v>3.2</v>
      </c>
      <c r="R177" s="2979">
        <f>AA177</f>
        <v>0.25</v>
      </c>
      <c r="S177" s="2907">
        <f t="shared" si="24"/>
        <v>0</v>
      </c>
      <c r="T177" s="2841">
        <f t="shared" si="29"/>
        <v>0</v>
      </c>
      <c r="U177" s="2842"/>
      <c r="V177" s="2788"/>
      <c r="W177" s="468"/>
      <c r="X177" s="1837"/>
      <c r="Z177" s="450">
        <f>SUMPRODUCT(Z178:Z181,AA178:AA181)</f>
        <v>3.25</v>
      </c>
      <c r="AA177" s="1658">
        <f>重み!D177</f>
        <v>0.25</v>
      </c>
      <c r="AB177" s="450">
        <f>SUMPRODUCT(AB178:AB181,AC178:AC181)</f>
        <v>0</v>
      </c>
      <c r="AC177" s="1658">
        <f>重み!E177</f>
        <v>0</v>
      </c>
      <c r="AD177" s="447"/>
      <c r="AE177" s="434"/>
      <c r="AF177" s="442">
        <f>重み!M177</f>
        <v>0.25</v>
      </c>
      <c r="AG177" s="182"/>
      <c r="AH177" s="442">
        <f>重み!N177</f>
        <v>0</v>
      </c>
      <c r="AI177" s="2563"/>
      <c r="AJ177" s="2563"/>
      <c r="AK177" s="2564"/>
    </row>
    <row r="178" spans="2:37" ht="14.25" customHeight="1">
      <c r="B178" s="2834"/>
      <c r="C178" s="2019"/>
      <c r="D178" s="993">
        <v>1</v>
      </c>
      <c r="E178" s="2034" t="s">
        <v>1615</v>
      </c>
      <c r="F178" s="2034"/>
      <c r="G178" s="2034"/>
      <c r="H178" s="2868"/>
      <c r="I178" s="3126">
        <f>採点LR3!G89</f>
        <v>0</v>
      </c>
      <c r="J178" s="3127"/>
      <c r="K178" s="3127"/>
      <c r="L178" s="3127"/>
      <c r="M178" s="3127"/>
      <c r="N178" s="3127"/>
      <c r="O178" s="3127"/>
      <c r="P178" s="3128"/>
      <c r="Q178" s="2149">
        <f t="shared" si="23"/>
        <v>3</v>
      </c>
      <c r="R178" s="2849">
        <f t="shared" si="28"/>
        <v>0.25</v>
      </c>
      <c r="S178" s="2907">
        <f t="shared" si="24"/>
        <v>0</v>
      </c>
      <c r="T178" s="2849">
        <f t="shared" si="29"/>
        <v>0</v>
      </c>
      <c r="U178" s="2842"/>
      <c r="V178" s="2788"/>
      <c r="W178" s="462">
        <f>採点LR3!F83</f>
        <v>3</v>
      </c>
      <c r="X178" s="1845"/>
      <c r="Z178" s="453">
        <f>IF($Z$3=4,#REF!,W178)</f>
        <v>3</v>
      </c>
      <c r="AA178" s="1658">
        <f>重み!D178</f>
        <v>0.25</v>
      </c>
      <c r="AB178" s="453">
        <f>IF($Z$3=4,#REF!,X178)</f>
        <v>0</v>
      </c>
      <c r="AC178" s="1658">
        <f>重み!E178</f>
        <v>0</v>
      </c>
      <c r="AD178" s="447"/>
      <c r="AE178" s="434"/>
      <c r="AF178" s="442">
        <f>重み!M178</f>
        <v>0.25</v>
      </c>
      <c r="AG178" s="182"/>
      <c r="AH178" s="442">
        <f>重み!N181</f>
        <v>0</v>
      </c>
      <c r="AI178" s="2563"/>
      <c r="AJ178" s="2563"/>
      <c r="AK178" s="2564"/>
    </row>
    <row r="179" spans="2:37" ht="14.25" customHeight="1">
      <c r="B179" s="2834"/>
      <c r="C179" s="2019"/>
      <c r="D179" s="2018">
        <v>2</v>
      </c>
      <c r="E179" s="2034" t="s">
        <v>1616</v>
      </c>
      <c r="F179" s="2034"/>
      <c r="G179" s="2034"/>
      <c r="H179" s="2868"/>
      <c r="I179" s="3126">
        <f>採点LR3!G99</f>
        <v>0</v>
      </c>
      <c r="J179" s="3127"/>
      <c r="K179" s="3127"/>
      <c r="L179" s="3127"/>
      <c r="M179" s="3127"/>
      <c r="N179" s="3127"/>
      <c r="O179" s="3127"/>
      <c r="P179" s="3128"/>
      <c r="Q179" s="2063">
        <f t="shared" si="23"/>
        <v>3</v>
      </c>
      <c r="R179" s="2849">
        <f t="shared" si="28"/>
        <v>0.25</v>
      </c>
      <c r="S179" s="2905">
        <f t="shared" si="24"/>
        <v>0</v>
      </c>
      <c r="T179" s="2849">
        <f t="shared" si="29"/>
        <v>0</v>
      </c>
      <c r="U179" s="2842"/>
      <c r="V179" s="2788"/>
      <c r="W179" s="462">
        <f>採点LR3!F93</f>
        <v>3</v>
      </c>
      <c r="X179" s="1845"/>
      <c r="Z179" s="453">
        <f>IF($Z$3=4,#REF!,W179)</f>
        <v>3</v>
      </c>
      <c r="AA179" s="1658">
        <f>重み!D179</f>
        <v>0.25</v>
      </c>
      <c r="AB179" s="453">
        <f>IF($Z$3=4,#REF!,X179)</f>
        <v>0</v>
      </c>
      <c r="AC179" s="1658">
        <f>重み!E179</f>
        <v>0</v>
      </c>
      <c r="AD179" s="447"/>
      <c r="AE179" s="434"/>
      <c r="AF179" s="442">
        <f>重み!M179</f>
        <v>0.25</v>
      </c>
      <c r="AG179" s="182"/>
      <c r="AH179" s="442">
        <f>重み!N193</f>
        <v>0</v>
      </c>
      <c r="AI179" s="2563"/>
      <c r="AJ179" s="2563"/>
      <c r="AK179" s="2564"/>
    </row>
    <row r="180" spans="2:37" ht="14.25" customHeight="1">
      <c r="B180" s="2834"/>
      <c r="C180" s="2019"/>
      <c r="D180" s="993">
        <v>3</v>
      </c>
      <c r="E180" s="2034" t="s">
        <v>556</v>
      </c>
      <c r="F180" s="2034"/>
      <c r="G180" s="2034"/>
      <c r="H180" s="2868"/>
      <c r="I180" s="3126">
        <f>採点LR3!G109</f>
        <v>0</v>
      </c>
      <c r="J180" s="3127"/>
      <c r="K180" s="3127"/>
      <c r="L180" s="3127"/>
      <c r="M180" s="3127"/>
      <c r="N180" s="3127"/>
      <c r="O180" s="3127"/>
      <c r="P180" s="3128"/>
      <c r="Q180" s="2063">
        <f t="shared" si="23"/>
        <v>4</v>
      </c>
      <c r="R180" s="2849">
        <f t="shared" si="28"/>
        <v>0.25</v>
      </c>
      <c r="S180" s="2905">
        <f t="shared" si="24"/>
        <v>0</v>
      </c>
      <c r="T180" s="2849">
        <f t="shared" si="29"/>
        <v>0</v>
      </c>
      <c r="U180" s="2842"/>
      <c r="V180" s="2788"/>
      <c r="W180" s="462">
        <f>採点LR3!F103</f>
        <v>4</v>
      </c>
      <c r="X180" s="1837"/>
      <c r="Z180" s="453">
        <f>IF($Z$3=4,#REF!,W180)</f>
        <v>4</v>
      </c>
      <c r="AA180" s="1658">
        <f>重み!D180</f>
        <v>0.25</v>
      </c>
      <c r="AB180" s="453">
        <f>IF($Z$3=4,#REF!,X180)</f>
        <v>0</v>
      </c>
      <c r="AC180" s="1658">
        <f>重み!E180</f>
        <v>0</v>
      </c>
      <c r="AD180" s="447"/>
      <c r="AE180" s="434"/>
      <c r="AF180" s="442">
        <f>重み!M180</f>
        <v>0.25</v>
      </c>
      <c r="AG180" s="182"/>
      <c r="AH180" s="442">
        <f>重み!N194</f>
        <v>0</v>
      </c>
      <c r="AI180" s="2563"/>
      <c r="AJ180" s="2563"/>
      <c r="AK180" s="2564"/>
    </row>
    <row r="181" spans="2:37" thickBot="1">
      <c r="B181" s="2834"/>
      <c r="C181" s="2067"/>
      <c r="D181" s="993">
        <v>4</v>
      </c>
      <c r="E181" s="2034" t="s">
        <v>840</v>
      </c>
      <c r="F181" s="2034"/>
      <c r="G181" s="2034"/>
      <c r="H181" s="2868"/>
      <c r="I181" s="3126">
        <f>採点LR3!G128</f>
        <v>0</v>
      </c>
      <c r="J181" s="3127"/>
      <c r="K181" s="3127"/>
      <c r="L181" s="3127"/>
      <c r="M181" s="3127"/>
      <c r="N181" s="3127"/>
      <c r="O181" s="3127"/>
      <c r="P181" s="3128"/>
      <c r="Q181" s="2063">
        <f t="shared" si="23"/>
        <v>3</v>
      </c>
      <c r="R181" s="2980">
        <f t="shared" si="28"/>
        <v>0.25</v>
      </c>
      <c r="S181" s="2936">
        <f t="shared" si="24"/>
        <v>0</v>
      </c>
      <c r="T181" s="2980">
        <f t="shared" si="29"/>
        <v>0</v>
      </c>
      <c r="U181" s="2897"/>
      <c r="V181" s="2788"/>
      <c r="W181" s="1846">
        <f>採点LR3!F122</f>
        <v>3</v>
      </c>
      <c r="X181" s="1837"/>
      <c r="Z181" s="453">
        <f>IF($Z$3=4,#REF!,W181)</f>
        <v>3</v>
      </c>
      <c r="AA181" s="1658">
        <f>重み!D181</f>
        <v>0.25</v>
      </c>
      <c r="AB181" s="453">
        <f>IF($Z$3=4,#REF!,X181)</f>
        <v>0</v>
      </c>
      <c r="AC181" s="1658">
        <f>重み!E181</f>
        <v>0</v>
      </c>
      <c r="AD181" s="447"/>
      <c r="AE181" s="434"/>
      <c r="AF181" s="442">
        <f>重み!M181</f>
        <v>0.25</v>
      </c>
      <c r="AG181" s="182"/>
      <c r="AH181" s="442">
        <f>重み!N195</f>
        <v>0</v>
      </c>
      <c r="AI181" s="2563"/>
      <c r="AJ181" s="2563"/>
      <c r="AK181" s="2564"/>
    </row>
    <row r="182" spans="2:37" hidden="1" thickBot="1">
      <c r="B182" s="2834"/>
      <c r="C182" s="2065">
        <v>2.1</v>
      </c>
      <c r="D182" s="2064" t="s">
        <v>840</v>
      </c>
      <c r="E182" s="2034"/>
      <c r="F182" s="2034"/>
      <c r="G182" s="2034"/>
      <c r="H182" s="2868"/>
      <c r="I182" s="3134"/>
      <c r="J182" s="3135"/>
      <c r="K182" s="3135"/>
      <c r="L182" s="3135"/>
      <c r="M182" s="3135"/>
      <c r="N182" s="3135"/>
      <c r="O182" s="3135"/>
      <c r="P182" s="3136"/>
      <c r="Q182" s="2157">
        <f t="shared" si="23"/>
        <v>100</v>
      </c>
      <c r="R182" s="2906">
        <f t="shared" ref="R182" si="32">AA182</f>
        <v>0</v>
      </c>
      <c r="S182" s="2966">
        <f t="shared" si="24"/>
        <v>0</v>
      </c>
      <c r="T182" s="2841">
        <f t="shared" ref="T182" si="33">AC182</f>
        <v>0</v>
      </c>
      <c r="U182" s="2842"/>
      <c r="V182" s="2788"/>
      <c r="W182" s="1855">
        <v>100</v>
      </c>
      <c r="X182" s="1837"/>
      <c r="Z182" s="1832">
        <f>IF($Z$3=4,#REF!,W182)</f>
        <v>100</v>
      </c>
      <c r="AA182" s="1658">
        <f>重み!D182</f>
        <v>0</v>
      </c>
      <c r="AB182" s="1832">
        <f>IF($Z$3=4,#REF!,X182)</f>
        <v>0</v>
      </c>
      <c r="AC182" s="1658">
        <f>重み!E182</f>
        <v>0</v>
      </c>
      <c r="AD182" s="447"/>
      <c r="AE182" s="434"/>
      <c r="AF182" s="442">
        <f>重み!M182</f>
        <v>0</v>
      </c>
      <c r="AG182" s="182"/>
      <c r="AH182" s="442"/>
      <c r="AI182" s="2563"/>
      <c r="AJ182" s="2563"/>
      <c r="AK182" s="2564"/>
    </row>
    <row r="183" spans="2:37" ht="13.5">
      <c r="B183" s="2957">
        <v>3</v>
      </c>
      <c r="C183" s="2058" t="s">
        <v>841</v>
      </c>
      <c r="D183" s="2034"/>
      <c r="E183" s="2058"/>
      <c r="F183" s="2058"/>
      <c r="G183" s="2058"/>
      <c r="H183" s="2868"/>
      <c r="I183" s="2875"/>
      <c r="J183" s="2876"/>
      <c r="K183" s="2876"/>
      <c r="L183" s="2876"/>
      <c r="M183" s="2876"/>
      <c r="N183" s="2876"/>
      <c r="O183" s="2876"/>
      <c r="P183" s="2877"/>
      <c r="Q183" s="2878">
        <f t="shared" si="23"/>
        <v>3</v>
      </c>
      <c r="R183" s="2860" t="e">
        <f>AA183</f>
        <v>#VALUE!</v>
      </c>
      <c r="S183" s="2973">
        <f t="shared" si="24"/>
        <v>0</v>
      </c>
      <c r="T183" s="2862">
        <f t="shared" ref="T183:T184" si="34">AC183</f>
        <v>0</v>
      </c>
      <c r="U183" s="2863">
        <f>ROUNDDOWN(AD183,1)</f>
        <v>3</v>
      </c>
      <c r="V183" s="2788"/>
      <c r="W183" s="1837"/>
      <c r="X183" s="1837"/>
      <c r="Z183" s="1833">
        <f>Z184*AA184+Z188*AA188+Z192*AA192</f>
        <v>3.0000000000000004</v>
      </c>
      <c r="AA183" s="1658" t="e">
        <f>重み!D183</f>
        <v>#VALUE!</v>
      </c>
      <c r="AB183" s="1833">
        <f>AB184*AC184+AB188*AC188+AB192*AC192</f>
        <v>0</v>
      </c>
      <c r="AC183" s="451">
        <f>SUM(AC184,AC188,AC192)</f>
        <v>0</v>
      </c>
      <c r="AD183" s="447">
        <f>IF(AB183=0,Z183,IF(Z183=0,AB183,Z183*AF$6+AB183*AH$6))</f>
        <v>3.0000000000000004</v>
      </c>
      <c r="AE183" s="434"/>
      <c r="AF183" s="442">
        <f>重み!M183</f>
        <v>0.33333333333333331</v>
      </c>
      <c r="AG183" s="182"/>
      <c r="AH183" s="451">
        <f>SUM(AH184,AH188,AH192)</f>
        <v>0</v>
      </c>
      <c r="AI183" s="2563"/>
      <c r="AJ183" s="2563"/>
      <c r="AK183" s="2564"/>
    </row>
    <row r="184" spans="2:37" ht="14.25" customHeight="1" thickBot="1">
      <c r="B184" s="2794"/>
      <c r="C184" s="2035">
        <v>3.1</v>
      </c>
      <c r="D184" s="2046" t="s">
        <v>842</v>
      </c>
      <c r="E184" s="2045"/>
      <c r="F184" s="2045"/>
      <c r="G184" s="2045"/>
      <c r="H184" s="2835"/>
      <c r="I184" s="2875"/>
      <c r="J184" s="2876"/>
      <c r="K184" s="2876"/>
      <c r="L184" s="2876"/>
      <c r="M184" s="2876"/>
      <c r="N184" s="2876"/>
      <c r="O184" s="2876"/>
      <c r="P184" s="2877"/>
      <c r="Q184" s="2898">
        <f>ROUNDDOWN(Z184,1)</f>
        <v>3</v>
      </c>
      <c r="R184" s="2840">
        <f>AA184</f>
        <v>0.4</v>
      </c>
      <c r="S184" s="2966">
        <f t="shared" si="24"/>
        <v>0</v>
      </c>
      <c r="T184" s="2841">
        <f t="shared" si="34"/>
        <v>0</v>
      </c>
      <c r="U184" s="2842"/>
      <c r="V184" s="2788"/>
      <c r="W184" s="1837"/>
      <c r="X184" s="1837"/>
      <c r="Z184" s="450">
        <f>SUMPRODUCT(Z185:Z187,AA185:AA187)</f>
        <v>3</v>
      </c>
      <c r="AA184" s="1658">
        <f>重み!D184</f>
        <v>0.4</v>
      </c>
      <c r="AB184" s="450">
        <f>SUMPRODUCT(AB185:AB187,AC185:AC187)</f>
        <v>0</v>
      </c>
      <c r="AC184" s="1658">
        <f>重み!E184</f>
        <v>0</v>
      </c>
      <c r="AD184" s="447"/>
      <c r="AE184" s="434"/>
      <c r="AF184" s="442">
        <f>重み!M184</f>
        <v>0.4</v>
      </c>
      <c r="AG184" s="182"/>
      <c r="AH184" s="442">
        <f>重み!N184</f>
        <v>0</v>
      </c>
      <c r="AI184" s="2563"/>
      <c r="AJ184" s="2563"/>
      <c r="AK184" s="2564"/>
    </row>
    <row r="185" spans="2:37" ht="14.25" customHeight="1">
      <c r="B185" s="2981"/>
      <c r="C185" s="2019"/>
      <c r="D185" s="993">
        <v>1</v>
      </c>
      <c r="E185" s="2034" t="s">
        <v>843</v>
      </c>
      <c r="F185" s="2034"/>
      <c r="G185" s="2034"/>
      <c r="H185" s="2868"/>
      <c r="I185" s="3126">
        <f>採点LR3!G150</f>
        <v>0</v>
      </c>
      <c r="J185" s="3127"/>
      <c r="K185" s="3127"/>
      <c r="L185" s="3127"/>
      <c r="M185" s="3127"/>
      <c r="N185" s="3127"/>
      <c r="O185" s="3127"/>
      <c r="P185" s="3128"/>
      <c r="Q185" s="2982">
        <f t="shared" si="23"/>
        <v>3</v>
      </c>
      <c r="R185" s="2906">
        <f t="shared" si="28"/>
        <v>0.33333333333333331</v>
      </c>
      <c r="S185" s="2966">
        <f t="shared" si="24"/>
        <v>0</v>
      </c>
      <c r="T185" s="2841">
        <f t="shared" si="29"/>
        <v>0</v>
      </c>
      <c r="U185" s="2842"/>
      <c r="V185" s="2788"/>
      <c r="W185" s="1848">
        <f>採点LR3!F144</f>
        <v>3</v>
      </c>
      <c r="X185" s="1837"/>
      <c r="Z185" s="453">
        <f>IF($Z$3=4,#REF!,W185)</f>
        <v>3</v>
      </c>
      <c r="AA185" s="1658">
        <f>重み!D185</f>
        <v>0.33333333333333331</v>
      </c>
      <c r="AB185" s="453">
        <f>IF($Z$3=4,#REF!,X185)</f>
        <v>0</v>
      </c>
      <c r="AC185" s="1658">
        <f>重み!E185</f>
        <v>0</v>
      </c>
      <c r="AD185" s="447"/>
      <c r="AE185" s="434"/>
      <c r="AF185" s="442">
        <f>重み!M185</f>
        <v>0.33333333333333331</v>
      </c>
      <c r="AG185" s="182"/>
      <c r="AH185" s="442">
        <f>重み!N185</f>
        <v>0</v>
      </c>
      <c r="AI185" s="2563"/>
      <c r="AJ185" s="2563"/>
      <c r="AK185" s="2564"/>
    </row>
    <row r="186" spans="2:37" ht="14.25" customHeight="1">
      <c r="B186" s="2981"/>
      <c r="C186" s="2019"/>
      <c r="D186" s="2018">
        <v>2</v>
      </c>
      <c r="E186" s="2034" t="s">
        <v>1617</v>
      </c>
      <c r="F186" s="2034"/>
      <c r="G186" s="2034"/>
      <c r="H186" s="2868"/>
      <c r="I186" s="3126">
        <f>採点LR3!G178</f>
        <v>0</v>
      </c>
      <c r="J186" s="3127"/>
      <c r="K186" s="3127"/>
      <c r="L186" s="3127"/>
      <c r="M186" s="3127"/>
      <c r="N186" s="3127"/>
      <c r="O186" s="3127"/>
      <c r="P186" s="3128"/>
      <c r="Q186" s="2983">
        <f t="shared" si="23"/>
        <v>3</v>
      </c>
      <c r="R186" s="2906">
        <f t="shared" si="28"/>
        <v>0.33333333333333331</v>
      </c>
      <c r="S186" s="2966">
        <f t="shared" si="24"/>
        <v>0</v>
      </c>
      <c r="T186" s="2841">
        <f t="shared" si="29"/>
        <v>0</v>
      </c>
      <c r="U186" s="2842"/>
      <c r="V186" s="2788"/>
      <c r="W186" s="1846">
        <f>採点LR3!F172</f>
        <v>3</v>
      </c>
      <c r="X186" s="1837"/>
      <c r="Z186" s="453">
        <f>IF($Z$3=4,#REF!,W186)</f>
        <v>3</v>
      </c>
      <c r="AA186" s="1658">
        <f>重み!D186</f>
        <v>0.33333333333333331</v>
      </c>
      <c r="AB186" s="453">
        <f>IF($Z$3=4,#REF!,X186)</f>
        <v>0</v>
      </c>
      <c r="AC186" s="1658">
        <f>重み!E186</f>
        <v>0</v>
      </c>
      <c r="AD186" s="447"/>
      <c r="AE186" s="434"/>
      <c r="AF186" s="442">
        <f>重み!M186</f>
        <v>0.33333333333333331</v>
      </c>
      <c r="AG186" s="182"/>
      <c r="AH186" s="442">
        <f>重み!N186</f>
        <v>0</v>
      </c>
      <c r="AI186" s="2563"/>
      <c r="AJ186" s="2563"/>
      <c r="AK186" s="2564"/>
    </row>
    <row r="187" spans="2:37" ht="14.25" customHeight="1" thickBot="1">
      <c r="B187" s="2981"/>
      <c r="C187" s="2019"/>
      <c r="D187" s="993">
        <v>3</v>
      </c>
      <c r="E187" s="2034" t="s">
        <v>1618</v>
      </c>
      <c r="F187" s="2034"/>
      <c r="G187" s="2034"/>
      <c r="H187" s="2868"/>
      <c r="I187" s="3126">
        <f>採点LR3!G199</f>
        <v>0</v>
      </c>
      <c r="J187" s="3127"/>
      <c r="K187" s="3127"/>
      <c r="L187" s="3127"/>
      <c r="M187" s="3127"/>
      <c r="N187" s="3127"/>
      <c r="O187" s="3127"/>
      <c r="P187" s="3128"/>
      <c r="Q187" s="2984">
        <f t="shared" si="23"/>
        <v>3</v>
      </c>
      <c r="R187" s="2906">
        <f t="shared" si="28"/>
        <v>0.33333333333333331</v>
      </c>
      <c r="S187" s="2966">
        <f t="shared" si="24"/>
        <v>0</v>
      </c>
      <c r="T187" s="2841">
        <f t="shared" si="29"/>
        <v>0</v>
      </c>
      <c r="U187" s="2842"/>
      <c r="V187" s="2788"/>
      <c r="W187" s="1847">
        <f>採点LR3!F193</f>
        <v>3</v>
      </c>
      <c r="X187" s="1837"/>
      <c r="Z187" s="453">
        <f>IF($Z$3=4,#REF!,W187)</f>
        <v>3</v>
      </c>
      <c r="AA187" s="1658">
        <f>重み!D187</f>
        <v>0.33333333333333331</v>
      </c>
      <c r="AB187" s="453">
        <f>IF($Z$3=4,#REF!,X187)</f>
        <v>0</v>
      </c>
      <c r="AC187" s="1658">
        <f>重み!E187</f>
        <v>0</v>
      </c>
      <c r="AD187" s="447"/>
      <c r="AE187" s="434"/>
      <c r="AF187" s="442">
        <f>重み!M187</f>
        <v>0.33333333333333331</v>
      </c>
      <c r="AG187" s="182"/>
      <c r="AH187" s="442">
        <f>重み!N187</f>
        <v>0</v>
      </c>
      <c r="AI187" s="2563"/>
      <c r="AJ187" s="2563"/>
      <c r="AK187" s="2564"/>
    </row>
    <row r="188" spans="2:37" ht="14.25" customHeight="1" thickBot="1">
      <c r="B188" s="2981"/>
      <c r="C188" s="2035">
        <v>3.2</v>
      </c>
      <c r="D188" s="2034" t="s">
        <v>2045</v>
      </c>
      <c r="E188" s="2033"/>
      <c r="F188" s="2033"/>
      <c r="G188" s="2033"/>
      <c r="H188" s="2886"/>
      <c r="I188" s="2836"/>
      <c r="J188" s="2837"/>
      <c r="K188" s="2837"/>
      <c r="L188" s="2837"/>
      <c r="M188" s="2837"/>
      <c r="N188" s="2837"/>
      <c r="O188" s="2837"/>
      <c r="P188" s="2838"/>
      <c r="Q188" s="2898">
        <f t="shared" si="23"/>
        <v>3</v>
      </c>
      <c r="R188" s="2906">
        <f>AA188</f>
        <v>0.4</v>
      </c>
      <c r="S188" s="2966">
        <f t="shared" si="24"/>
        <v>0</v>
      </c>
      <c r="T188" s="2841">
        <f t="shared" si="29"/>
        <v>0</v>
      </c>
      <c r="U188" s="2842"/>
      <c r="V188" s="2788"/>
      <c r="W188" s="1849"/>
      <c r="X188" s="1837"/>
      <c r="Z188" s="450">
        <f>SUMPRODUCT(Z189:Z191,AA189:AA191)</f>
        <v>2.9999999999999996</v>
      </c>
      <c r="AA188" s="1658">
        <f>重み!D188</f>
        <v>0.4</v>
      </c>
      <c r="AB188" s="450">
        <f>SUMPRODUCT(AB189:AB191,AC189:AC191)</f>
        <v>0</v>
      </c>
      <c r="AC188" s="1658">
        <f>重み!E188</f>
        <v>0</v>
      </c>
      <c r="AD188" s="447"/>
      <c r="AE188" s="434"/>
      <c r="AF188" s="442">
        <f>重み!M188</f>
        <v>0.4</v>
      </c>
      <c r="AG188" s="182"/>
      <c r="AH188" s="442">
        <f>重み!N188</f>
        <v>0</v>
      </c>
      <c r="AI188" s="2563"/>
      <c r="AJ188" s="2563"/>
      <c r="AK188" s="2564"/>
    </row>
    <row r="189" spans="2:37" ht="14.25" customHeight="1">
      <c r="B189" s="2981"/>
      <c r="C189" s="2019"/>
      <c r="D189" s="993">
        <v>1</v>
      </c>
      <c r="E189" s="2034" t="s">
        <v>1619</v>
      </c>
      <c r="F189" s="2034"/>
      <c r="G189" s="2034"/>
      <c r="H189" s="2868"/>
      <c r="I189" s="3126">
        <f>採点LR3!G210</f>
        <v>0</v>
      </c>
      <c r="J189" s="3127"/>
      <c r="K189" s="3127"/>
      <c r="L189" s="3127"/>
      <c r="M189" s="3127"/>
      <c r="N189" s="3127"/>
      <c r="O189" s="3127"/>
      <c r="P189" s="3128"/>
      <c r="Q189" s="2149">
        <f t="shared" si="23"/>
        <v>3</v>
      </c>
      <c r="R189" s="2906">
        <f t="shared" ref="R189:R194" si="35">AA189</f>
        <v>0.7</v>
      </c>
      <c r="S189" s="2966">
        <f t="shared" si="24"/>
        <v>0</v>
      </c>
      <c r="T189" s="2841">
        <f t="shared" si="29"/>
        <v>0</v>
      </c>
      <c r="U189" s="2842"/>
      <c r="V189" s="2788"/>
      <c r="W189" s="1848">
        <f>採点LR3!F204</f>
        <v>3</v>
      </c>
      <c r="X189" s="1837"/>
      <c r="Z189" s="453">
        <f>IF($Z$3=4,#REF!,W189)</f>
        <v>3</v>
      </c>
      <c r="AA189" s="1658">
        <f>重み!D189</f>
        <v>0.7</v>
      </c>
      <c r="AB189" s="453">
        <f>IF($Z$3=4,#REF!,X189)</f>
        <v>0</v>
      </c>
      <c r="AC189" s="1658">
        <f>重み!E189</f>
        <v>0</v>
      </c>
      <c r="AD189" s="447"/>
      <c r="AE189" s="434"/>
      <c r="AF189" s="442">
        <f>重み!M189</f>
        <v>0.7</v>
      </c>
      <c r="AG189" s="182"/>
      <c r="AH189" s="442">
        <f>重み!N189</f>
        <v>0</v>
      </c>
      <c r="AI189" s="2563"/>
      <c r="AJ189" s="2563"/>
      <c r="AK189" s="2564"/>
    </row>
    <row r="190" spans="2:37" ht="14.25" customHeight="1" thickBot="1">
      <c r="B190" s="2981"/>
      <c r="C190" s="2019"/>
      <c r="D190" s="993">
        <v>2</v>
      </c>
      <c r="E190" s="2034" t="s">
        <v>844</v>
      </c>
      <c r="F190" s="2034"/>
      <c r="G190" s="2034"/>
      <c r="H190" s="2868"/>
      <c r="I190" s="3126">
        <f>採点LR3!G220</f>
        <v>0</v>
      </c>
      <c r="J190" s="3127"/>
      <c r="K190" s="3127"/>
      <c r="L190" s="3127"/>
      <c r="M190" s="3127"/>
      <c r="N190" s="3127"/>
      <c r="O190" s="3127"/>
      <c r="P190" s="3128"/>
      <c r="Q190" s="2063">
        <f t="shared" si="23"/>
        <v>3</v>
      </c>
      <c r="R190" s="2985">
        <f t="shared" si="35"/>
        <v>0</v>
      </c>
      <c r="S190" s="2966">
        <f t="shared" si="24"/>
        <v>0</v>
      </c>
      <c r="T190" s="2841"/>
      <c r="U190" s="2842"/>
      <c r="V190" s="2788"/>
      <c r="W190" s="1847">
        <f>採点LR3!F214</f>
        <v>3</v>
      </c>
      <c r="X190" s="1837"/>
      <c r="Z190" s="453">
        <f>IF($Z$3=4,#REF!,W190)</f>
        <v>3</v>
      </c>
      <c r="AA190" s="1658">
        <f>重み!D190</f>
        <v>0</v>
      </c>
      <c r="AB190" s="453">
        <f>IF($Z$3=4,#REF!,X190)</f>
        <v>0</v>
      </c>
      <c r="AC190" s="1658">
        <f>重み!E190</f>
        <v>0</v>
      </c>
      <c r="AD190" s="447"/>
      <c r="AE190" s="434"/>
      <c r="AF190" s="442">
        <f>重み!M190</f>
        <v>0</v>
      </c>
      <c r="AG190" s="182"/>
      <c r="AH190" s="442">
        <f>重み!N190</f>
        <v>0</v>
      </c>
      <c r="AI190" s="2563"/>
      <c r="AJ190" s="2563"/>
      <c r="AK190" s="2564"/>
    </row>
    <row r="191" spans="2:37" ht="14.25" customHeight="1" thickBot="1">
      <c r="B191" s="2981"/>
      <c r="C191" s="2019"/>
      <c r="D191" s="2018">
        <v>3</v>
      </c>
      <c r="E191" s="2034" t="s">
        <v>1620</v>
      </c>
      <c r="F191" s="2034"/>
      <c r="G191" s="2034"/>
      <c r="H191" s="2868"/>
      <c r="I191" s="3126">
        <f>採点LR3!G238</f>
        <v>0</v>
      </c>
      <c r="J191" s="3127"/>
      <c r="K191" s="3127"/>
      <c r="L191" s="3127"/>
      <c r="M191" s="3127"/>
      <c r="N191" s="3127"/>
      <c r="O191" s="3127"/>
      <c r="P191" s="3128"/>
      <c r="Q191" s="2143">
        <f t="shared" si="23"/>
        <v>3</v>
      </c>
      <c r="R191" s="2985">
        <f t="shared" si="35"/>
        <v>0.3</v>
      </c>
      <c r="S191" s="2966">
        <f t="shared" si="24"/>
        <v>0</v>
      </c>
      <c r="T191" s="2841">
        <f>AC191</f>
        <v>0</v>
      </c>
      <c r="U191" s="2842"/>
      <c r="V191" s="2788"/>
      <c r="W191" s="1847">
        <f>採点LR3!F232</f>
        <v>3</v>
      </c>
      <c r="X191" s="1837"/>
      <c r="Z191" s="453">
        <f>IF($Z$3=4,#REF!,W191)</f>
        <v>3</v>
      </c>
      <c r="AA191" s="1658">
        <f>重み!D191</f>
        <v>0.3</v>
      </c>
      <c r="AB191" s="453">
        <f>IF($Z$3=4,#REF!,X191)</f>
        <v>0</v>
      </c>
      <c r="AC191" s="1658">
        <f>重み!E191</f>
        <v>0</v>
      </c>
      <c r="AD191" s="447"/>
      <c r="AE191" s="434"/>
      <c r="AF191" s="442">
        <f>重み!M191</f>
        <v>0.3</v>
      </c>
      <c r="AG191" s="182"/>
      <c r="AH191" s="442">
        <f>重み!N191</f>
        <v>0</v>
      </c>
      <c r="AI191" s="2563"/>
      <c r="AJ191" s="2563"/>
      <c r="AK191" s="2564"/>
    </row>
    <row r="192" spans="2:37" ht="14.25" customHeight="1" thickBot="1">
      <c r="B192" s="2981"/>
      <c r="C192" s="2035">
        <v>3.3</v>
      </c>
      <c r="D192" s="2034" t="s">
        <v>845</v>
      </c>
      <c r="E192" s="2033"/>
      <c r="F192" s="2033"/>
      <c r="G192" s="2033"/>
      <c r="H192" s="2886"/>
      <c r="I192" s="2836"/>
      <c r="J192" s="2837"/>
      <c r="K192" s="2837"/>
      <c r="L192" s="2837"/>
      <c r="M192" s="2837"/>
      <c r="N192" s="2837"/>
      <c r="O192" s="2837"/>
      <c r="P192" s="2838"/>
      <c r="Q192" s="2898">
        <f t="shared" si="23"/>
        <v>3</v>
      </c>
      <c r="R192" s="2906">
        <f>AA192</f>
        <v>0.2</v>
      </c>
      <c r="S192" s="2966">
        <f t="shared" si="24"/>
        <v>0</v>
      </c>
      <c r="T192" s="2841">
        <f t="shared" ref="T192" si="36">AC192</f>
        <v>0</v>
      </c>
      <c r="U192" s="2842"/>
      <c r="V192" s="2788"/>
      <c r="W192" s="1849"/>
      <c r="X192" s="1837"/>
      <c r="Z192" s="450">
        <f>SUMPRODUCT(Z193:Z194,AA193:AA194)</f>
        <v>2.9999999999999996</v>
      </c>
      <c r="AA192" s="1658">
        <f>重み!D192</f>
        <v>0.2</v>
      </c>
      <c r="AB192" s="450">
        <f>SUMPRODUCT(AB193:AB194,AC193:AC194)</f>
        <v>0</v>
      </c>
      <c r="AC192" s="1658">
        <f>重み!E192</f>
        <v>0</v>
      </c>
      <c r="AD192" s="447"/>
      <c r="AE192" s="434"/>
      <c r="AF192" s="442">
        <f>重み!M192</f>
        <v>0.2</v>
      </c>
      <c r="AG192" s="182"/>
      <c r="AH192" s="442">
        <f>重み!N192</f>
        <v>0</v>
      </c>
      <c r="AI192" s="2563"/>
      <c r="AJ192" s="2563"/>
      <c r="AK192" s="2564"/>
    </row>
    <row r="193" spans="2:37" ht="14.25" customHeight="1">
      <c r="B193" s="2981"/>
      <c r="C193" s="2019"/>
      <c r="D193" s="993">
        <v>1</v>
      </c>
      <c r="E193" s="3118" t="s">
        <v>846</v>
      </c>
      <c r="F193" s="3143"/>
      <c r="G193" s="3143"/>
      <c r="H193" s="3137"/>
      <c r="I193" s="3126">
        <f>採点LR3!G250</f>
        <v>0</v>
      </c>
      <c r="J193" s="3127"/>
      <c r="K193" s="3127"/>
      <c r="L193" s="3127"/>
      <c r="M193" s="3127"/>
      <c r="N193" s="3127"/>
      <c r="O193" s="3127"/>
      <c r="P193" s="3128"/>
      <c r="Q193" s="2149">
        <f t="shared" si="23"/>
        <v>3</v>
      </c>
      <c r="R193" s="2906">
        <f t="shared" si="35"/>
        <v>0.7</v>
      </c>
      <c r="S193" s="2966">
        <f t="shared" si="24"/>
        <v>0</v>
      </c>
      <c r="T193" s="2841">
        <f>AC193</f>
        <v>0</v>
      </c>
      <c r="U193" s="2842"/>
      <c r="V193" s="2788"/>
      <c r="W193" s="1848">
        <f>採点LR3!F244</f>
        <v>3</v>
      </c>
      <c r="X193" s="1837"/>
      <c r="Z193" s="453">
        <f>IF($Z$3=4,#REF!,W193)</f>
        <v>3</v>
      </c>
      <c r="AA193" s="1658">
        <f>重み!D193</f>
        <v>0.7</v>
      </c>
      <c r="AB193" s="453">
        <f>IF($Z$3=4,#REF!,X193)</f>
        <v>0</v>
      </c>
      <c r="AC193" s="1658">
        <f>重み!E193</f>
        <v>0</v>
      </c>
      <c r="AD193" s="447"/>
      <c r="AE193" s="434"/>
      <c r="AF193" s="442">
        <f>重み!M193</f>
        <v>0.7</v>
      </c>
      <c r="AG193" s="182"/>
      <c r="AH193" s="442">
        <f>重み!N193</f>
        <v>0</v>
      </c>
      <c r="AI193" s="2563"/>
      <c r="AJ193" s="2563"/>
      <c r="AK193" s="2564"/>
    </row>
    <row r="194" spans="2:37" ht="14.25" customHeight="1" thickBot="1">
      <c r="B194" s="2981"/>
      <c r="C194" s="2019"/>
      <c r="D194" s="2018">
        <v>2</v>
      </c>
      <c r="E194" s="3119" t="s">
        <v>2000</v>
      </c>
      <c r="F194" s="3141"/>
      <c r="G194" s="3141"/>
      <c r="H194" s="3142"/>
      <c r="I194" s="3126">
        <f>採点LR3!G269</f>
        <v>0</v>
      </c>
      <c r="J194" s="3127"/>
      <c r="K194" s="3127"/>
      <c r="L194" s="3127"/>
      <c r="M194" s="3127"/>
      <c r="N194" s="3127"/>
      <c r="O194" s="3127"/>
      <c r="P194" s="3128"/>
      <c r="Q194" s="2063">
        <f>ROUNDDOWN(Z194,1)</f>
        <v>3</v>
      </c>
      <c r="R194" s="2985">
        <f t="shared" si="35"/>
        <v>0.3</v>
      </c>
      <c r="S194" s="2986">
        <f t="shared" si="24"/>
        <v>0</v>
      </c>
      <c r="T194" s="2841">
        <f>AC194</f>
        <v>0</v>
      </c>
      <c r="U194" s="2842"/>
      <c r="V194" s="2788"/>
      <c r="W194" s="1846">
        <f>採点LR3!F263</f>
        <v>3</v>
      </c>
      <c r="X194" s="1837"/>
      <c r="Z194" s="453">
        <f>IF($Z$3=4,#REF!,W194)</f>
        <v>3</v>
      </c>
      <c r="AA194" s="1658">
        <f>重み!D194</f>
        <v>0.3</v>
      </c>
      <c r="AB194" s="453">
        <f>IF($Z$3=4,#REF!,X194)</f>
        <v>0</v>
      </c>
      <c r="AC194" s="1658">
        <f>重み!E194</f>
        <v>0</v>
      </c>
      <c r="AD194" s="447"/>
      <c r="AE194" s="434"/>
      <c r="AF194" s="449">
        <f>重み!M194</f>
        <v>0.3</v>
      </c>
      <c r="AG194" s="182"/>
      <c r="AH194" s="449">
        <f>重み!N194</f>
        <v>0</v>
      </c>
      <c r="AI194" s="2563"/>
      <c r="AJ194" s="2563"/>
      <c r="AK194" s="2564"/>
    </row>
    <row r="195" spans="2:37">
      <c r="B195" s="2987"/>
      <c r="C195" s="1522"/>
      <c r="D195" s="1522"/>
      <c r="E195" s="1522"/>
      <c r="F195" s="1522"/>
      <c r="G195" s="1522"/>
      <c r="H195" s="1522"/>
      <c r="I195" s="1522"/>
      <c r="J195" s="1522"/>
      <c r="K195" s="1522"/>
      <c r="L195" s="1522"/>
      <c r="M195" s="1522"/>
      <c r="N195" s="1522"/>
      <c r="O195" s="1522"/>
      <c r="P195" s="1522"/>
      <c r="Q195" s="1522"/>
      <c r="R195" s="1522"/>
      <c r="S195" s="1522"/>
      <c r="T195" s="1522"/>
      <c r="U195" s="1522"/>
      <c r="V195" s="2788"/>
      <c r="W195" s="1852"/>
      <c r="X195" s="1852"/>
      <c r="Y195" s="1522"/>
      <c r="Z195" s="1522"/>
      <c r="AA195" s="1522"/>
      <c r="AB195" s="1522"/>
      <c r="AC195" s="1522"/>
      <c r="AD195" s="1522"/>
      <c r="AE195" s="1522"/>
      <c r="AF195" s="1522"/>
      <c r="AG195" s="1522"/>
      <c r="AH195" s="1522"/>
    </row>
    <row r="196" spans="2:37" ht="15" thickBot="1">
      <c r="B196" s="1452" t="str">
        <f>B2</f>
        <v>CASBEE-建築(新築)2016年版</v>
      </c>
      <c r="U196" s="2409" t="str">
        <f>B3</f>
        <v>○○ビル</v>
      </c>
    </row>
    <row r="197" spans="2:37">
      <c r="B197" s="2988" t="s">
        <v>3586</v>
      </c>
      <c r="C197" s="2989"/>
      <c r="D197" s="2989"/>
      <c r="E197" s="2989"/>
      <c r="F197" s="2990"/>
      <c r="G197" s="2991" t="s">
        <v>386</v>
      </c>
      <c r="H197" s="2991" t="s">
        <v>3583</v>
      </c>
      <c r="I197" s="2992" t="s">
        <v>3070</v>
      </c>
      <c r="J197" s="2992" t="s">
        <v>3071</v>
      </c>
      <c r="K197" s="2992" t="s">
        <v>3072</v>
      </c>
      <c r="L197" s="2992" t="s">
        <v>3073</v>
      </c>
      <c r="M197" s="2992" t="s">
        <v>3074</v>
      </c>
      <c r="N197" s="2992" t="s">
        <v>3075</v>
      </c>
      <c r="O197" s="2992" t="s">
        <v>3076</v>
      </c>
      <c r="P197" s="2992" t="s">
        <v>3077</v>
      </c>
      <c r="Q197" s="2992" t="s">
        <v>3078</v>
      </c>
      <c r="R197" s="2992" t="s">
        <v>3108</v>
      </c>
      <c r="S197" s="2992" t="s">
        <v>3109</v>
      </c>
      <c r="T197" s="2992" t="s">
        <v>3110</v>
      </c>
      <c r="U197" s="2993" t="s">
        <v>3111</v>
      </c>
    </row>
    <row r="198" spans="2:37" hidden="1">
      <c r="B198" s="2994" t="str">
        <f>重み!B9</f>
        <v>Q1</v>
      </c>
      <c r="C198" s="1974" t="str">
        <f>重み!C9</f>
        <v>室内環境</v>
      </c>
      <c r="D198" s="1974"/>
      <c r="E198" s="1974"/>
      <c r="F198" s="1974"/>
      <c r="G198" s="1539" t="s">
        <v>386</v>
      </c>
      <c r="H198" s="2995"/>
      <c r="I198" s="2996" t="s">
        <v>3070</v>
      </c>
      <c r="J198" s="2996" t="s">
        <v>3071</v>
      </c>
      <c r="K198" s="2996" t="s">
        <v>3072</v>
      </c>
      <c r="L198" s="2996" t="s">
        <v>3073</v>
      </c>
      <c r="M198" s="2996" t="s">
        <v>3074</v>
      </c>
      <c r="N198" s="2996" t="s">
        <v>3075</v>
      </c>
      <c r="O198" s="2996" t="s">
        <v>3076</v>
      </c>
      <c r="P198" s="2996" t="s">
        <v>3077</v>
      </c>
      <c r="Q198" s="2996" t="s">
        <v>3078</v>
      </c>
      <c r="R198" s="2996" t="s">
        <v>3108</v>
      </c>
      <c r="S198" s="2996" t="s">
        <v>3109</v>
      </c>
      <c r="T198" s="2996" t="s">
        <v>3110</v>
      </c>
      <c r="U198" s="2997" t="s">
        <v>3111</v>
      </c>
    </row>
    <row r="199" spans="2:37" hidden="1">
      <c r="B199" s="2994">
        <f>重み!B10</f>
        <v>1</v>
      </c>
      <c r="C199" s="1974" t="str">
        <f>重み!C10</f>
        <v>音環境</v>
      </c>
      <c r="D199" s="1974"/>
      <c r="E199" s="1974"/>
      <c r="F199" s="1974"/>
      <c r="G199" s="2998"/>
      <c r="H199" s="2995"/>
      <c r="I199" s="2998"/>
      <c r="J199" s="2998"/>
      <c r="K199" s="2998"/>
      <c r="L199" s="2998"/>
      <c r="M199" s="2998"/>
      <c r="N199" s="2998"/>
      <c r="O199" s="2998"/>
      <c r="P199" s="2998"/>
      <c r="Q199" s="2998"/>
      <c r="R199" s="2998"/>
      <c r="S199" s="2998"/>
      <c r="T199" s="2998"/>
      <c r="U199" s="2999"/>
    </row>
    <row r="200" spans="2:37" hidden="1">
      <c r="B200" s="2994">
        <f>重み!B11</f>
        <v>1.1000000000000001</v>
      </c>
      <c r="C200" s="1974" t="str">
        <f>重み!C11</f>
        <v>室内騒音レベル</v>
      </c>
      <c r="D200" s="1974"/>
      <c r="E200" s="1974"/>
      <c r="F200" s="1974"/>
      <c r="G200" s="2998"/>
      <c r="H200" s="2995"/>
      <c r="I200" s="2998"/>
      <c r="J200" s="2998"/>
      <c r="K200" s="2998"/>
      <c r="L200" s="2998"/>
      <c r="M200" s="2998"/>
      <c r="N200" s="2998"/>
      <c r="O200" s="2998"/>
      <c r="P200" s="2998"/>
      <c r="Q200" s="2998"/>
      <c r="R200" s="2998"/>
      <c r="S200" s="2998"/>
      <c r="T200" s="2998"/>
      <c r="U200" s="2999"/>
    </row>
    <row r="201" spans="2:37" hidden="1">
      <c r="B201" s="2994" t="str">
        <f>重み!B12</f>
        <v>1.1.1</v>
      </c>
      <c r="C201" s="1974">
        <f>重み!C12</f>
        <v>0</v>
      </c>
      <c r="D201" s="1974"/>
      <c r="E201" s="1974"/>
      <c r="F201" s="1974"/>
      <c r="G201" s="2998"/>
      <c r="H201" s="2995"/>
      <c r="I201" s="2998"/>
      <c r="J201" s="2998"/>
      <c r="K201" s="2998"/>
      <c r="L201" s="2998"/>
      <c r="M201" s="2998"/>
      <c r="N201" s="2998"/>
      <c r="O201" s="2998"/>
      <c r="P201" s="2998"/>
      <c r="Q201" s="2998"/>
      <c r="R201" s="2998"/>
      <c r="S201" s="2998"/>
      <c r="T201" s="2998"/>
      <c r="U201" s="2999"/>
    </row>
    <row r="202" spans="2:37" hidden="1">
      <c r="B202" s="2994" t="str">
        <f>重み!B13</f>
        <v>1.1.2</v>
      </c>
      <c r="C202" s="1974">
        <f>重み!C13</f>
        <v>0</v>
      </c>
      <c r="D202" s="1974"/>
      <c r="E202" s="1974"/>
      <c r="F202" s="1974"/>
      <c r="G202" s="2998"/>
      <c r="H202" s="2995"/>
      <c r="I202" s="2998"/>
      <c r="J202" s="2998"/>
      <c r="K202" s="2998"/>
      <c r="L202" s="2998"/>
      <c r="M202" s="2998"/>
      <c r="N202" s="2998"/>
      <c r="O202" s="2998"/>
      <c r="P202" s="2998"/>
      <c r="Q202" s="2998"/>
      <c r="R202" s="2998"/>
      <c r="S202" s="2998"/>
      <c r="T202" s="2998"/>
      <c r="U202" s="2999"/>
    </row>
    <row r="203" spans="2:37" hidden="1">
      <c r="B203" s="2994">
        <f>重み!B14</f>
        <v>1.2</v>
      </c>
      <c r="C203" s="1974" t="str">
        <f>重み!C14</f>
        <v>遮音</v>
      </c>
      <c r="D203" s="1974"/>
      <c r="E203" s="1974"/>
      <c r="F203" s="1974"/>
      <c r="G203" s="2995"/>
      <c r="H203" s="2995"/>
      <c r="I203" s="2995"/>
      <c r="J203" s="2995"/>
      <c r="K203" s="2995"/>
      <c r="L203" s="2995"/>
      <c r="M203" s="2995"/>
      <c r="N203" s="2995"/>
      <c r="O203" s="2995"/>
      <c r="P203" s="2995"/>
      <c r="Q203" s="2995"/>
      <c r="R203" s="2995"/>
      <c r="S203" s="2995"/>
      <c r="T203" s="2995"/>
      <c r="U203" s="3000"/>
    </row>
    <row r="204" spans="2:37" hidden="1">
      <c r="B204" s="2994" t="str">
        <f>重み!B15</f>
        <v>1.2.1</v>
      </c>
      <c r="C204" s="1974" t="str">
        <f>重み!C15</f>
        <v>開口部遮音性能</v>
      </c>
      <c r="D204" s="1974"/>
      <c r="E204" s="1974"/>
      <c r="F204" s="1974"/>
      <c r="G204" s="2998"/>
      <c r="H204" s="2998"/>
      <c r="I204" s="2998"/>
      <c r="J204" s="2998"/>
      <c r="K204" s="2998"/>
      <c r="L204" s="2998"/>
      <c r="M204" s="2998"/>
      <c r="N204" s="2998"/>
      <c r="O204" s="2998"/>
      <c r="P204" s="2998"/>
      <c r="Q204" s="2998"/>
      <c r="R204" s="2998"/>
      <c r="S204" s="2998"/>
      <c r="T204" s="2998"/>
      <c r="U204" s="2999"/>
    </row>
    <row r="205" spans="2:37" hidden="1">
      <c r="B205" s="2994" t="str">
        <f>重み!B16</f>
        <v>1.2.2</v>
      </c>
      <c r="C205" s="1974" t="str">
        <f>重み!C16</f>
        <v>界壁遮音性能</v>
      </c>
      <c r="D205" s="1974"/>
      <c r="E205" s="1974"/>
      <c r="F205" s="1974"/>
      <c r="G205" s="2998"/>
      <c r="H205" s="2998"/>
      <c r="I205" s="2998"/>
      <c r="J205" s="2998"/>
      <c r="K205" s="2998"/>
      <c r="L205" s="2998"/>
      <c r="M205" s="2998"/>
      <c r="N205" s="2998"/>
      <c r="O205" s="2998"/>
      <c r="P205" s="2998"/>
      <c r="Q205" s="2998"/>
      <c r="R205" s="2998"/>
      <c r="S205" s="2998"/>
      <c r="T205" s="2998"/>
      <c r="U205" s="2999"/>
    </row>
    <row r="206" spans="2:37" hidden="1">
      <c r="B206" s="2994" t="str">
        <f>重み!B17</f>
        <v>1.2.3</v>
      </c>
      <c r="C206" s="1974" t="str">
        <f>重み!C17</f>
        <v>界床遮音性能（軽量衝撃源）</v>
      </c>
      <c r="D206" s="1974"/>
      <c r="E206" s="1974"/>
      <c r="F206" s="1974"/>
      <c r="G206" s="2998"/>
      <c r="H206" s="2998"/>
      <c r="I206" s="2998"/>
      <c r="J206" s="2998"/>
      <c r="K206" s="2998"/>
      <c r="L206" s="2998"/>
      <c r="M206" s="2998"/>
      <c r="N206" s="2998"/>
      <c r="O206" s="2998"/>
      <c r="P206" s="2998"/>
      <c r="Q206" s="2998"/>
      <c r="R206" s="2998"/>
      <c r="S206" s="2998"/>
      <c r="T206" s="2998"/>
      <c r="U206" s="2999"/>
    </row>
    <row r="207" spans="2:37" hidden="1">
      <c r="B207" s="2994" t="str">
        <f>重み!B18</f>
        <v>1.2.4</v>
      </c>
      <c r="C207" s="1974" t="str">
        <f>重み!C18</f>
        <v>界床遮音性能（重量衝撃源）</v>
      </c>
      <c r="D207" s="1974"/>
      <c r="E207" s="1974"/>
      <c r="F207" s="1974"/>
      <c r="G207" s="2998"/>
      <c r="H207" s="2998"/>
      <c r="I207" s="2998"/>
      <c r="J207" s="2998"/>
      <c r="K207" s="2998"/>
      <c r="L207" s="2998"/>
      <c r="M207" s="2998"/>
      <c r="N207" s="2998"/>
      <c r="O207" s="2998"/>
      <c r="P207" s="2998"/>
      <c r="Q207" s="2998"/>
      <c r="R207" s="2998"/>
      <c r="S207" s="2998"/>
      <c r="T207" s="2998"/>
      <c r="U207" s="2999"/>
    </row>
    <row r="208" spans="2:37" hidden="1">
      <c r="B208" s="2994">
        <f>重み!B19</f>
        <v>1.3</v>
      </c>
      <c r="C208" s="1974" t="str">
        <f>重み!C19</f>
        <v>吸音</v>
      </c>
      <c r="D208" s="1974"/>
      <c r="E208" s="1974"/>
      <c r="F208" s="1974"/>
      <c r="G208" s="2995"/>
      <c r="H208" s="2995"/>
      <c r="I208" s="2995"/>
      <c r="J208" s="2995"/>
      <c r="K208" s="2995"/>
      <c r="L208" s="2995"/>
      <c r="M208" s="2995"/>
      <c r="N208" s="2995"/>
      <c r="O208" s="2995"/>
      <c r="P208" s="2995"/>
      <c r="Q208" s="2995"/>
      <c r="R208" s="2995"/>
      <c r="S208" s="2995"/>
      <c r="T208" s="2995"/>
      <c r="U208" s="3000"/>
    </row>
    <row r="209" spans="2:21" hidden="1">
      <c r="B209" s="2994">
        <f>重み!B20</f>
        <v>2</v>
      </c>
      <c r="C209" s="1974" t="str">
        <f>重み!C20</f>
        <v>温熱環境</v>
      </c>
      <c r="D209" s="1974"/>
      <c r="E209" s="1974"/>
      <c r="F209" s="1974"/>
      <c r="G209" s="2998"/>
      <c r="H209" s="2998"/>
      <c r="I209" s="2998"/>
      <c r="J209" s="2998"/>
      <c r="K209" s="2998"/>
      <c r="L209" s="2998"/>
      <c r="M209" s="2998"/>
      <c r="N209" s="2998"/>
      <c r="O209" s="2998"/>
      <c r="P209" s="2998"/>
      <c r="Q209" s="2998"/>
      <c r="R209" s="2998"/>
      <c r="S209" s="2998"/>
      <c r="T209" s="2998"/>
      <c r="U209" s="2999"/>
    </row>
    <row r="210" spans="2:21" hidden="1">
      <c r="B210" s="2994">
        <f>重み!B21</f>
        <v>2.1</v>
      </c>
      <c r="C210" s="1974" t="str">
        <f>重み!C21</f>
        <v>室温制御</v>
      </c>
      <c r="D210" s="1974"/>
      <c r="E210" s="1974"/>
      <c r="F210" s="1974"/>
      <c r="G210" s="2998"/>
      <c r="H210" s="2998"/>
      <c r="I210" s="2998"/>
      <c r="J210" s="2998"/>
      <c r="K210" s="2998"/>
      <c r="L210" s="2998"/>
      <c r="M210" s="2998"/>
      <c r="N210" s="2998"/>
      <c r="O210" s="2998"/>
      <c r="P210" s="2998"/>
      <c r="Q210" s="2998"/>
      <c r="R210" s="2998"/>
      <c r="S210" s="2998"/>
      <c r="T210" s="2998"/>
      <c r="U210" s="2999"/>
    </row>
    <row r="211" spans="2:21" hidden="1">
      <c r="B211" s="2994" t="str">
        <f>重み!B22</f>
        <v>2.1.1</v>
      </c>
      <c r="C211" s="1974" t="str">
        <f>重み!C22</f>
        <v>室温</v>
      </c>
      <c r="D211" s="1974"/>
      <c r="E211" s="1974"/>
      <c r="F211" s="1974"/>
      <c r="G211" s="2998"/>
      <c r="H211" s="2998"/>
      <c r="I211" s="2998"/>
      <c r="J211" s="2998"/>
      <c r="K211" s="2998"/>
      <c r="L211" s="2998"/>
      <c r="M211" s="2998"/>
      <c r="N211" s="2998"/>
      <c r="O211" s="2998"/>
      <c r="P211" s="2998"/>
      <c r="Q211" s="2998"/>
      <c r="R211" s="2998"/>
      <c r="S211" s="2998"/>
      <c r="T211" s="2998"/>
      <c r="U211" s="2999"/>
    </row>
    <row r="212" spans="2:21" hidden="1">
      <c r="B212" s="2994" t="str">
        <f>重み!B23</f>
        <v>2.1.2</v>
      </c>
      <c r="C212" s="1974">
        <f>重み!C23</f>
        <v>0</v>
      </c>
      <c r="D212" s="1974"/>
      <c r="E212" s="1974"/>
      <c r="F212" s="1974"/>
      <c r="G212" s="2998"/>
      <c r="H212" s="2998"/>
      <c r="I212" s="2998"/>
      <c r="J212" s="2998"/>
      <c r="K212" s="2998"/>
      <c r="L212" s="2998"/>
      <c r="M212" s="2998"/>
      <c r="N212" s="2998"/>
      <c r="O212" s="2998"/>
      <c r="P212" s="2998"/>
      <c r="Q212" s="2998"/>
      <c r="R212" s="2998"/>
      <c r="S212" s="2998"/>
      <c r="T212" s="2998"/>
      <c r="U212" s="2999"/>
    </row>
    <row r="213" spans="2:21" hidden="1">
      <c r="B213" s="2994" t="str">
        <f>重み!B24</f>
        <v>2.1.3</v>
      </c>
      <c r="C213" s="1974" t="str">
        <f>重み!C24</f>
        <v>外皮性能</v>
      </c>
      <c r="D213" s="1974"/>
      <c r="E213" s="1974"/>
      <c r="F213" s="1974"/>
      <c r="G213" s="2998"/>
      <c r="H213" s="2998"/>
      <c r="I213" s="2998"/>
      <c r="J213" s="2998"/>
      <c r="K213" s="2998"/>
      <c r="L213" s="2998"/>
      <c r="M213" s="2998"/>
      <c r="N213" s="2998"/>
      <c r="O213" s="2998"/>
      <c r="P213" s="2998"/>
      <c r="Q213" s="2998"/>
      <c r="R213" s="2998"/>
      <c r="S213" s="2998"/>
      <c r="T213" s="2998"/>
      <c r="U213" s="2999"/>
    </row>
    <row r="214" spans="2:21" hidden="1">
      <c r="B214" s="2994" t="str">
        <f>重み!B25</f>
        <v>2.1.4</v>
      </c>
      <c r="C214" s="1974" t="str">
        <f>重み!C25</f>
        <v>ゾーン別制御性</v>
      </c>
      <c r="D214" s="1974"/>
      <c r="E214" s="1974"/>
      <c r="F214" s="1974"/>
      <c r="G214" s="2998"/>
      <c r="H214" s="2998"/>
      <c r="I214" s="2998"/>
      <c r="J214" s="2998"/>
      <c r="K214" s="2998"/>
      <c r="L214" s="2998"/>
      <c r="M214" s="2998"/>
      <c r="N214" s="2998"/>
      <c r="O214" s="2998"/>
      <c r="P214" s="2998"/>
      <c r="Q214" s="2998"/>
      <c r="R214" s="2998"/>
      <c r="S214" s="2998"/>
      <c r="T214" s="2998"/>
      <c r="U214" s="2999"/>
    </row>
    <row r="215" spans="2:21" hidden="1">
      <c r="B215" s="2994" t="str">
        <f>重み!B26</f>
        <v>2.1.5</v>
      </c>
      <c r="C215" s="1974">
        <f>重み!C26</f>
        <v>0</v>
      </c>
      <c r="D215" s="1974"/>
      <c r="E215" s="1974"/>
      <c r="F215" s="1974"/>
      <c r="G215" s="2998"/>
      <c r="H215" s="2998"/>
      <c r="I215" s="2998"/>
      <c r="J215" s="2998"/>
      <c r="K215" s="2998"/>
      <c r="L215" s="2998"/>
      <c r="M215" s="2998"/>
      <c r="N215" s="2998"/>
      <c r="O215" s="2998"/>
      <c r="P215" s="2998"/>
      <c r="Q215" s="2998"/>
      <c r="R215" s="2998"/>
      <c r="S215" s="2998"/>
      <c r="T215" s="2998"/>
      <c r="U215" s="2999"/>
    </row>
    <row r="216" spans="2:21" hidden="1">
      <c r="B216" s="2994" t="str">
        <f>重み!B27</f>
        <v>2.1.6</v>
      </c>
      <c r="C216" s="1974">
        <f>重み!C27</f>
        <v>0</v>
      </c>
      <c r="D216" s="1974"/>
      <c r="E216" s="1974"/>
      <c r="F216" s="1974"/>
      <c r="G216" s="2998"/>
      <c r="H216" s="2998"/>
      <c r="I216" s="2998"/>
      <c r="J216" s="2998"/>
      <c r="K216" s="2998"/>
      <c r="L216" s="2998"/>
      <c r="M216" s="2998"/>
      <c r="N216" s="2998"/>
      <c r="O216" s="2998"/>
      <c r="P216" s="2998"/>
      <c r="Q216" s="2998"/>
      <c r="R216" s="2998"/>
      <c r="S216" s="2998"/>
      <c r="T216" s="2998"/>
      <c r="U216" s="2999"/>
    </row>
    <row r="217" spans="2:21" hidden="1">
      <c r="B217" s="2994" t="str">
        <f>重み!B28</f>
        <v>2.1.7</v>
      </c>
      <c r="C217" s="1974">
        <f>重み!C28</f>
        <v>0</v>
      </c>
      <c r="D217" s="1974"/>
      <c r="E217" s="1974"/>
      <c r="F217" s="1974"/>
      <c r="G217" s="2998"/>
      <c r="H217" s="2998"/>
      <c r="I217" s="2998"/>
      <c r="J217" s="2998"/>
      <c r="K217" s="2998"/>
      <c r="L217" s="2998"/>
      <c r="M217" s="2998"/>
      <c r="N217" s="2998"/>
      <c r="O217" s="2998"/>
      <c r="P217" s="2998"/>
      <c r="Q217" s="2998"/>
      <c r="R217" s="2998"/>
      <c r="S217" s="2998"/>
      <c r="T217" s="2998"/>
      <c r="U217" s="2999"/>
    </row>
    <row r="218" spans="2:21" hidden="1">
      <c r="B218" s="2994" t="str">
        <f>重み!B29</f>
        <v>2.1.8</v>
      </c>
      <c r="C218" s="1974">
        <f>重み!C29</f>
        <v>0</v>
      </c>
      <c r="D218" s="1974"/>
      <c r="E218" s="1974"/>
      <c r="F218" s="1974"/>
      <c r="G218" s="2998"/>
      <c r="H218" s="2998"/>
      <c r="I218" s="2998"/>
      <c r="J218" s="2998"/>
      <c r="K218" s="2998"/>
      <c r="L218" s="2998"/>
      <c r="M218" s="2998"/>
      <c r="N218" s="2998"/>
      <c r="O218" s="2998"/>
      <c r="P218" s="2998"/>
      <c r="Q218" s="2998"/>
      <c r="R218" s="2998"/>
      <c r="S218" s="2998"/>
      <c r="T218" s="2998"/>
      <c r="U218" s="2999"/>
    </row>
    <row r="219" spans="2:21" hidden="1">
      <c r="B219" s="2994">
        <f>重み!B30</f>
        <v>2.2000000000000002</v>
      </c>
      <c r="C219" s="1974" t="str">
        <f>重み!C30</f>
        <v>湿度制御</v>
      </c>
      <c r="D219" s="1974"/>
      <c r="E219" s="1974"/>
      <c r="F219" s="1974"/>
      <c r="G219" s="2998"/>
      <c r="H219" s="2998"/>
      <c r="I219" s="2998"/>
      <c r="J219" s="2998"/>
      <c r="K219" s="2998"/>
      <c r="L219" s="2998"/>
      <c r="M219" s="2998"/>
      <c r="N219" s="2998"/>
      <c r="O219" s="2998"/>
      <c r="P219" s="2998"/>
      <c r="Q219" s="2998"/>
      <c r="R219" s="2998"/>
      <c r="S219" s="2998"/>
      <c r="T219" s="2998"/>
      <c r="U219" s="2999"/>
    </row>
    <row r="220" spans="2:21" hidden="1">
      <c r="B220" s="2994">
        <f>重み!B31</f>
        <v>2.2999999999999998</v>
      </c>
      <c r="C220" s="1974" t="str">
        <f>重み!C31</f>
        <v>空調方式（新築）</v>
      </c>
      <c r="D220" s="1974"/>
      <c r="E220" s="1974"/>
      <c r="F220" s="1974"/>
      <c r="G220" s="2998"/>
      <c r="H220" s="2998"/>
      <c r="I220" s="2998"/>
      <c r="J220" s="2998"/>
      <c r="K220" s="2998"/>
      <c r="L220" s="2998"/>
      <c r="M220" s="2998"/>
      <c r="N220" s="2998"/>
      <c r="O220" s="2998"/>
      <c r="P220" s="2998"/>
      <c r="Q220" s="2998"/>
      <c r="R220" s="2998"/>
      <c r="S220" s="2998"/>
      <c r="T220" s="2998"/>
      <c r="U220" s="2999"/>
    </row>
    <row r="221" spans="2:21" hidden="1">
      <c r="B221" s="2994">
        <f>重み!B32</f>
        <v>2.2999999999999998</v>
      </c>
      <c r="C221" s="1974">
        <f>重み!C32</f>
        <v>0</v>
      </c>
      <c r="D221" s="1974"/>
      <c r="E221" s="1974"/>
      <c r="F221" s="1974"/>
      <c r="G221" s="2998"/>
      <c r="H221" s="2998"/>
      <c r="I221" s="2998"/>
      <c r="J221" s="2998"/>
      <c r="K221" s="2998"/>
      <c r="L221" s="2998"/>
      <c r="M221" s="2998"/>
      <c r="N221" s="2998"/>
      <c r="O221" s="2998"/>
      <c r="P221" s="2998"/>
      <c r="Q221" s="2998"/>
      <c r="R221" s="2998"/>
      <c r="S221" s="2998"/>
      <c r="T221" s="2998"/>
      <c r="U221" s="2999"/>
    </row>
    <row r="222" spans="2:21" hidden="1">
      <c r="B222" s="2994" t="str">
        <f>重み!B33</f>
        <v>2.3.1</v>
      </c>
      <c r="C222" s="1974">
        <f>重み!C33</f>
        <v>0</v>
      </c>
      <c r="D222" s="1974"/>
      <c r="E222" s="1974"/>
      <c r="F222" s="1974"/>
      <c r="G222" s="2998"/>
      <c r="H222" s="2998"/>
      <c r="I222" s="2998"/>
      <c r="J222" s="2998"/>
      <c r="K222" s="2998"/>
      <c r="L222" s="2998"/>
      <c r="M222" s="2998"/>
      <c r="N222" s="2998"/>
      <c r="O222" s="2998"/>
      <c r="P222" s="2998"/>
      <c r="Q222" s="2998"/>
      <c r="R222" s="2998"/>
      <c r="S222" s="2998"/>
      <c r="T222" s="2998"/>
      <c r="U222" s="2999"/>
    </row>
    <row r="223" spans="2:21" hidden="1">
      <c r="B223" s="2994" t="str">
        <f>重み!B34</f>
        <v>2.3.2</v>
      </c>
      <c r="C223" s="1974">
        <f>重み!C34</f>
        <v>0</v>
      </c>
      <c r="D223" s="1974"/>
      <c r="E223" s="1974"/>
      <c r="F223" s="1974"/>
      <c r="G223" s="2998"/>
      <c r="H223" s="2998"/>
      <c r="I223" s="2998"/>
      <c r="J223" s="2998"/>
      <c r="K223" s="2998"/>
      <c r="L223" s="2998"/>
      <c r="M223" s="2998"/>
      <c r="N223" s="2998"/>
      <c r="O223" s="2998"/>
      <c r="P223" s="2998"/>
      <c r="Q223" s="2998"/>
      <c r="R223" s="2998"/>
      <c r="S223" s="2998"/>
      <c r="T223" s="2998"/>
      <c r="U223" s="2999"/>
    </row>
    <row r="224" spans="2:21" hidden="1">
      <c r="B224" s="2994">
        <f>重み!B35</f>
        <v>3</v>
      </c>
      <c r="C224" s="1974" t="str">
        <f>重み!C35</f>
        <v>光・視環境</v>
      </c>
      <c r="D224" s="1974"/>
      <c r="E224" s="1974"/>
      <c r="F224" s="1974"/>
      <c r="G224" s="2998"/>
      <c r="H224" s="2998"/>
      <c r="I224" s="2998"/>
      <c r="J224" s="2998"/>
      <c r="K224" s="2998"/>
      <c r="L224" s="2998"/>
      <c r="M224" s="2998"/>
      <c r="N224" s="2998"/>
      <c r="O224" s="2998"/>
      <c r="P224" s="2998"/>
      <c r="Q224" s="2998"/>
      <c r="R224" s="2998"/>
      <c r="S224" s="2998"/>
      <c r="T224" s="2998"/>
      <c r="U224" s="2999"/>
    </row>
    <row r="225" spans="2:21" hidden="1">
      <c r="B225" s="2994">
        <f>重み!B36</f>
        <v>3.1</v>
      </c>
      <c r="C225" s="1974" t="str">
        <f>重み!C36</f>
        <v>昼光利用</v>
      </c>
      <c r="D225" s="1974"/>
      <c r="E225" s="1974"/>
      <c r="F225" s="1974"/>
      <c r="G225" s="2998"/>
      <c r="H225" s="2998"/>
      <c r="I225" s="2998"/>
      <c r="J225" s="2998"/>
      <c r="K225" s="2998"/>
      <c r="L225" s="2998"/>
      <c r="M225" s="2998"/>
      <c r="N225" s="2998"/>
      <c r="O225" s="2998"/>
      <c r="P225" s="2998"/>
      <c r="Q225" s="2998"/>
      <c r="R225" s="2998"/>
      <c r="S225" s="2998"/>
      <c r="T225" s="2998"/>
      <c r="U225" s="2999"/>
    </row>
    <row r="226" spans="2:21" hidden="1">
      <c r="B226" s="2994" t="str">
        <f>重み!B37</f>
        <v>3.1.1</v>
      </c>
      <c r="C226" s="1974" t="str">
        <f>重み!C37</f>
        <v>昼光率</v>
      </c>
      <c r="D226" s="1974"/>
      <c r="E226" s="1974"/>
      <c r="F226" s="1974"/>
      <c r="G226" s="2998"/>
      <c r="H226" s="2998"/>
      <c r="I226" s="2998"/>
      <c r="J226" s="2998"/>
      <c r="K226" s="2998"/>
      <c r="L226" s="2998"/>
      <c r="M226" s="2998"/>
      <c r="N226" s="2998"/>
      <c r="O226" s="2998"/>
      <c r="P226" s="2998"/>
      <c r="Q226" s="2998"/>
      <c r="R226" s="2998"/>
      <c r="S226" s="2998"/>
      <c r="T226" s="2998"/>
      <c r="U226" s="2999"/>
    </row>
    <row r="227" spans="2:21" hidden="1">
      <c r="B227" s="2994" t="str">
        <f>重み!B38</f>
        <v>3.1.2</v>
      </c>
      <c r="C227" s="1974" t="str">
        <f>重み!C38</f>
        <v>方位別開口</v>
      </c>
      <c r="D227" s="1974"/>
      <c r="E227" s="1974"/>
      <c r="F227" s="1974"/>
      <c r="G227" s="2998"/>
      <c r="H227" s="2998"/>
      <c r="I227" s="2998"/>
      <c r="J227" s="2998"/>
      <c r="K227" s="2998"/>
      <c r="L227" s="2998"/>
      <c r="M227" s="2998"/>
      <c r="N227" s="2998"/>
      <c r="O227" s="2998"/>
      <c r="P227" s="2998"/>
      <c r="Q227" s="2998"/>
      <c r="R227" s="2998"/>
      <c r="S227" s="2998"/>
      <c r="T227" s="2998"/>
      <c r="U227" s="2999"/>
    </row>
    <row r="228" spans="2:21" hidden="1">
      <c r="B228" s="2994" t="str">
        <f>重み!B39</f>
        <v>3.1.3</v>
      </c>
      <c r="C228" s="1974" t="str">
        <f>重み!C39</f>
        <v>昼光利用設備</v>
      </c>
      <c r="D228" s="1974"/>
      <c r="E228" s="1974"/>
      <c r="F228" s="1974"/>
      <c r="G228" s="2995"/>
      <c r="H228" s="2995"/>
      <c r="I228" s="2995"/>
      <c r="J228" s="2995"/>
      <c r="K228" s="2995"/>
      <c r="L228" s="2995"/>
      <c r="M228" s="2995"/>
      <c r="N228" s="2995"/>
      <c r="O228" s="2995"/>
      <c r="P228" s="2995"/>
      <c r="Q228" s="2995"/>
      <c r="R228" s="2995"/>
      <c r="S228" s="2995"/>
      <c r="T228" s="2995"/>
      <c r="U228" s="3000"/>
    </row>
    <row r="229" spans="2:21" hidden="1">
      <c r="B229" s="2994">
        <f>重み!B40</f>
        <v>3.2</v>
      </c>
      <c r="C229" s="1974" t="str">
        <f>重み!C40</f>
        <v>グレア対策</v>
      </c>
      <c r="D229" s="1974"/>
      <c r="E229" s="1974"/>
      <c r="F229" s="1974"/>
      <c r="G229" s="2998"/>
      <c r="H229" s="2998"/>
      <c r="I229" s="2998"/>
      <c r="J229" s="2998"/>
      <c r="K229" s="2998"/>
      <c r="L229" s="2998"/>
      <c r="M229" s="2998"/>
      <c r="N229" s="2998"/>
      <c r="O229" s="2998"/>
      <c r="P229" s="2998"/>
      <c r="Q229" s="2998"/>
      <c r="R229" s="2998"/>
      <c r="S229" s="2998"/>
      <c r="T229" s="2998"/>
      <c r="U229" s="2999"/>
    </row>
    <row r="230" spans="2:21" hidden="1">
      <c r="B230" s="2994" t="str">
        <f>重み!B41</f>
        <v>3.2.1</v>
      </c>
      <c r="C230" s="1974">
        <f>重み!C41</f>
        <v>0</v>
      </c>
      <c r="D230" s="1974"/>
      <c r="E230" s="1974"/>
      <c r="F230" s="1974"/>
      <c r="G230" s="2998"/>
      <c r="H230" s="2998"/>
      <c r="I230" s="2998"/>
      <c r="J230" s="2998"/>
      <c r="K230" s="2998"/>
      <c r="L230" s="2998"/>
      <c r="M230" s="2998"/>
      <c r="N230" s="2998"/>
      <c r="O230" s="2998"/>
      <c r="P230" s="2998"/>
      <c r="Q230" s="2998"/>
      <c r="R230" s="2998"/>
      <c r="S230" s="2998"/>
      <c r="T230" s="2998"/>
      <c r="U230" s="2999"/>
    </row>
    <row r="231" spans="2:21" hidden="1">
      <c r="B231" s="2994" t="str">
        <f>重み!B42</f>
        <v>3.2.2</v>
      </c>
      <c r="C231" s="1974" t="str">
        <f>重み!C42</f>
        <v>昼光制御</v>
      </c>
      <c r="D231" s="1974"/>
      <c r="E231" s="1974"/>
      <c r="F231" s="1974"/>
      <c r="G231" s="2998"/>
      <c r="H231" s="2998"/>
      <c r="I231" s="2998"/>
      <c r="J231" s="2998"/>
      <c r="K231" s="2998"/>
      <c r="L231" s="2998"/>
      <c r="M231" s="2998"/>
      <c r="N231" s="2998"/>
      <c r="O231" s="2998"/>
      <c r="P231" s="2998"/>
      <c r="Q231" s="2998"/>
      <c r="R231" s="2998"/>
      <c r="S231" s="2998"/>
      <c r="T231" s="2998"/>
      <c r="U231" s="2999"/>
    </row>
    <row r="232" spans="2:21" hidden="1">
      <c r="B232" s="2994" t="str">
        <f>重み!B43</f>
        <v>3.2.3</v>
      </c>
      <c r="C232" s="1974">
        <f>重み!C43</f>
        <v>0</v>
      </c>
      <c r="D232" s="1974"/>
      <c r="E232" s="1974"/>
      <c r="F232" s="1974"/>
      <c r="G232" s="2998"/>
      <c r="H232" s="2998"/>
      <c r="I232" s="2998"/>
      <c r="J232" s="2998"/>
      <c r="K232" s="2998"/>
      <c r="L232" s="2998"/>
      <c r="M232" s="2998"/>
      <c r="N232" s="2998"/>
      <c r="O232" s="2998"/>
      <c r="P232" s="2998"/>
      <c r="Q232" s="2998"/>
      <c r="R232" s="2998"/>
      <c r="S232" s="2998"/>
      <c r="T232" s="2998"/>
      <c r="U232" s="2999"/>
    </row>
    <row r="233" spans="2:21" hidden="1">
      <c r="B233" s="2994">
        <f>重み!B44</f>
        <v>3.3</v>
      </c>
      <c r="C233" s="1974" t="str">
        <f>重み!C44</f>
        <v>照度</v>
      </c>
      <c r="D233" s="1974"/>
      <c r="E233" s="1974"/>
      <c r="F233" s="1974"/>
      <c r="G233" s="2998"/>
      <c r="H233" s="2998"/>
      <c r="I233" s="2998"/>
      <c r="J233" s="2998"/>
      <c r="K233" s="2998"/>
      <c r="L233" s="2998"/>
      <c r="M233" s="2998"/>
      <c r="N233" s="2998"/>
      <c r="O233" s="2998"/>
      <c r="P233" s="2998"/>
      <c r="Q233" s="2998"/>
      <c r="R233" s="2998"/>
      <c r="S233" s="2998"/>
      <c r="T233" s="2998"/>
      <c r="U233" s="2999"/>
    </row>
    <row r="234" spans="2:21" hidden="1">
      <c r="B234" s="2994" t="str">
        <f>重み!B45</f>
        <v>3.3.1</v>
      </c>
      <c r="C234" s="1974" t="str">
        <f>重み!C45</f>
        <v>照度</v>
      </c>
      <c r="D234" s="1974"/>
      <c r="E234" s="1974"/>
      <c r="F234" s="1974"/>
      <c r="G234" s="2998"/>
      <c r="H234" s="2998"/>
      <c r="I234" s="2998"/>
      <c r="J234" s="2998"/>
      <c r="K234" s="2998"/>
      <c r="L234" s="2998"/>
      <c r="M234" s="2998"/>
      <c r="N234" s="2998"/>
      <c r="O234" s="2998"/>
      <c r="P234" s="2998"/>
      <c r="Q234" s="2998"/>
      <c r="R234" s="2998"/>
      <c r="S234" s="2998"/>
      <c r="T234" s="2998"/>
      <c r="U234" s="2999"/>
    </row>
    <row r="235" spans="2:21" hidden="1">
      <c r="B235" s="2994" t="str">
        <f>重み!B46</f>
        <v>3.3.2</v>
      </c>
      <c r="C235" s="1974" t="str">
        <f>重み!C46</f>
        <v>照度均斉度</v>
      </c>
      <c r="D235" s="1974"/>
      <c r="E235" s="1974"/>
      <c r="F235" s="1974"/>
      <c r="G235" s="2998"/>
      <c r="H235" s="2998"/>
      <c r="I235" s="2998"/>
      <c r="J235" s="2998"/>
      <c r="K235" s="2998"/>
      <c r="L235" s="2998"/>
      <c r="M235" s="2998"/>
      <c r="N235" s="2998"/>
      <c r="O235" s="2998"/>
      <c r="P235" s="2998"/>
      <c r="Q235" s="2998"/>
      <c r="R235" s="2998"/>
      <c r="S235" s="2998"/>
      <c r="T235" s="2998"/>
      <c r="U235" s="2999"/>
    </row>
    <row r="236" spans="2:21" hidden="1">
      <c r="B236" s="2994">
        <f>重み!B47</f>
        <v>3.4</v>
      </c>
      <c r="C236" s="1974" t="str">
        <f>重み!C47</f>
        <v>照明制御</v>
      </c>
      <c r="D236" s="1974"/>
      <c r="E236" s="1974"/>
      <c r="F236" s="1974"/>
      <c r="G236" s="2998"/>
      <c r="H236" s="2998"/>
      <c r="I236" s="2998"/>
      <c r="J236" s="2998"/>
      <c r="K236" s="2998"/>
      <c r="L236" s="2998"/>
      <c r="M236" s="2998"/>
      <c r="N236" s="2998"/>
      <c r="O236" s="2998"/>
      <c r="P236" s="2998"/>
      <c r="Q236" s="2998"/>
      <c r="R236" s="2998"/>
      <c r="S236" s="2998"/>
      <c r="T236" s="2998"/>
      <c r="U236" s="2999"/>
    </row>
    <row r="237" spans="2:21" hidden="1">
      <c r="B237" s="2994">
        <f>重み!B48</f>
        <v>4</v>
      </c>
      <c r="C237" s="1974" t="str">
        <f>重み!C48</f>
        <v>空気質環境</v>
      </c>
      <c r="D237" s="1974"/>
      <c r="E237" s="1974"/>
      <c r="F237" s="1974"/>
      <c r="G237" s="2998"/>
      <c r="H237" s="2998"/>
      <c r="I237" s="2998"/>
      <c r="J237" s="2998"/>
      <c r="K237" s="2998"/>
      <c r="L237" s="2998"/>
      <c r="M237" s="2998"/>
      <c r="N237" s="2998"/>
      <c r="O237" s="2998"/>
      <c r="P237" s="2998"/>
      <c r="Q237" s="2998"/>
      <c r="R237" s="2998"/>
      <c r="S237" s="2998"/>
      <c r="T237" s="2998"/>
      <c r="U237" s="2999"/>
    </row>
    <row r="238" spans="2:21" hidden="1">
      <c r="B238" s="2994">
        <f>重み!B49</f>
        <v>4.0999999999999996</v>
      </c>
      <c r="C238" s="1974" t="str">
        <f>重み!C49</f>
        <v>発生源対策</v>
      </c>
      <c r="D238" s="1974"/>
      <c r="E238" s="1974"/>
      <c r="F238" s="1974"/>
      <c r="G238" s="2998"/>
      <c r="H238" s="2998"/>
      <c r="I238" s="2998"/>
      <c r="J238" s="2998"/>
      <c r="K238" s="2998"/>
      <c r="L238" s="2998"/>
      <c r="M238" s="2998"/>
      <c r="N238" s="2998"/>
      <c r="O238" s="2998"/>
      <c r="P238" s="2998"/>
      <c r="Q238" s="2998"/>
      <c r="R238" s="2998"/>
      <c r="S238" s="2998"/>
      <c r="T238" s="2998"/>
      <c r="U238" s="2999"/>
    </row>
    <row r="239" spans="2:21" hidden="1">
      <c r="B239" s="2994" t="str">
        <f>重み!B50</f>
        <v>4.1.1</v>
      </c>
      <c r="C239" s="1974" t="str">
        <f>重み!C50</f>
        <v xml:space="preserve"> 化学汚染物質</v>
      </c>
      <c r="D239" s="1974"/>
      <c r="E239" s="1974"/>
      <c r="F239" s="1974"/>
      <c r="G239" s="2998"/>
      <c r="H239" s="2998"/>
      <c r="I239" s="2998"/>
      <c r="J239" s="2998"/>
      <c r="K239" s="2998"/>
      <c r="L239" s="2998"/>
      <c r="M239" s="2998"/>
      <c r="N239" s="2998"/>
      <c r="O239" s="2998"/>
      <c r="P239" s="2998"/>
      <c r="Q239" s="2998"/>
      <c r="R239" s="2998"/>
      <c r="S239" s="2998"/>
      <c r="T239" s="2998"/>
      <c r="U239" s="2999"/>
    </row>
    <row r="240" spans="2:21" hidden="1">
      <c r="B240" s="2994" t="str">
        <f>重み!B51</f>
        <v>4.1.2</v>
      </c>
      <c r="C240" s="1974">
        <f>重み!C51</f>
        <v>0</v>
      </c>
      <c r="D240" s="1974"/>
      <c r="E240" s="1974"/>
      <c r="F240" s="1974"/>
      <c r="G240" s="2998"/>
      <c r="H240" s="2998"/>
      <c r="I240" s="2998"/>
      <c r="J240" s="2998"/>
      <c r="K240" s="2998"/>
      <c r="L240" s="2998"/>
      <c r="M240" s="2998"/>
      <c r="N240" s="2998"/>
      <c r="O240" s="2998"/>
      <c r="P240" s="2998"/>
      <c r="Q240" s="2998"/>
      <c r="R240" s="2998"/>
      <c r="S240" s="2998"/>
      <c r="T240" s="2998"/>
      <c r="U240" s="2999"/>
    </row>
    <row r="241" spans="2:24" hidden="1">
      <c r="B241" s="2994" t="str">
        <f>重み!B52</f>
        <v>4.1.3</v>
      </c>
      <c r="C241" s="1974">
        <f>重み!C52</f>
        <v>0</v>
      </c>
      <c r="D241" s="1974"/>
      <c r="E241" s="1974"/>
      <c r="F241" s="1974"/>
      <c r="G241" s="2998"/>
      <c r="H241" s="2998"/>
      <c r="I241" s="2998"/>
      <c r="J241" s="2998"/>
      <c r="K241" s="2998"/>
      <c r="L241" s="2998"/>
      <c r="M241" s="2998"/>
      <c r="N241" s="2998"/>
      <c r="O241" s="2998"/>
      <c r="P241" s="2998"/>
      <c r="Q241" s="2998"/>
      <c r="R241" s="2998"/>
      <c r="S241" s="2998"/>
      <c r="T241" s="2998"/>
      <c r="U241" s="2999"/>
    </row>
    <row r="242" spans="2:24" hidden="1">
      <c r="B242" s="2994" t="str">
        <f>重み!B53</f>
        <v>4.1.4</v>
      </c>
      <c r="C242" s="1974">
        <f>重み!C53</f>
        <v>0</v>
      </c>
      <c r="D242" s="1974"/>
      <c r="E242" s="1974"/>
      <c r="F242" s="1974"/>
      <c r="G242" s="2998"/>
      <c r="H242" s="2998"/>
      <c r="I242" s="2998"/>
      <c r="J242" s="2998"/>
      <c r="K242" s="2998"/>
      <c r="L242" s="2998"/>
      <c r="M242" s="2998"/>
      <c r="N242" s="2998"/>
      <c r="O242" s="2998"/>
      <c r="P242" s="2998"/>
      <c r="Q242" s="2998"/>
      <c r="R242" s="2998"/>
      <c r="S242" s="2998"/>
      <c r="T242" s="2998"/>
      <c r="U242" s="2999"/>
    </row>
    <row r="243" spans="2:24" hidden="1">
      <c r="B243" s="2994">
        <f>重み!B54</f>
        <v>4.2</v>
      </c>
      <c r="C243" s="1974" t="str">
        <f>重み!C54</f>
        <v>換気</v>
      </c>
      <c r="D243" s="1974"/>
      <c r="E243" s="1974"/>
      <c r="F243" s="1974"/>
      <c r="G243" s="2998"/>
      <c r="H243" s="2998"/>
      <c r="I243" s="2998"/>
      <c r="J243" s="2998"/>
      <c r="K243" s="2998"/>
      <c r="L243" s="2998"/>
      <c r="M243" s="2998"/>
      <c r="N243" s="2998"/>
      <c r="O243" s="2998"/>
      <c r="P243" s="2998"/>
      <c r="Q243" s="2998"/>
      <c r="R243" s="2998"/>
      <c r="S243" s="2998"/>
      <c r="T243" s="2998"/>
      <c r="U243" s="2999"/>
    </row>
    <row r="244" spans="2:24" hidden="1">
      <c r="B244" s="2994" t="str">
        <f>重み!B55</f>
        <v>4.2.1</v>
      </c>
      <c r="C244" s="1974" t="str">
        <f>重み!C55</f>
        <v>換気量</v>
      </c>
      <c r="D244" s="1974"/>
      <c r="E244" s="1974"/>
      <c r="F244" s="1974"/>
      <c r="G244" s="2995"/>
      <c r="H244" s="2995"/>
      <c r="I244" s="2995"/>
      <c r="J244" s="2995"/>
      <c r="K244" s="2995"/>
      <c r="L244" s="2995"/>
      <c r="M244" s="2995"/>
      <c r="N244" s="2995"/>
      <c r="O244" s="2995"/>
      <c r="P244" s="2995"/>
      <c r="Q244" s="2995"/>
      <c r="R244" s="2995"/>
      <c r="S244" s="2995"/>
      <c r="T244" s="2995"/>
      <c r="U244" s="3000"/>
    </row>
    <row r="245" spans="2:24" hidden="1">
      <c r="B245" s="2994" t="str">
        <f>重み!B56</f>
        <v>4.2.2</v>
      </c>
      <c r="C245" s="1974" t="str">
        <f>重み!C56</f>
        <v>自然換気性能</v>
      </c>
      <c r="D245" s="1974"/>
      <c r="E245" s="1974"/>
      <c r="F245" s="1974"/>
      <c r="G245" s="2998"/>
      <c r="H245" s="2998"/>
      <c r="I245" s="2998"/>
      <c r="J245" s="2998"/>
      <c r="K245" s="2998"/>
      <c r="L245" s="2998"/>
      <c r="M245" s="2998"/>
      <c r="N245" s="2998"/>
      <c r="O245" s="2998"/>
      <c r="P245" s="2998"/>
      <c r="Q245" s="2998"/>
      <c r="R245" s="2998"/>
      <c r="S245" s="2998"/>
      <c r="T245" s="2998"/>
      <c r="U245" s="2999"/>
    </row>
    <row r="246" spans="2:24" hidden="1">
      <c r="B246" s="2994" t="str">
        <f>重み!B57</f>
        <v>4.2.3</v>
      </c>
      <c r="C246" s="1974" t="str">
        <f>重み!C57</f>
        <v>取り入れ外気への配慮</v>
      </c>
      <c r="D246" s="1974"/>
      <c r="E246" s="1974"/>
      <c r="F246" s="1974"/>
      <c r="G246" s="2998"/>
      <c r="H246" s="2998"/>
      <c r="I246" s="2998"/>
      <c r="J246" s="2998"/>
      <c r="K246" s="2998"/>
      <c r="L246" s="2998"/>
      <c r="M246" s="2998"/>
      <c r="N246" s="2998"/>
      <c r="O246" s="2998"/>
      <c r="P246" s="2998"/>
      <c r="Q246" s="2998"/>
      <c r="R246" s="2998"/>
      <c r="S246" s="2998"/>
      <c r="T246" s="2998"/>
      <c r="U246" s="2999"/>
    </row>
    <row r="247" spans="2:24" hidden="1">
      <c r="B247" s="2994" t="str">
        <f>重み!B58</f>
        <v>4.2.4</v>
      </c>
      <c r="C247" s="1974">
        <f>重み!C58</f>
        <v>0</v>
      </c>
      <c r="D247" s="1974"/>
      <c r="E247" s="1974"/>
      <c r="F247" s="1974"/>
      <c r="G247" s="2998"/>
      <c r="H247" s="2998"/>
      <c r="I247" s="2998"/>
      <c r="J247" s="2998"/>
      <c r="K247" s="2998"/>
      <c r="L247" s="2998"/>
      <c r="M247" s="2998"/>
      <c r="N247" s="2998"/>
      <c r="O247" s="2998"/>
      <c r="P247" s="2998"/>
      <c r="Q247" s="2998"/>
      <c r="R247" s="2998"/>
      <c r="S247" s="2998"/>
      <c r="T247" s="2998"/>
      <c r="U247" s="2999"/>
    </row>
    <row r="248" spans="2:24" hidden="1">
      <c r="B248" s="2994">
        <f>重み!B59</f>
        <v>4.3</v>
      </c>
      <c r="C248" s="1974" t="str">
        <f>重み!C59</f>
        <v>運用管理</v>
      </c>
      <c r="D248" s="1974"/>
      <c r="E248" s="1974"/>
      <c r="F248" s="1974"/>
      <c r="G248" s="2998"/>
      <c r="H248" s="2998"/>
      <c r="I248" s="2998"/>
      <c r="J248" s="2998"/>
      <c r="K248" s="2998"/>
      <c r="L248" s="2998"/>
      <c r="M248" s="2998"/>
      <c r="N248" s="2998"/>
      <c r="O248" s="2998"/>
      <c r="P248" s="2998"/>
      <c r="Q248" s="2998"/>
      <c r="R248" s="2998"/>
      <c r="S248" s="2998"/>
      <c r="T248" s="2998"/>
      <c r="U248" s="2999"/>
    </row>
    <row r="249" spans="2:24" hidden="1">
      <c r="B249" s="2994" t="str">
        <f>重み!B60</f>
        <v>4.3.1</v>
      </c>
      <c r="C249" s="1974" t="str">
        <f>重み!C60</f>
        <v>CO2の監視</v>
      </c>
      <c r="D249" s="1974"/>
      <c r="E249" s="1974"/>
      <c r="F249" s="1974"/>
      <c r="G249" s="2998"/>
      <c r="H249" s="2998"/>
      <c r="I249" s="2998"/>
      <c r="J249" s="2998"/>
      <c r="K249" s="2998"/>
      <c r="L249" s="2998"/>
      <c r="M249" s="2998"/>
      <c r="N249" s="2998"/>
      <c r="O249" s="2998"/>
      <c r="P249" s="2998"/>
      <c r="Q249" s="2998"/>
      <c r="R249" s="2998"/>
      <c r="S249" s="2998"/>
      <c r="T249" s="2998"/>
      <c r="U249" s="2999"/>
    </row>
    <row r="250" spans="2:24" hidden="1">
      <c r="B250" s="2994" t="str">
        <f>重み!B61</f>
        <v>4.3.2</v>
      </c>
      <c r="C250" s="1974" t="str">
        <f>重み!C61</f>
        <v>喫煙の制御</v>
      </c>
      <c r="D250" s="1974"/>
      <c r="E250" s="1974"/>
      <c r="F250" s="1974"/>
      <c r="G250" s="3001"/>
      <c r="H250" s="3001"/>
      <c r="I250" s="3001"/>
      <c r="J250" s="3001"/>
      <c r="K250" s="3001"/>
      <c r="L250" s="3001"/>
      <c r="M250" s="3001"/>
      <c r="N250" s="3001"/>
      <c r="O250" s="3001"/>
      <c r="P250" s="3001"/>
      <c r="Q250" s="3001"/>
      <c r="R250" s="3001"/>
      <c r="S250" s="3001"/>
      <c r="T250" s="3001"/>
      <c r="U250" s="3002"/>
    </row>
    <row r="251" spans="2:24" ht="15">
      <c r="B251" s="3003" t="str">
        <f>重み!B62</f>
        <v>Q2</v>
      </c>
      <c r="C251" s="3004" t="str">
        <f>重み!C62</f>
        <v>サービス性能</v>
      </c>
      <c r="D251" s="3004"/>
      <c r="E251" s="3004"/>
      <c r="F251" s="3004"/>
      <c r="G251" s="3004"/>
      <c r="H251" s="3005"/>
      <c r="I251" s="3006"/>
      <c r="J251" s="3006"/>
      <c r="K251" s="3006"/>
      <c r="L251" s="3006"/>
      <c r="M251" s="3006"/>
      <c r="N251" s="3006"/>
      <c r="O251" s="3006"/>
      <c r="P251" s="3007"/>
      <c r="Q251" s="3007"/>
      <c r="R251" s="3008"/>
      <c r="S251" s="3009"/>
      <c r="T251" s="3008"/>
      <c r="U251" s="3010"/>
      <c r="W251"/>
      <c r="X251"/>
    </row>
    <row r="252" spans="2:24" ht="13.5" hidden="1">
      <c r="B252" s="3011">
        <f>重み!B63</f>
        <v>1</v>
      </c>
      <c r="C252" s="3012" t="str">
        <f>重み!C63</f>
        <v>機能性</v>
      </c>
      <c r="D252" s="3012"/>
      <c r="E252" s="3012"/>
      <c r="F252" s="3012"/>
      <c r="G252" s="3013"/>
      <c r="H252" s="3013"/>
      <c r="I252" s="3013"/>
      <c r="J252" s="3013"/>
      <c r="K252" s="3013"/>
      <c r="L252" s="3013"/>
      <c r="M252" s="3013"/>
      <c r="N252" s="3013"/>
      <c r="O252" s="3013"/>
      <c r="P252" s="3013"/>
      <c r="Q252" s="1974"/>
      <c r="R252" s="1974"/>
      <c r="S252" s="1974"/>
      <c r="T252" s="1974"/>
      <c r="U252" s="3014"/>
      <c r="W252"/>
      <c r="X252"/>
    </row>
    <row r="253" spans="2:24" ht="13.5" hidden="1">
      <c r="B253" s="3011">
        <f>重み!B64</f>
        <v>1.1000000000000001</v>
      </c>
      <c r="C253" s="3012" t="str">
        <f>重み!C64</f>
        <v>機能性・使いやすさ</v>
      </c>
      <c r="D253" s="3012"/>
      <c r="E253" s="3012"/>
      <c r="F253" s="3012"/>
      <c r="G253" s="2995"/>
      <c r="H253" s="2995"/>
      <c r="I253" s="2995"/>
      <c r="J253" s="2995"/>
      <c r="K253" s="2995"/>
      <c r="L253" s="2995"/>
      <c r="M253" s="2995"/>
      <c r="N253" s="2995"/>
      <c r="O253" s="2995"/>
      <c r="P253" s="2995"/>
      <c r="Q253" s="1974"/>
      <c r="R253" s="1974"/>
      <c r="S253" s="1974"/>
      <c r="T253" s="1974"/>
      <c r="U253" s="3014"/>
      <c r="W253"/>
      <c r="X253"/>
    </row>
    <row r="254" spans="2:24" ht="13.5" hidden="1">
      <c r="B254" s="3011" t="str">
        <f>重み!B65</f>
        <v>1.1.1</v>
      </c>
      <c r="C254" s="3012" t="str">
        <f>重み!C65</f>
        <v>広さ・収納性</v>
      </c>
      <c r="D254" s="3012"/>
      <c r="E254" s="3012"/>
      <c r="F254" s="3012"/>
      <c r="G254" s="2998"/>
      <c r="H254" s="2998"/>
      <c r="I254" s="2998"/>
      <c r="J254" s="2998"/>
      <c r="K254" s="2998"/>
      <c r="L254" s="2998"/>
      <c r="M254" s="2998"/>
      <c r="N254" s="2998"/>
      <c r="O254" s="2998"/>
      <c r="P254" s="2998"/>
      <c r="Q254" s="1974"/>
      <c r="R254" s="1974"/>
      <c r="S254" s="1974"/>
      <c r="T254" s="1974"/>
      <c r="U254" s="3014"/>
      <c r="W254"/>
      <c r="X254"/>
    </row>
    <row r="255" spans="2:24" ht="13.5" hidden="1">
      <c r="B255" s="3011" t="str">
        <f>重み!B66</f>
        <v>1.1.2</v>
      </c>
      <c r="C255" s="3012" t="str">
        <f>重み!C66</f>
        <v>高度情報通信設備対応</v>
      </c>
      <c r="D255" s="3012"/>
      <c r="E255" s="3012"/>
      <c r="F255" s="3012"/>
      <c r="G255" s="2998"/>
      <c r="H255" s="2998"/>
      <c r="I255" s="2998"/>
      <c r="J255" s="2998"/>
      <c r="K255" s="2998"/>
      <c r="L255" s="2998"/>
      <c r="M255" s="2998"/>
      <c r="N255" s="2998"/>
      <c r="O255" s="2998"/>
      <c r="P255" s="2998"/>
      <c r="Q255" s="1974"/>
      <c r="R255" s="1974"/>
      <c r="S255" s="1974"/>
      <c r="T255" s="1974"/>
      <c r="U255" s="3014"/>
      <c r="W255"/>
      <c r="X255"/>
    </row>
    <row r="256" spans="2:24" ht="13.5" hidden="1">
      <c r="B256" s="3011" t="str">
        <f>重み!B67</f>
        <v>1.1.3</v>
      </c>
      <c r="C256" s="3012" t="str">
        <f>重み!C67</f>
        <v>バリアフリー計画</v>
      </c>
      <c r="D256" s="3012"/>
      <c r="E256" s="3012"/>
      <c r="F256" s="3012"/>
      <c r="G256" s="2995"/>
      <c r="H256" s="2995"/>
      <c r="I256" s="2995"/>
      <c r="J256" s="2995"/>
      <c r="K256" s="2995"/>
      <c r="L256" s="2995"/>
      <c r="M256" s="2995"/>
      <c r="N256" s="2995"/>
      <c r="O256" s="2995"/>
      <c r="P256" s="2995"/>
      <c r="Q256" s="1974"/>
      <c r="R256" s="1974"/>
      <c r="S256" s="1974"/>
      <c r="T256" s="1974"/>
      <c r="U256" s="3014"/>
      <c r="W256"/>
      <c r="X256"/>
    </row>
    <row r="257" spans="2:24" ht="13.5" hidden="1">
      <c r="B257" s="3011">
        <f>重み!B68</f>
        <v>1.2</v>
      </c>
      <c r="C257" s="3012" t="str">
        <f>重み!C68</f>
        <v>心理性・快適性</v>
      </c>
      <c r="D257" s="3012"/>
      <c r="E257" s="3012"/>
      <c r="F257" s="3012"/>
      <c r="G257" s="2998"/>
      <c r="H257" s="2998"/>
      <c r="I257" s="2998"/>
      <c r="J257" s="2998"/>
      <c r="K257" s="2998"/>
      <c r="L257" s="2998"/>
      <c r="M257" s="2998"/>
      <c r="N257" s="2998"/>
      <c r="O257" s="2998"/>
      <c r="P257" s="2998"/>
      <c r="Q257" s="1974"/>
      <c r="R257" s="1974"/>
      <c r="S257" s="1974"/>
      <c r="T257" s="1974"/>
      <c r="U257" s="3014"/>
      <c r="W257"/>
      <c r="X257"/>
    </row>
    <row r="258" spans="2:24" ht="13.5" hidden="1">
      <c r="B258" s="3011" t="str">
        <f>重み!B69</f>
        <v>1.2.1</v>
      </c>
      <c r="C258" s="3012" t="str">
        <f>重み!C69</f>
        <v>広さ感・景観</v>
      </c>
      <c r="D258" s="3012"/>
      <c r="E258" s="3012"/>
      <c r="F258" s="3012"/>
      <c r="G258" s="2998"/>
      <c r="H258" s="2998"/>
      <c r="I258" s="2998"/>
      <c r="J258" s="2998"/>
      <c r="K258" s="2998"/>
      <c r="L258" s="2998"/>
      <c r="M258" s="2998"/>
      <c r="N258" s="2998"/>
      <c r="O258" s="2998"/>
      <c r="P258" s="2998"/>
      <c r="Q258" s="1974"/>
      <c r="R258" s="1974"/>
      <c r="S258" s="1974"/>
      <c r="T258" s="1974"/>
      <c r="U258" s="3014"/>
      <c r="W258"/>
      <c r="X258"/>
    </row>
    <row r="259" spans="2:24" ht="13.5" hidden="1">
      <c r="B259" s="3011">
        <f>重み!B70</f>
        <v>0</v>
      </c>
      <c r="C259" s="3012">
        <f>重み!C70</f>
        <v>0</v>
      </c>
      <c r="D259" s="3012"/>
      <c r="E259" s="3012"/>
      <c r="F259" s="3012"/>
      <c r="G259" s="2998"/>
      <c r="H259" s="2998"/>
      <c r="I259" s="2998"/>
      <c r="J259" s="2998"/>
      <c r="K259" s="2998"/>
      <c r="L259" s="2998"/>
      <c r="M259" s="2998"/>
      <c r="N259" s="2998"/>
      <c r="O259" s="2998"/>
      <c r="P259" s="2998"/>
      <c r="Q259" s="1974"/>
      <c r="R259" s="1974"/>
      <c r="S259" s="1974"/>
      <c r="T259" s="1974"/>
      <c r="U259" s="3014"/>
      <c r="W259"/>
      <c r="X259"/>
    </row>
    <row r="260" spans="2:24" ht="13.5" hidden="1">
      <c r="B260" s="3011" t="str">
        <f>重み!B71</f>
        <v>1.2.2</v>
      </c>
      <c r="C260" s="3012" t="str">
        <f>重み!C71</f>
        <v>リフレッシュスペース</v>
      </c>
      <c r="D260" s="3012"/>
      <c r="E260" s="3012"/>
      <c r="F260" s="3012"/>
      <c r="G260" s="3001"/>
      <c r="H260" s="3001"/>
      <c r="I260" s="3001"/>
      <c r="J260" s="3001"/>
      <c r="K260" s="3001"/>
      <c r="L260" s="3001"/>
      <c r="M260" s="3001"/>
      <c r="N260" s="3001"/>
      <c r="O260" s="3001"/>
      <c r="P260" s="3001"/>
      <c r="Q260" s="1974"/>
      <c r="R260" s="1974"/>
      <c r="S260" s="1974"/>
      <c r="T260" s="1974"/>
      <c r="U260" s="3014"/>
      <c r="W260"/>
      <c r="X260"/>
    </row>
    <row r="261" spans="2:24" ht="13.5">
      <c r="B261" s="3011" t="str">
        <f>重み!B72</f>
        <v>1.2.3</v>
      </c>
      <c r="C261" s="3012" t="str">
        <f>重み!C72</f>
        <v>内装計画</v>
      </c>
      <c r="D261" s="3012"/>
      <c r="E261" s="3012"/>
      <c r="F261" s="3012"/>
      <c r="G261" s="2998">
        <f>採点Q2!G81</f>
        <v>2</v>
      </c>
      <c r="H261" s="2998">
        <f>採点Q2!L81</f>
        <v>2</v>
      </c>
      <c r="I261" s="2998" t="str">
        <f>採点Q2!G77</f>
        <v>○</v>
      </c>
      <c r="J261" s="2998" t="str">
        <f>採点Q2!G78</f>
        <v>○</v>
      </c>
      <c r="K261" s="2998">
        <f>採点Q2!G79</f>
        <v>0</v>
      </c>
      <c r="L261" s="2998">
        <f>採点Q2!G80</f>
        <v>0</v>
      </c>
      <c r="M261" s="2998">
        <f>採点Q2!L77</f>
        <v>0</v>
      </c>
      <c r="N261" s="2998" t="str">
        <f>採点Q2!L78</f>
        <v>○</v>
      </c>
      <c r="O261" s="2998">
        <f>採点Q2!L79</f>
        <v>0</v>
      </c>
      <c r="P261" s="2998" t="str">
        <f>採点Q2!L80</f>
        <v>○</v>
      </c>
      <c r="Q261" s="3015"/>
      <c r="R261" s="3015"/>
      <c r="S261" s="3015"/>
      <c r="T261" s="3015"/>
      <c r="U261" s="3016"/>
      <c r="W261"/>
      <c r="X261"/>
    </row>
    <row r="262" spans="2:24" hidden="1">
      <c r="B262" s="3011">
        <f>重み!B73</f>
        <v>0</v>
      </c>
      <c r="C262" s="3012">
        <f>重み!C73</f>
        <v>0</v>
      </c>
      <c r="D262" s="3012"/>
      <c r="E262" s="3012"/>
      <c r="F262" s="3012"/>
      <c r="G262" s="2998"/>
      <c r="H262" s="2998"/>
      <c r="I262" s="2998"/>
      <c r="J262" s="2998"/>
      <c r="K262" s="2998"/>
      <c r="L262" s="2998"/>
      <c r="M262" s="2998"/>
      <c r="N262" s="2998"/>
      <c r="O262" s="2998"/>
      <c r="P262" s="2998"/>
      <c r="Q262" s="2998"/>
      <c r="R262" s="2998"/>
      <c r="S262" s="2998"/>
      <c r="T262" s="2998"/>
      <c r="U262" s="3000"/>
    </row>
    <row r="263" spans="2:24" hidden="1">
      <c r="B263" s="3011">
        <f>重み!B74</f>
        <v>1.3</v>
      </c>
      <c r="C263" s="3012" t="str">
        <f>重み!C74</f>
        <v>維持管理</v>
      </c>
      <c r="D263" s="3012"/>
      <c r="E263" s="3012"/>
      <c r="F263" s="3012"/>
      <c r="G263" s="2998"/>
      <c r="H263" s="2998"/>
      <c r="I263" s="2998"/>
      <c r="J263" s="2998"/>
      <c r="K263" s="2998"/>
      <c r="L263" s="2998"/>
      <c r="M263" s="2998"/>
      <c r="N263" s="2998"/>
      <c r="O263" s="2998"/>
      <c r="P263" s="2998"/>
      <c r="Q263" s="2998"/>
      <c r="R263" s="2998"/>
      <c r="S263" s="2998"/>
      <c r="T263" s="2998"/>
      <c r="U263" s="3000"/>
    </row>
    <row r="264" spans="2:24">
      <c r="B264" s="3011" t="str">
        <f>重み!B75</f>
        <v>1.3.1</v>
      </c>
      <c r="C264" s="3012" t="str">
        <f>重み!C75</f>
        <v>維持管理に配慮した設計</v>
      </c>
      <c r="D264" s="3012"/>
      <c r="E264" s="3012"/>
      <c r="F264" s="3012"/>
      <c r="G264" s="2998">
        <f>採点Q2!G108</f>
        <v>5</v>
      </c>
      <c r="H264" s="3015"/>
      <c r="I264" s="2998" t="str">
        <f>採点Q2!G95</f>
        <v>○</v>
      </c>
      <c r="J264" s="2998">
        <f>採点Q2!G96</f>
        <v>0</v>
      </c>
      <c r="K264" s="2998">
        <f>採点Q2!G97</f>
        <v>0</v>
      </c>
      <c r="L264" s="2998">
        <f>採点Q2!G98</f>
        <v>0</v>
      </c>
      <c r="M264" s="2998">
        <f>採点Q2!G99</f>
        <v>0</v>
      </c>
      <c r="N264" s="2998">
        <f>採点Q2!G100</f>
        <v>0</v>
      </c>
      <c r="O264" s="2998">
        <f>採点Q2!G101</f>
        <v>0</v>
      </c>
      <c r="P264" s="2998" t="str">
        <f>採点Q2!G102</f>
        <v>○</v>
      </c>
      <c r="Q264" s="2998">
        <f>採点Q2!G103</f>
        <v>0</v>
      </c>
      <c r="R264" s="2998" t="str">
        <f>採点Q2!G104</f>
        <v>○</v>
      </c>
      <c r="S264" s="2998" t="str">
        <f>採点Q2!G105</f>
        <v>○</v>
      </c>
      <c r="T264" s="2998" t="str">
        <f>採点Q2!G107</f>
        <v>○</v>
      </c>
      <c r="U264" s="3016"/>
    </row>
    <row r="265" spans="2:24">
      <c r="B265" s="3011" t="str">
        <f>重み!B76</f>
        <v>1.3.2</v>
      </c>
      <c r="C265" s="3012" t="str">
        <f>重み!C76</f>
        <v>維持管理用機能の確保</v>
      </c>
      <c r="D265" s="3012"/>
      <c r="E265" s="3012"/>
      <c r="F265" s="3012"/>
      <c r="G265" s="2998">
        <f>採点Q2!G154</f>
        <v>5</v>
      </c>
      <c r="H265" s="3015"/>
      <c r="I265" s="2998">
        <f>採点Q2!G141</f>
        <v>0</v>
      </c>
      <c r="J265" s="2998" t="str">
        <f>採点Q2!G142</f>
        <v>○</v>
      </c>
      <c r="K265" s="2998" t="str">
        <f>採点Q2!G143</f>
        <v>○</v>
      </c>
      <c r="L265" s="2998" t="str">
        <f>採点Q2!G144</f>
        <v>○</v>
      </c>
      <c r="M265" s="2998" t="str">
        <f>採点Q2!G145</f>
        <v>○</v>
      </c>
      <c r="N265" s="2998">
        <f>採点Q2!G146</f>
        <v>0</v>
      </c>
      <c r="O265" s="2998">
        <f>採点Q2!G147</f>
        <v>0</v>
      </c>
      <c r="P265" s="2998" t="str">
        <f>採点Q2!G148</f>
        <v>○</v>
      </c>
      <c r="Q265" s="2998">
        <f>採点Q2!G149</f>
        <v>0</v>
      </c>
      <c r="R265" s="2998">
        <f>採点Q2!G150</f>
        <v>0</v>
      </c>
      <c r="S265" s="2998">
        <f>採点Q2!G151</f>
        <v>0</v>
      </c>
      <c r="T265" s="2998">
        <f>採点Q2!G152</f>
        <v>0</v>
      </c>
      <c r="U265" s="2999">
        <f>採点Q2!G153</f>
        <v>0</v>
      </c>
    </row>
    <row r="266" spans="2:24" hidden="1">
      <c r="B266" s="3011">
        <f>重み!B77</f>
        <v>0</v>
      </c>
      <c r="C266" s="3012">
        <f>重み!C77</f>
        <v>0</v>
      </c>
      <c r="D266" s="3012"/>
      <c r="E266" s="3012"/>
      <c r="F266" s="3012"/>
      <c r="G266" s="2998">
        <f>採点Q2!G202</f>
        <v>0</v>
      </c>
      <c r="H266" s="3015"/>
      <c r="I266" s="2998">
        <f>採点Q2!G193</f>
        <v>0</v>
      </c>
      <c r="J266" s="2998">
        <f>採点Q2!G194</f>
        <v>0</v>
      </c>
      <c r="K266" s="2998">
        <f>採点Q2!G195</f>
        <v>0</v>
      </c>
      <c r="L266" s="2998">
        <f>採点Q2!G196</f>
        <v>0</v>
      </c>
      <c r="M266" s="2998">
        <f>採点Q2!G197</f>
        <v>0</v>
      </c>
      <c r="N266" s="2998">
        <f>採点Q2!G198</f>
        <v>0</v>
      </c>
      <c r="O266" s="2998">
        <f>採点Q2!G199</f>
        <v>0</v>
      </c>
      <c r="P266" s="2998">
        <f>採点Q2!G200</f>
        <v>0</v>
      </c>
      <c r="Q266" s="2998">
        <f>採点Q2!G201</f>
        <v>0</v>
      </c>
      <c r="R266" s="2998"/>
      <c r="S266" s="2998"/>
      <c r="T266" s="2998"/>
      <c r="U266" s="2999"/>
    </row>
    <row r="267" spans="2:24" hidden="1">
      <c r="B267" s="3011">
        <f>重み!B78</f>
        <v>2</v>
      </c>
      <c r="C267" s="3012" t="str">
        <f>重み!C78</f>
        <v>耐用性・信頼性</v>
      </c>
      <c r="D267" s="3012"/>
      <c r="E267" s="3012"/>
      <c r="F267" s="3012"/>
      <c r="G267" s="2998"/>
      <c r="H267" s="3015"/>
      <c r="I267" s="2995"/>
      <c r="J267" s="2998"/>
      <c r="K267" s="2998"/>
      <c r="L267" s="2995"/>
      <c r="M267" s="2998"/>
      <c r="N267" s="2998"/>
      <c r="O267" s="2998"/>
      <c r="P267" s="2995"/>
      <c r="Q267" s="2995"/>
      <c r="R267" s="2998"/>
      <c r="S267" s="2998"/>
      <c r="T267" s="2998"/>
      <c r="U267" s="2999"/>
    </row>
    <row r="268" spans="2:24" hidden="1">
      <c r="B268" s="3011">
        <f>重み!B79</f>
        <v>2.1</v>
      </c>
      <c r="C268" s="3012" t="str">
        <f>重み!C79</f>
        <v>耐震･免震・制震・制振</v>
      </c>
      <c r="D268" s="3012"/>
      <c r="E268" s="3012"/>
      <c r="F268" s="3012"/>
      <c r="G268" s="2998"/>
      <c r="H268" s="3015"/>
      <c r="I268" s="2995"/>
      <c r="J268" s="2998"/>
      <c r="K268" s="2998"/>
      <c r="L268" s="2998"/>
      <c r="M268" s="2998"/>
      <c r="N268" s="2998"/>
      <c r="O268" s="2998"/>
      <c r="P268" s="2998"/>
      <c r="Q268" s="2995"/>
      <c r="R268" s="2998"/>
      <c r="S268" s="2998"/>
      <c r="T268" s="2998"/>
      <c r="U268" s="2999"/>
    </row>
    <row r="269" spans="2:24" hidden="1">
      <c r="B269" s="3011" t="str">
        <f>重み!B80</f>
        <v>2.1.1</v>
      </c>
      <c r="C269" s="3012" t="str">
        <f>重み!C80</f>
        <v>耐震性</v>
      </c>
      <c r="D269" s="3012"/>
      <c r="E269" s="3012"/>
      <c r="F269" s="3012"/>
      <c r="G269" s="2998"/>
      <c r="H269" s="3015"/>
      <c r="I269" s="2995"/>
      <c r="J269" s="2998"/>
      <c r="K269" s="2998"/>
      <c r="L269" s="2998"/>
      <c r="M269" s="2998"/>
      <c r="N269" s="2998"/>
      <c r="O269" s="2998"/>
      <c r="P269" s="2998"/>
      <c r="Q269" s="2995"/>
      <c r="R269" s="2998"/>
      <c r="S269" s="2998"/>
      <c r="T269" s="2998"/>
      <c r="U269" s="2999"/>
    </row>
    <row r="270" spans="2:24" hidden="1">
      <c r="B270" s="3011" t="str">
        <f>重み!B81</f>
        <v>2.1.2</v>
      </c>
      <c r="C270" s="3012" t="str">
        <f>重み!C81</f>
        <v>免震・制震・制振性能</v>
      </c>
      <c r="D270" s="3012"/>
      <c r="E270" s="3012"/>
      <c r="F270" s="3012"/>
      <c r="G270" s="2998"/>
      <c r="H270" s="3015"/>
      <c r="I270" s="2995"/>
      <c r="J270" s="2998"/>
      <c r="K270" s="2998"/>
      <c r="L270" s="2998"/>
      <c r="M270" s="2998"/>
      <c r="N270" s="2998"/>
      <c r="O270" s="2998"/>
      <c r="P270" s="2998"/>
      <c r="Q270" s="2995"/>
      <c r="R270" s="2998"/>
      <c r="S270" s="2998"/>
      <c r="T270" s="2998"/>
      <c r="U270" s="2999"/>
    </row>
    <row r="271" spans="2:24" hidden="1">
      <c r="B271" s="3011">
        <f>重み!B82</f>
        <v>2.2000000000000002</v>
      </c>
      <c r="C271" s="3012" t="str">
        <f>重み!C82</f>
        <v>部品・部材の耐用年数</v>
      </c>
      <c r="D271" s="3012"/>
      <c r="E271" s="3012"/>
      <c r="F271" s="3012"/>
      <c r="G271" s="2998"/>
      <c r="H271" s="3015"/>
      <c r="I271" s="2995"/>
      <c r="J271" s="2998"/>
      <c r="K271" s="2998"/>
      <c r="L271" s="2998"/>
      <c r="M271" s="2998"/>
      <c r="N271" s="2998"/>
      <c r="O271" s="2998"/>
      <c r="P271" s="2998"/>
      <c r="Q271" s="2995"/>
      <c r="R271" s="2998"/>
      <c r="S271" s="2998"/>
      <c r="T271" s="2998"/>
      <c r="U271" s="2999"/>
    </row>
    <row r="272" spans="2:24" hidden="1">
      <c r="B272" s="3011" t="str">
        <f>重み!B83</f>
        <v>2.2.1</v>
      </c>
      <c r="C272" s="3012" t="str">
        <f>重み!C83</f>
        <v>躯体材料の耐用年数</v>
      </c>
      <c r="D272" s="3012"/>
      <c r="E272" s="3012"/>
      <c r="F272" s="3012"/>
      <c r="G272" s="2998"/>
      <c r="H272" s="3015"/>
      <c r="I272" s="2995"/>
      <c r="J272" s="2998"/>
      <c r="K272" s="2998"/>
      <c r="L272" s="2998"/>
      <c r="M272" s="2998"/>
      <c r="N272" s="2998"/>
      <c r="O272" s="2998"/>
      <c r="P272" s="2998"/>
      <c r="Q272" s="2995"/>
      <c r="R272" s="2998"/>
      <c r="S272" s="2998"/>
      <c r="T272" s="2998"/>
      <c r="U272" s="2999"/>
    </row>
    <row r="273" spans="2:21" hidden="1">
      <c r="B273" s="3011" t="str">
        <f>重み!B84</f>
        <v>2.2.2</v>
      </c>
      <c r="C273" s="3012" t="str">
        <f>重み!C84</f>
        <v>外壁仕上げ材の補修必要間隔</v>
      </c>
      <c r="D273" s="3012"/>
      <c r="E273" s="3012"/>
      <c r="F273" s="3012"/>
      <c r="G273" s="2998"/>
      <c r="H273" s="3015"/>
      <c r="I273" s="2995"/>
      <c r="J273" s="2998"/>
      <c r="K273" s="2998"/>
      <c r="L273" s="2998"/>
      <c r="M273" s="2998"/>
      <c r="N273" s="2998"/>
      <c r="O273" s="2998"/>
      <c r="P273" s="2998"/>
      <c r="Q273" s="2998"/>
      <c r="R273" s="2998"/>
      <c r="S273" s="2998"/>
      <c r="T273" s="2998"/>
      <c r="U273" s="2999"/>
    </row>
    <row r="274" spans="2:21" hidden="1">
      <c r="B274" s="3011" t="str">
        <f>重み!B85</f>
        <v>2.2.3</v>
      </c>
      <c r="C274" s="3012" t="str">
        <f>重み!C85</f>
        <v>主要内装仕上げ材の更新必要間隔</v>
      </c>
      <c r="D274" s="3012"/>
      <c r="E274" s="3012"/>
      <c r="F274" s="3012"/>
      <c r="G274" s="2998"/>
      <c r="H274" s="3015"/>
      <c r="I274" s="2995"/>
      <c r="J274" s="2998"/>
      <c r="K274" s="2998"/>
      <c r="L274" s="2998"/>
      <c r="M274" s="2998"/>
      <c r="N274" s="2998"/>
      <c r="O274" s="2998"/>
      <c r="P274" s="2998"/>
      <c r="Q274" s="2998"/>
      <c r="R274" s="2998"/>
      <c r="S274" s="2998"/>
      <c r="T274" s="2998"/>
      <c r="U274" s="2999"/>
    </row>
    <row r="275" spans="2:21" hidden="1">
      <c r="B275" s="3011" t="str">
        <f>重み!B86</f>
        <v>2.2.4</v>
      </c>
      <c r="C275" s="3012" t="str">
        <f>重み!C86</f>
        <v>空調換気ダクトの更新必要間隔</v>
      </c>
      <c r="D275" s="3012"/>
      <c r="E275" s="3012"/>
      <c r="F275" s="3012"/>
      <c r="G275" s="2998"/>
      <c r="H275" s="3015"/>
      <c r="I275" s="2995"/>
      <c r="J275" s="2998"/>
      <c r="K275" s="2998"/>
      <c r="L275" s="2998"/>
      <c r="M275" s="2998"/>
      <c r="N275" s="2998"/>
      <c r="O275" s="2998"/>
      <c r="P275" s="2998"/>
      <c r="Q275" s="2998"/>
      <c r="R275" s="2998"/>
      <c r="S275" s="2998"/>
      <c r="T275" s="2998"/>
      <c r="U275" s="2999"/>
    </row>
    <row r="276" spans="2:21" hidden="1">
      <c r="B276" s="3011" t="str">
        <f>重み!B87</f>
        <v>2.2.5</v>
      </c>
      <c r="C276" s="3012" t="str">
        <f>重み!C87</f>
        <v>空調・給排水配管の更新必要間隔</v>
      </c>
      <c r="D276" s="3012"/>
      <c r="E276" s="3012"/>
      <c r="F276" s="3012"/>
      <c r="G276" s="2998"/>
      <c r="H276" s="3015"/>
      <c r="I276" s="2998"/>
      <c r="J276" s="2998"/>
      <c r="K276" s="2998"/>
      <c r="L276" s="2998"/>
      <c r="M276" s="2998"/>
      <c r="N276" s="2998"/>
      <c r="O276" s="2998"/>
      <c r="P276" s="2998"/>
      <c r="Q276" s="2998"/>
      <c r="R276" s="2998"/>
      <c r="S276" s="2998"/>
      <c r="T276" s="2998"/>
      <c r="U276" s="2999"/>
    </row>
    <row r="277" spans="2:21" hidden="1">
      <c r="B277" s="3011" t="str">
        <f>重み!B88</f>
        <v>2.2.6</v>
      </c>
      <c r="C277" s="3012" t="str">
        <f>重み!C88</f>
        <v>主要設備機器の更新必要間隔</v>
      </c>
      <c r="D277" s="3012"/>
      <c r="E277" s="3012"/>
      <c r="F277" s="3012"/>
      <c r="G277" s="2998"/>
      <c r="H277" s="3015"/>
      <c r="I277" s="2998"/>
      <c r="J277" s="2998"/>
      <c r="K277" s="2998"/>
      <c r="L277" s="2998"/>
      <c r="M277" s="2998"/>
      <c r="N277" s="2998"/>
      <c r="O277" s="2998"/>
      <c r="P277" s="2998"/>
      <c r="Q277" s="2998"/>
      <c r="R277" s="2998"/>
      <c r="S277" s="2998"/>
      <c r="T277" s="2998"/>
      <c r="U277" s="2999"/>
    </row>
    <row r="278" spans="2:21" hidden="1">
      <c r="B278" s="3011">
        <f>重み!B89</f>
        <v>2.2999999999999998</v>
      </c>
      <c r="C278" s="3012" t="str">
        <f>重み!C89</f>
        <v>適切な更新</v>
      </c>
      <c r="D278" s="3012"/>
      <c r="E278" s="3012"/>
      <c r="F278" s="3012"/>
      <c r="G278" s="2998"/>
      <c r="H278" s="3015"/>
      <c r="I278" s="2998"/>
      <c r="J278" s="2998"/>
      <c r="K278" s="2998"/>
      <c r="L278" s="2998"/>
      <c r="M278" s="2998"/>
      <c r="N278" s="2998"/>
      <c r="O278" s="2998"/>
      <c r="P278" s="2998"/>
      <c r="Q278" s="2998"/>
      <c r="R278" s="2998"/>
      <c r="S278" s="2998"/>
      <c r="T278" s="2998"/>
      <c r="U278" s="2999"/>
    </row>
    <row r="279" spans="2:21" hidden="1">
      <c r="B279" s="3011" t="str">
        <f>重み!B90</f>
        <v>2.3.1</v>
      </c>
      <c r="C279" s="3012">
        <f>重み!C90</f>
        <v>0</v>
      </c>
      <c r="D279" s="3012"/>
      <c r="E279" s="3012"/>
      <c r="F279" s="3012"/>
      <c r="G279" s="2998"/>
      <c r="H279" s="3015"/>
      <c r="I279" s="2998"/>
      <c r="J279" s="2998"/>
      <c r="K279" s="2998"/>
      <c r="L279" s="2998"/>
      <c r="M279" s="2998"/>
      <c r="N279" s="2998"/>
      <c r="O279" s="2998"/>
      <c r="P279" s="2998"/>
      <c r="Q279" s="2998"/>
      <c r="R279" s="2998"/>
      <c r="S279" s="2998"/>
      <c r="T279" s="2998"/>
      <c r="U279" s="2999"/>
    </row>
    <row r="280" spans="2:21" hidden="1">
      <c r="B280" s="3011" t="str">
        <f>重み!B91</f>
        <v>2.3.2</v>
      </c>
      <c r="C280" s="3012">
        <f>重み!C91</f>
        <v>0</v>
      </c>
      <c r="D280" s="3012"/>
      <c r="E280" s="3012"/>
      <c r="F280" s="3012"/>
      <c r="G280" s="2998"/>
      <c r="H280" s="3015"/>
      <c r="I280" s="2998"/>
      <c r="J280" s="2998"/>
      <c r="K280" s="2998"/>
      <c r="L280" s="2998"/>
      <c r="M280" s="2998"/>
      <c r="N280" s="2998"/>
      <c r="O280" s="2998"/>
      <c r="P280" s="2998"/>
      <c r="Q280" s="2998"/>
      <c r="R280" s="2998"/>
      <c r="S280" s="2998"/>
      <c r="T280" s="2998"/>
      <c r="U280" s="2999"/>
    </row>
    <row r="281" spans="2:21" hidden="1">
      <c r="B281" s="3011" t="str">
        <f>重み!B92</f>
        <v>2.3.3</v>
      </c>
      <c r="C281" s="3012">
        <f>重み!C92</f>
        <v>0</v>
      </c>
      <c r="D281" s="3012"/>
      <c r="E281" s="3012"/>
      <c r="F281" s="3012"/>
      <c r="G281" s="2998"/>
      <c r="H281" s="3015"/>
      <c r="I281" s="2998"/>
      <c r="J281" s="2998"/>
      <c r="K281" s="2998"/>
      <c r="L281" s="2998"/>
      <c r="M281" s="2998"/>
      <c r="N281" s="2998"/>
      <c r="O281" s="2998"/>
      <c r="P281" s="2998"/>
      <c r="Q281" s="2998"/>
      <c r="R281" s="2998"/>
      <c r="S281" s="2998"/>
      <c r="T281" s="2998"/>
      <c r="U281" s="2999"/>
    </row>
    <row r="282" spans="2:21" hidden="1">
      <c r="B282" s="3011">
        <f>重み!B93</f>
        <v>2.4</v>
      </c>
      <c r="C282" s="3012" t="str">
        <f>重み!C93</f>
        <v>信頼性</v>
      </c>
      <c r="D282" s="3012"/>
      <c r="E282" s="3012"/>
      <c r="F282" s="3012"/>
      <c r="G282" s="2995"/>
      <c r="H282" s="3015"/>
      <c r="I282" s="2995"/>
      <c r="J282" s="2995"/>
      <c r="K282" s="2995"/>
      <c r="L282" s="2995"/>
      <c r="M282" s="2995"/>
      <c r="N282" s="2995"/>
      <c r="O282" s="2995"/>
      <c r="P282" s="2995"/>
      <c r="Q282" s="2995"/>
      <c r="R282" s="2995"/>
      <c r="S282" s="2995"/>
      <c r="T282" s="2995"/>
      <c r="U282" s="3000"/>
    </row>
    <row r="283" spans="2:21">
      <c r="B283" s="3011" t="str">
        <f>重み!B94</f>
        <v>2.4.1</v>
      </c>
      <c r="C283" s="3012" t="str">
        <f>重み!C94</f>
        <v>空調・換気設備</v>
      </c>
      <c r="D283" s="3012"/>
      <c r="E283" s="3012"/>
      <c r="F283" s="3012"/>
      <c r="G283" s="2998">
        <f>採点Q2!G288</f>
        <v>1</v>
      </c>
      <c r="H283" s="3015"/>
      <c r="I283" s="2998">
        <f>採点Q2!G283</f>
        <v>0</v>
      </c>
      <c r="J283" s="2998" t="str">
        <f>採点Q2!G284</f>
        <v>○</v>
      </c>
      <c r="K283" s="2998">
        <f>採点Q2!G285</f>
        <v>0</v>
      </c>
      <c r="L283" s="2998">
        <f>採点Q2!G286</f>
        <v>0</v>
      </c>
      <c r="M283" s="2998">
        <f>採点Q2!G287</f>
        <v>0</v>
      </c>
      <c r="N283" s="3015"/>
      <c r="O283" s="3015"/>
      <c r="P283" s="3015"/>
      <c r="Q283" s="3015"/>
      <c r="R283" s="3015"/>
      <c r="S283" s="3015"/>
      <c r="T283" s="3015"/>
      <c r="U283" s="3016"/>
    </row>
    <row r="284" spans="2:21">
      <c r="B284" s="3011" t="str">
        <f>重み!B95</f>
        <v>2.4.2</v>
      </c>
      <c r="C284" s="3012" t="str">
        <f>重み!C95</f>
        <v>給排水・衛生設備</v>
      </c>
      <c r="D284" s="3012"/>
      <c r="E284" s="3012"/>
      <c r="F284" s="3012"/>
      <c r="G284" s="2998">
        <f>採点Q2!I308</f>
        <v>2</v>
      </c>
      <c r="H284" s="2998">
        <f>採点Q2!M308</f>
        <v>1</v>
      </c>
      <c r="I284" s="2998" t="str">
        <f>採点Q2!G301</f>
        <v>○</v>
      </c>
      <c r="J284" s="2998">
        <f>採点Q2!G302</f>
        <v>0</v>
      </c>
      <c r="K284" s="2998">
        <f>採点Q2!G303</f>
        <v>0</v>
      </c>
      <c r="L284" s="2998">
        <f>採点Q2!G304</f>
        <v>0</v>
      </c>
      <c r="M284" s="2998">
        <f>採点Q2!G305</f>
        <v>0</v>
      </c>
      <c r="N284" s="2998" t="str">
        <f>採点Q2!G306</f>
        <v>○</v>
      </c>
      <c r="O284" s="2998">
        <f>採点Q2!G307</f>
        <v>0</v>
      </c>
      <c r="P284" s="3015"/>
      <c r="Q284" s="3015"/>
      <c r="R284" s="3015"/>
      <c r="S284" s="3015"/>
      <c r="T284" s="3015"/>
      <c r="U284" s="3016"/>
    </row>
    <row r="285" spans="2:21">
      <c r="B285" s="3011" t="str">
        <f>重み!B96</f>
        <v>2.4.3</v>
      </c>
      <c r="C285" s="3012" t="str">
        <f>重み!C96</f>
        <v>電気設備</v>
      </c>
      <c r="D285" s="3012"/>
      <c r="E285" s="3012"/>
      <c r="F285" s="3012"/>
      <c r="G285" s="2998">
        <f>採点Q2!I327</f>
        <v>2</v>
      </c>
      <c r="H285" s="2998">
        <f>採点Q2!M327</f>
        <v>2</v>
      </c>
      <c r="I285" s="2998">
        <f>採点Q2!G321</f>
        <v>0</v>
      </c>
      <c r="J285" s="2998">
        <f>採点Q2!G322</f>
        <v>0</v>
      </c>
      <c r="K285" s="2998" t="str">
        <f>採点Q2!G323</f>
        <v>○</v>
      </c>
      <c r="L285" s="2998">
        <f>採点Q2!G324</f>
        <v>0</v>
      </c>
      <c r="M285" s="2998" t="str">
        <f>採点Q2!G325</f>
        <v>○</v>
      </c>
      <c r="N285" s="2998">
        <f>採点Q2!G326</f>
        <v>0</v>
      </c>
      <c r="O285" s="3015"/>
      <c r="P285" s="3015"/>
      <c r="Q285" s="3015"/>
      <c r="R285" s="3015"/>
      <c r="S285" s="3015"/>
      <c r="T285" s="3015"/>
      <c r="U285" s="3016"/>
    </row>
    <row r="286" spans="2:21" hidden="1">
      <c r="B286" s="3011" t="str">
        <f>重み!B97</f>
        <v>2.4.4</v>
      </c>
      <c r="C286" s="3012" t="str">
        <f>重み!C97</f>
        <v>機械・配管支持方法</v>
      </c>
      <c r="D286" s="3012"/>
      <c r="E286" s="3012"/>
      <c r="F286" s="3012"/>
      <c r="G286" s="2998"/>
      <c r="H286" s="2998"/>
      <c r="I286" s="2995"/>
      <c r="J286" s="2998"/>
      <c r="K286" s="2998"/>
      <c r="L286" s="2998"/>
      <c r="M286" s="2998"/>
      <c r="N286" s="2998"/>
      <c r="O286" s="3015"/>
      <c r="P286" s="3015"/>
      <c r="Q286" s="3015"/>
      <c r="R286" s="3015"/>
      <c r="S286" s="3015"/>
      <c r="T286" s="3015"/>
      <c r="U286" s="3016"/>
    </row>
    <row r="287" spans="2:21">
      <c r="B287" s="3011" t="str">
        <f>重み!B98</f>
        <v>2.4.5</v>
      </c>
      <c r="C287" s="3012" t="str">
        <f>重み!C98</f>
        <v>通信・情報設備</v>
      </c>
      <c r="D287" s="3012"/>
      <c r="E287" s="3012"/>
      <c r="F287" s="3012"/>
      <c r="G287" s="2998">
        <f>採点Q2!G356</f>
        <v>2</v>
      </c>
      <c r="H287" s="3015"/>
      <c r="I287" s="2998">
        <f>採点Q2!G350</f>
        <v>0</v>
      </c>
      <c r="J287" s="2998" t="str">
        <f>採点Q2!G351</f>
        <v>○</v>
      </c>
      <c r="K287" s="2998">
        <f>採点Q2!G352</f>
        <v>0</v>
      </c>
      <c r="L287" s="2998" t="str">
        <f>採点Q2!G353</f>
        <v>○</v>
      </c>
      <c r="M287" s="2998">
        <f>採点Q2!G354</f>
        <v>0</v>
      </c>
      <c r="N287" s="2998">
        <f>採点Q2!G355</f>
        <v>0</v>
      </c>
      <c r="O287" s="3015"/>
      <c r="P287" s="3015"/>
      <c r="Q287" s="3015"/>
      <c r="R287" s="3015"/>
      <c r="S287" s="3015"/>
      <c r="T287" s="3015"/>
      <c r="U287" s="3016"/>
    </row>
    <row r="288" spans="2:21" hidden="1">
      <c r="B288" s="3011">
        <f>重み!B99</f>
        <v>0</v>
      </c>
      <c r="C288" s="3012">
        <f>重み!C99</f>
        <v>0</v>
      </c>
      <c r="D288" s="3012"/>
      <c r="E288" s="3012"/>
      <c r="F288" s="3012"/>
      <c r="G288" s="2998"/>
      <c r="H288" s="2998"/>
      <c r="I288" s="2995"/>
      <c r="J288" s="2998"/>
      <c r="K288" s="2998"/>
      <c r="L288" s="2998"/>
      <c r="M288" s="2998"/>
      <c r="N288" s="2998"/>
      <c r="O288" s="2998"/>
      <c r="P288" s="2998"/>
      <c r="Q288" s="2998"/>
      <c r="R288" s="2998"/>
      <c r="S288" s="2998"/>
      <c r="T288" s="2998"/>
      <c r="U288" s="2999"/>
    </row>
    <row r="289" spans="2:24" hidden="1">
      <c r="B289" s="3011">
        <f>重み!B100</f>
        <v>3</v>
      </c>
      <c r="C289" s="3012" t="str">
        <f>重み!C100</f>
        <v>対応性・更新性</v>
      </c>
      <c r="D289" s="3012"/>
      <c r="E289" s="3012"/>
      <c r="F289" s="3012"/>
      <c r="G289" s="2998"/>
      <c r="H289" s="2998"/>
      <c r="I289" s="2995"/>
      <c r="J289" s="2998"/>
      <c r="K289" s="2998"/>
      <c r="L289" s="2998"/>
      <c r="M289" s="2998"/>
      <c r="N289" s="2998"/>
      <c r="O289" s="2998"/>
      <c r="P289" s="2998"/>
      <c r="Q289" s="2998"/>
      <c r="R289" s="2998"/>
      <c r="S289" s="2998"/>
      <c r="T289" s="2998"/>
      <c r="U289" s="2999"/>
    </row>
    <row r="290" spans="2:24" hidden="1">
      <c r="B290" s="3011">
        <f>重み!B101</f>
        <v>3.1</v>
      </c>
      <c r="C290" s="3012" t="str">
        <f>重み!C101</f>
        <v>空間のゆとり</v>
      </c>
      <c r="D290" s="3012"/>
      <c r="E290" s="3012"/>
      <c r="F290" s="3012"/>
      <c r="G290" s="2998"/>
      <c r="H290" s="2998"/>
      <c r="I290" s="2995"/>
      <c r="J290" s="2998"/>
      <c r="K290" s="2998"/>
      <c r="L290" s="2998"/>
      <c r="M290" s="2998"/>
      <c r="N290" s="2998"/>
      <c r="O290" s="2998"/>
      <c r="P290" s="2998"/>
      <c r="Q290" s="2998"/>
      <c r="R290" s="2998"/>
      <c r="S290" s="2998"/>
      <c r="T290" s="2998"/>
      <c r="U290" s="2999"/>
    </row>
    <row r="291" spans="2:24" hidden="1">
      <c r="B291" s="3011" t="str">
        <f>重み!B102</f>
        <v>3.1.1</v>
      </c>
      <c r="C291" s="3012" t="str">
        <f>重み!C102</f>
        <v>階高のゆとり</v>
      </c>
      <c r="D291" s="3012"/>
      <c r="E291" s="3012"/>
      <c r="F291" s="3012"/>
      <c r="G291" s="2998"/>
      <c r="H291" s="2998"/>
      <c r="I291" s="2995"/>
      <c r="J291" s="2998"/>
      <c r="K291" s="2998"/>
      <c r="L291" s="2998"/>
      <c r="M291" s="2998"/>
      <c r="N291" s="2998"/>
      <c r="O291" s="2998"/>
      <c r="P291" s="2998"/>
      <c r="Q291" s="2998"/>
      <c r="R291" s="2998"/>
      <c r="S291" s="2998"/>
      <c r="T291" s="2998"/>
      <c r="U291" s="2999"/>
    </row>
    <row r="292" spans="2:24" hidden="1">
      <c r="B292" s="3011" t="str">
        <f>重み!B103</f>
        <v>3.1.2</v>
      </c>
      <c r="C292" s="3012" t="str">
        <f>重み!C103</f>
        <v>空間の形状・自由さ</v>
      </c>
      <c r="D292" s="3012"/>
      <c r="E292" s="3012"/>
      <c r="F292" s="3012"/>
      <c r="G292" s="2998"/>
      <c r="H292" s="2998"/>
      <c r="I292" s="2995"/>
      <c r="J292" s="2998"/>
      <c r="K292" s="2998"/>
      <c r="L292" s="2998"/>
      <c r="M292" s="2998"/>
      <c r="N292" s="2998"/>
      <c r="O292" s="2998"/>
      <c r="P292" s="2998"/>
      <c r="Q292" s="2998"/>
      <c r="R292" s="2998"/>
      <c r="S292" s="2998"/>
      <c r="T292" s="2998"/>
      <c r="U292" s="2999"/>
    </row>
    <row r="293" spans="2:24" hidden="1">
      <c r="B293" s="3011">
        <f>重み!B104</f>
        <v>3.2</v>
      </c>
      <c r="C293" s="3012" t="str">
        <f>重み!C104</f>
        <v>荷重のゆとり</v>
      </c>
      <c r="D293" s="3012"/>
      <c r="E293" s="3012"/>
      <c r="F293" s="3012"/>
      <c r="G293" s="2998"/>
      <c r="H293" s="2998"/>
      <c r="I293" s="2995"/>
      <c r="J293" s="2998"/>
      <c r="K293" s="2998"/>
      <c r="L293" s="2998"/>
      <c r="M293" s="2998"/>
      <c r="N293" s="2998"/>
      <c r="O293" s="2998"/>
      <c r="P293" s="2998"/>
      <c r="Q293" s="2998"/>
      <c r="R293" s="2998"/>
      <c r="S293" s="2998"/>
      <c r="T293" s="2998"/>
      <c r="U293" s="2999"/>
    </row>
    <row r="294" spans="2:24" hidden="1">
      <c r="B294" s="3011">
        <f>重み!B105</f>
        <v>3.3</v>
      </c>
      <c r="C294" s="3012" t="str">
        <f>重み!C105</f>
        <v>設備の更新性</v>
      </c>
      <c r="D294" s="3012"/>
      <c r="E294" s="3012"/>
      <c r="F294" s="3012"/>
      <c r="G294" s="2998"/>
      <c r="H294" s="2998"/>
      <c r="I294" s="2998"/>
      <c r="J294" s="2998"/>
      <c r="K294" s="2998"/>
      <c r="L294" s="2998"/>
      <c r="M294" s="2998"/>
      <c r="N294" s="2998"/>
      <c r="O294" s="2998"/>
      <c r="P294" s="2998"/>
      <c r="Q294" s="2998"/>
      <c r="R294" s="2998"/>
      <c r="S294" s="2998"/>
      <c r="T294" s="2998"/>
      <c r="U294" s="2999"/>
    </row>
    <row r="295" spans="2:24" hidden="1">
      <c r="B295" s="3011" t="str">
        <f>重み!B106</f>
        <v>3.3.1</v>
      </c>
      <c r="C295" s="3012" t="str">
        <f>重み!C106</f>
        <v>空調配管の更新性</v>
      </c>
      <c r="D295" s="3012"/>
      <c r="E295" s="3012"/>
      <c r="F295" s="3012"/>
      <c r="G295" s="2998"/>
      <c r="H295" s="2998"/>
      <c r="I295" s="2998"/>
      <c r="J295" s="2998"/>
      <c r="K295" s="2998"/>
      <c r="L295" s="2998"/>
      <c r="M295" s="2998"/>
      <c r="N295" s="2998"/>
      <c r="O295" s="2998"/>
      <c r="P295" s="2998"/>
      <c r="Q295" s="2998"/>
      <c r="R295" s="2998"/>
      <c r="S295" s="2998"/>
      <c r="T295" s="2998"/>
      <c r="U295" s="2999"/>
    </row>
    <row r="296" spans="2:24" hidden="1">
      <c r="B296" s="3011" t="str">
        <f>重み!B107</f>
        <v>3.3.2</v>
      </c>
      <c r="C296" s="3012" t="str">
        <f>重み!C107</f>
        <v>給排水管の更新性</v>
      </c>
      <c r="D296" s="3012"/>
      <c r="E296" s="3012"/>
      <c r="F296" s="3012"/>
      <c r="G296" s="2998"/>
      <c r="H296" s="2998"/>
      <c r="I296" s="2998"/>
      <c r="J296" s="2998"/>
      <c r="K296" s="2998"/>
      <c r="L296" s="2998"/>
      <c r="M296" s="2998"/>
      <c r="N296" s="2998"/>
      <c r="O296" s="2998"/>
      <c r="P296" s="2998"/>
      <c r="Q296" s="2998"/>
      <c r="R296" s="2998"/>
      <c r="S296" s="2998"/>
      <c r="T296" s="2998"/>
      <c r="U296" s="2999"/>
    </row>
    <row r="297" spans="2:24" hidden="1">
      <c r="B297" s="3011" t="str">
        <f>重み!B108</f>
        <v>3.3.3</v>
      </c>
      <c r="C297" s="3012" t="str">
        <f>重み!C108</f>
        <v>電気配線の更新性</v>
      </c>
      <c r="D297" s="3012"/>
      <c r="E297" s="3012"/>
      <c r="F297" s="3012"/>
      <c r="G297" s="2998"/>
      <c r="H297" s="2998"/>
      <c r="I297" s="2998"/>
      <c r="J297" s="2998"/>
      <c r="K297" s="2998"/>
      <c r="L297" s="2998"/>
      <c r="M297" s="2998"/>
      <c r="N297" s="2998"/>
      <c r="O297" s="2998"/>
      <c r="P297" s="2998"/>
      <c r="Q297" s="2998"/>
      <c r="R297" s="2998"/>
      <c r="S297" s="2998"/>
      <c r="T297" s="2998"/>
      <c r="U297" s="2999"/>
    </row>
    <row r="298" spans="2:24" hidden="1">
      <c r="B298" s="3011" t="str">
        <f>重み!B109</f>
        <v>3.3.4</v>
      </c>
      <c r="C298" s="3012" t="str">
        <f>重み!C109</f>
        <v>通信配線の更新性</v>
      </c>
      <c r="D298" s="3012"/>
      <c r="E298" s="3012"/>
      <c r="F298" s="3012"/>
      <c r="G298" s="2998"/>
      <c r="H298" s="2998"/>
      <c r="I298" s="2998"/>
      <c r="J298" s="2998"/>
      <c r="K298" s="2998"/>
      <c r="L298" s="2998"/>
      <c r="M298" s="2998"/>
      <c r="N298" s="2998"/>
      <c r="O298" s="2998"/>
      <c r="P298" s="2998"/>
      <c r="Q298" s="2998"/>
      <c r="R298" s="2998"/>
      <c r="S298" s="2998"/>
      <c r="T298" s="2998"/>
      <c r="U298" s="2999"/>
    </row>
    <row r="299" spans="2:24" hidden="1">
      <c r="B299" s="3011" t="str">
        <f>重み!B110</f>
        <v>3.3.5</v>
      </c>
      <c r="C299" s="3012" t="str">
        <f>重み!C110</f>
        <v>設備機器の更新性</v>
      </c>
      <c r="D299" s="3012"/>
      <c r="E299" s="3012"/>
      <c r="F299" s="3012"/>
      <c r="G299" s="2998"/>
      <c r="H299" s="2998"/>
      <c r="I299" s="2998"/>
      <c r="J299" s="2998"/>
      <c r="K299" s="2998"/>
      <c r="L299" s="2998"/>
      <c r="M299" s="2998"/>
      <c r="N299" s="2998"/>
      <c r="O299" s="2998"/>
      <c r="P299" s="2998"/>
      <c r="Q299" s="2998"/>
      <c r="R299" s="2998"/>
      <c r="S299" s="2998"/>
      <c r="T299" s="2998"/>
      <c r="U299" s="2999"/>
    </row>
    <row r="300" spans="2:24" hidden="1">
      <c r="B300" s="3011" t="str">
        <f>重み!B111</f>
        <v>3.3.6</v>
      </c>
      <c r="C300" s="3012" t="str">
        <f>重み!C111</f>
        <v>バックアップスペースの確保</v>
      </c>
      <c r="D300" s="3012"/>
      <c r="E300" s="3012"/>
      <c r="F300" s="3012"/>
      <c r="G300" s="2998"/>
      <c r="H300" s="2998"/>
      <c r="I300" s="2998"/>
      <c r="J300" s="2998"/>
      <c r="K300" s="2998"/>
      <c r="L300" s="2998"/>
      <c r="M300" s="2998"/>
      <c r="N300" s="2998"/>
      <c r="O300" s="2998"/>
      <c r="P300" s="2998"/>
      <c r="Q300" s="2998"/>
      <c r="R300" s="2998"/>
      <c r="S300" s="2998"/>
      <c r="T300" s="2998"/>
      <c r="U300" s="2999"/>
    </row>
    <row r="301" spans="2:24" ht="15">
      <c r="B301" s="3003" t="str">
        <f>重み!B112</f>
        <v>Q3</v>
      </c>
      <c r="C301" s="3004" t="str">
        <f>重み!C112</f>
        <v>室外環境（敷地内）</v>
      </c>
      <c r="D301" s="3004"/>
      <c r="E301" s="3004"/>
      <c r="F301" s="3004"/>
      <c r="G301" s="3004"/>
      <c r="H301" s="3005"/>
      <c r="I301" s="3006"/>
      <c r="J301" s="3006"/>
      <c r="K301" s="3006"/>
      <c r="L301" s="3006"/>
      <c r="M301" s="3006"/>
      <c r="N301" s="3006"/>
      <c r="O301" s="3006"/>
      <c r="P301" s="3007"/>
      <c r="Q301" s="3007"/>
      <c r="R301" s="3008"/>
      <c r="S301" s="3009"/>
      <c r="T301" s="3008"/>
      <c r="U301" s="3010"/>
      <c r="W301"/>
      <c r="X301"/>
    </row>
    <row r="302" spans="2:24">
      <c r="B302" s="3011">
        <f>重み!B113</f>
        <v>1</v>
      </c>
      <c r="C302" s="3012" t="str">
        <f>重み!C113</f>
        <v>生物資源の保全と創出</v>
      </c>
      <c r="D302" s="3012"/>
      <c r="E302" s="3012"/>
      <c r="F302" s="3012"/>
      <c r="G302" s="2998">
        <f>採点Q3!G38</f>
        <v>7</v>
      </c>
      <c r="H302" s="3017"/>
      <c r="I302" s="2998">
        <f>採点Q3!G25</f>
        <v>0</v>
      </c>
      <c r="J302" s="2998">
        <f>採点Q3!G26</f>
        <v>0</v>
      </c>
      <c r="K302" s="2998">
        <f>採点Q3!G27</f>
        <v>2</v>
      </c>
      <c r="L302" s="2998">
        <f>採点Q3!G29</f>
        <v>1</v>
      </c>
      <c r="M302" s="2998">
        <f>採点Q3!G31</f>
        <v>0</v>
      </c>
      <c r="N302" s="2998">
        <f>採点Q3!G32</f>
        <v>1</v>
      </c>
      <c r="O302" s="2998">
        <f>採点Q3!G33</f>
        <v>1</v>
      </c>
      <c r="P302" s="2998">
        <f>採点Q3!G34</f>
        <v>0</v>
      </c>
      <c r="Q302" s="2998">
        <f>採点Q3!G35</f>
        <v>1</v>
      </c>
      <c r="R302" s="2998">
        <f>採点Q3!G36</f>
        <v>1</v>
      </c>
      <c r="S302" s="2998">
        <f>採点Q3!G37</f>
        <v>0</v>
      </c>
      <c r="T302" s="3017"/>
      <c r="U302" s="3018"/>
    </row>
    <row r="303" spans="2:24" hidden="1">
      <c r="B303" s="3011">
        <f>重み!B114</f>
        <v>1</v>
      </c>
      <c r="C303" s="3012">
        <f>重み!C114</f>
        <v>0</v>
      </c>
      <c r="D303" s="3012"/>
      <c r="E303" s="3012"/>
      <c r="F303" s="3012"/>
      <c r="G303" s="2995"/>
      <c r="H303" s="3015"/>
      <c r="I303" s="2995"/>
      <c r="J303" s="2995"/>
      <c r="K303" s="2995"/>
      <c r="L303" s="2995"/>
      <c r="M303" s="2995"/>
      <c r="N303" s="2995"/>
      <c r="O303" s="2998"/>
      <c r="P303" s="2998"/>
      <c r="Q303" s="2998"/>
      <c r="R303" s="2998"/>
      <c r="S303" s="2998"/>
      <c r="T303" s="3017"/>
      <c r="U303" s="3018"/>
    </row>
    <row r="304" spans="2:24" hidden="1">
      <c r="B304" s="3011">
        <f>重み!B115</f>
        <v>1.1000000000000001</v>
      </c>
      <c r="C304" s="3012">
        <f>重み!C115</f>
        <v>0</v>
      </c>
      <c r="D304" s="3012"/>
      <c r="E304" s="3012"/>
      <c r="F304" s="3012"/>
      <c r="G304" s="2998"/>
      <c r="H304" s="3017"/>
      <c r="I304" s="2995"/>
      <c r="J304" s="2998"/>
      <c r="K304" s="2998"/>
      <c r="L304" s="2998"/>
      <c r="M304" s="2998"/>
      <c r="N304" s="2998"/>
      <c r="O304" s="2998"/>
      <c r="P304" s="2998"/>
      <c r="Q304" s="2998"/>
      <c r="R304" s="2998"/>
      <c r="S304" s="2998"/>
      <c r="T304" s="3017"/>
      <c r="U304" s="3018"/>
    </row>
    <row r="305" spans="2:21">
      <c r="B305" s="3011">
        <f>重み!B116</f>
        <v>2</v>
      </c>
      <c r="C305" s="3012" t="str">
        <f>重み!C116</f>
        <v>まちなみ・景観への配慮</v>
      </c>
      <c r="D305" s="3012"/>
      <c r="E305" s="3012"/>
      <c r="F305" s="3012"/>
      <c r="G305" s="2998">
        <f>採点Q3!G58</f>
        <v>3</v>
      </c>
      <c r="H305" s="3017"/>
      <c r="I305" s="2998">
        <f>採点Q3!G52</f>
        <v>2</v>
      </c>
      <c r="J305" s="2998">
        <f>採点Q3!G53</f>
        <v>1</v>
      </c>
      <c r="K305" s="2998">
        <f>採点Q3!G54</f>
        <v>0</v>
      </c>
      <c r="L305" s="2998">
        <f>採点Q3!G55</f>
        <v>0</v>
      </c>
      <c r="M305" s="2998">
        <f>採点Q3!G56</f>
        <v>0</v>
      </c>
      <c r="N305" s="2998">
        <f>採点Q3!G57</f>
        <v>0</v>
      </c>
      <c r="O305" s="3017"/>
      <c r="P305" s="3017"/>
      <c r="Q305" s="3017"/>
      <c r="R305" s="3017"/>
      <c r="S305" s="3017"/>
      <c r="T305" s="3017"/>
      <c r="U305" s="3018"/>
    </row>
    <row r="306" spans="2:21" hidden="1">
      <c r="B306" s="3011">
        <f>重み!B117</f>
        <v>3</v>
      </c>
      <c r="C306" s="3012" t="str">
        <f>重み!C117</f>
        <v>地域性・アメニティへの配慮</v>
      </c>
      <c r="D306" s="3012"/>
      <c r="E306" s="3012"/>
      <c r="F306" s="3012"/>
      <c r="G306" s="2998"/>
      <c r="H306" s="3017"/>
      <c r="I306" s="2995"/>
      <c r="J306" s="2998"/>
      <c r="K306" s="2998"/>
      <c r="L306" s="2998"/>
      <c r="M306" s="2998"/>
      <c r="N306" s="2998"/>
      <c r="O306" s="2998"/>
      <c r="P306" s="2998"/>
      <c r="Q306" s="2998"/>
      <c r="R306" s="2998"/>
      <c r="S306" s="2998"/>
      <c r="T306" s="3017"/>
      <c r="U306" s="3018"/>
    </row>
    <row r="307" spans="2:21">
      <c r="B307" s="3011" t="str">
        <f>重み!B118</f>
        <v>3.1</v>
      </c>
      <c r="C307" s="3019" t="str">
        <f>重み!C118</f>
        <v>地域性への配慮、快適性の向上</v>
      </c>
      <c r="D307" s="3012"/>
      <c r="E307" s="3012"/>
      <c r="F307" s="3012"/>
      <c r="G307" s="2998">
        <f>採点Q3!G92</f>
        <v>2</v>
      </c>
      <c r="H307" s="3017"/>
      <c r="I307" s="2998">
        <f>採点Q3!G72</f>
        <v>1</v>
      </c>
      <c r="J307" s="2998">
        <f>採点Q3!G74</f>
        <v>0</v>
      </c>
      <c r="K307" s="2998">
        <f>採点Q3!G76</f>
        <v>1</v>
      </c>
      <c r="L307" s="2998">
        <f>採点Q3!G79</f>
        <v>0</v>
      </c>
      <c r="M307" s="2998">
        <f>採点Q3!G81</f>
        <v>0</v>
      </c>
      <c r="N307" s="2998">
        <f>採点Q3!G84</f>
        <v>0</v>
      </c>
      <c r="O307" s="2998">
        <f>採点Q3!G89</f>
        <v>0</v>
      </c>
      <c r="P307" s="2998">
        <f>採点Q3!G91</f>
        <v>0</v>
      </c>
      <c r="Q307" s="3017"/>
      <c r="R307" s="3017"/>
      <c r="S307" s="3017"/>
      <c r="T307" s="3017"/>
      <c r="U307" s="3018"/>
    </row>
    <row r="308" spans="2:21">
      <c r="B308" s="3011" t="str">
        <f>重み!B119</f>
        <v>3.2</v>
      </c>
      <c r="C308" s="3012" t="str">
        <f>重み!C119</f>
        <v>敷地内温熱環境の向上</v>
      </c>
      <c r="D308" s="3012"/>
      <c r="E308" s="3012"/>
      <c r="F308" s="3012"/>
      <c r="G308" s="2998">
        <f>採点Q3!G135</f>
        <v>8</v>
      </c>
      <c r="H308" s="3017"/>
      <c r="I308" s="2998">
        <f>採点Q3!G118</f>
        <v>2</v>
      </c>
      <c r="J308" s="2998">
        <f>採点Q3!G119</f>
        <v>0</v>
      </c>
      <c r="K308" s="2998">
        <f>採点Q3!G121</f>
        <v>1</v>
      </c>
      <c r="L308" s="2998">
        <f>採点Q3!G123</f>
        <v>1</v>
      </c>
      <c r="M308" s="2998">
        <f>採点Q3!G125</f>
        <v>0</v>
      </c>
      <c r="N308" s="2998">
        <f>採点Q3!G127</f>
        <v>2</v>
      </c>
      <c r="O308" s="2998">
        <f>採点Q3!G129</f>
        <v>0</v>
      </c>
      <c r="P308" s="2998">
        <f>採点Q3!G131</f>
        <v>2</v>
      </c>
      <c r="Q308" s="2998">
        <f>採点Q3!G133</f>
        <v>0</v>
      </c>
      <c r="R308" s="3017"/>
      <c r="S308" s="3017"/>
      <c r="T308" s="3017"/>
      <c r="U308" s="3018"/>
    </row>
    <row r="309" spans="2:21" hidden="1">
      <c r="B309" s="3011">
        <f>重み!B120</f>
        <v>0</v>
      </c>
      <c r="C309" s="3012">
        <f>重み!C120</f>
        <v>0</v>
      </c>
      <c r="D309" s="3012"/>
      <c r="E309" s="3012"/>
      <c r="F309" s="3012"/>
      <c r="G309" s="2998"/>
      <c r="H309" s="2998"/>
      <c r="I309" s="2998"/>
      <c r="J309" s="2998"/>
      <c r="K309" s="2998"/>
      <c r="L309" s="2998"/>
      <c r="M309" s="2998"/>
      <c r="N309" s="2998"/>
      <c r="O309" s="2998"/>
      <c r="P309" s="2998"/>
      <c r="Q309" s="2998"/>
      <c r="R309" s="2998"/>
      <c r="S309" s="2998"/>
      <c r="T309" s="2998"/>
      <c r="U309" s="2999"/>
    </row>
    <row r="310" spans="2:21" hidden="1">
      <c r="B310" s="3011" t="str">
        <f>重み!B121</f>
        <v>LR</v>
      </c>
      <c r="C310" s="3012" t="str">
        <f>重み!C121</f>
        <v>建築物の環境負荷低減性</v>
      </c>
      <c r="D310" s="3012"/>
      <c r="E310" s="3012"/>
      <c r="F310" s="3012"/>
      <c r="G310" s="2998"/>
      <c r="H310" s="2998"/>
      <c r="I310" s="2998"/>
      <c r="J310" s="2998"/>
      <c r="K310" s="2998"/>
      <c r="L310" s="2998"/>
      <c r="M310" s="2998"/>
      <c r="N310" s="2998"/>
      <c r="O310" s="2998"/>
      <c r="P310" s="2998"/>
      <c r="Q310" s="2998"/>
      <c r="R310" s="2998"/>
      <c r="S310" s="2998"/>
      <c r="T310" s="2998"/>
      <c r="U310" s="2999"/>
    </row>
    <row r="311" spans="2:21" ht="15">
      <c r="B311" s="3003" t="str">
        <f>重み!B122</f>
        <v>LR1</v>
      </c>
      <c r="C311" s="3004" t="str">
        <f>重み!C122</f>
        <v>エネルギー</v>
      </c>
      <c r="D311" s="3004"/>
      <c r="E311" s="3004"/>
      <c r="F311" s="3004"/>
      <c r="G311" s="3004"/>
      <c r="H311" s="3005"/>
      <c r="I311" s="3006"/>
      <c r="J311" s="3006"/>
      <c r="K311" s="3006"/>
      <c r="L311" s="3006"/>
      <c r="M311" s="3006"/>
      <c r="N311" s="3006"/>
      <c r="O311" s="3006"/>
      <c r="P311" s="3007"/>
      <c r="Q311" s="3007"/>
      <c r="R311" s="3008"/>
      <c r="S311" s="3009"/>
      <c r="T311" s="3008"/>
      <c r="U311" s="3010"/>
    </row>
    <row r="312" spans="2:21" hidden="1">
      <c r="B312" s="3011">
        <f>重み!B123</f>
        <v>1</v>
      </c>
      <c r="C312" s="3012" t="str">
        <f>重み!C123</f>
        <v>建物外皮の熱負荷抑制</v>
      </c>
      <c r="D312" s="3012"/>
      <c r="E312" s="3012"/>
      <c r="F312" s="3012"/>
      <c r="G312" s="2998"/>
      <c r="H312" s="2998"/>
      <c r="I312" s="2998"/>
      <c r="J312" s="2998"/>
      <c r="K312" s="2998"/>
      <c r="L312" s="2998"/>
      <c r="M312" s="2998"/>
      <c r="N312" s="2998"/>
      <c r="O312" s="2998"/>
      <c r="P312" s="2998"/>
      <c r="Q312" s="2998"/>
      <c r="R312" s="2998"/>
      <c r="S312" s="2998"/>
      <c r="T312" s="2998"/>
      <c r="U312" s="2999"/>
    </row>
    <row r="313" spans="2:21">
      <c r="B313" s="3011">
        <f>重み!B124</f>
        <v>2</v>
      </c>
      <c r="C313" s="3012" t="str">
        <f>重み!C124</f>
        <v>自然エネルギー利用</v>
      </c>
      <c r="D313" s="3012"/>
      <c r="E313" s="3012"/>
      <c r="F313" s="3012"/>
      <c r="G313" s="2998">
        <f>採点LR1!G58</f>
        <v>0</v>
      </c>
      <c r="H313" s="3017"/>
      <c r="I313" s="2998">
        <f>採点LR1!L45</f>
        <v>0</v>
      </c>
      <c r="J313" s="2998">
        <f>採点LR1!L46</f>
        <v>0</v>
      </c>
      <c r="K313" s="2998">
        <f>採点LR1!L47</f>
        <v>0</v>
      </c>
      <c r="L313" s="2998">
        <f>採点LR1!L48</f>
        <v>0</v>
      </c>
      <c r="M313" s="2998">
        <f>採点LR1!L49</f>
        <v>0</v>
      </c>
      <c r="N313" s="2998">
        <f>採点LR1!L50</f>
        <v>0</v>
      </c>
      <c r="O313" s="2998">
        <f>採点LR1!L51</f>
        <v>0</v>
      </c>
      <c r="P313" s="2998">
        <f>採点LR1!L52</f>
        <v>0</v>
      </c>
      <c r="Q313" s="2998">
        <f>採点LR1!L53</f>
        <v>0</v>
      </c>
      <c r="R313" s="2998">
        <f>採点LR1!L54</f>
        <v>0</v>
      </c>
      <c r="S313" s="2998">
        <f>採点LR1!L55</f>
        <v>0</v>
      </c>
      <c r="T313" s="2998">
        <f>採点LR1!L56</f>
        <v>0</v>
      </c>
      <c r="U313" s="2999">
        <f>採点LR1!L57</f>
        <v>0</v>
      </c>
    </row>
    <row r="314" spans="2:21" hidden="1">
      <c r="B314" s="3011">
        <f>重み!B125</f>
        <v>0</v>
      </c>
      <c r="C314" s="3012">
        <f>重み!C125</f>
        <v>0</v>
      </c>
      <c r="D314" s="3012"/>
      <c r="E314" s="3012"/>
      <c r="F314" s="3012"/>
      <c r="G314" s="2998"/>
      <c r="H314" s="2998"/>
      <c r="I314" s="2995"/>
      <c r="J314" s="2998"/>
      <c r="K314" s="2998"/>
      <c r="L314" s="2998"/>
      <c r="M314" s="2998"/>
      <c r="N314" s="2998"/>
      <c r="O314" s="2998"/>
      <c r="P314" s="2998"/>
      <c r="Q314" s="2998"/>
      <c r="R314" s="2998"/>
      <c r="S314" s="2998"/>
      <c r="T314" s="2998"/>
      <c r="U314" s="2999"/>
    </row>
    <row r="315" spans="2:21" hidden="1">
      <c r="B315" s="3011">
        <f>重み!B126</f>
        <v>0</v>
      </c>
      <c r="C315" s="3012">
        <f>重み!C126</f>
        <v>0</v>
      </c>
      <c r="D315" s="3012"/>
      <c r="E315" s="3012"/>
      <c r="F315" s="3012"/>
      <c r="G315" s="2998"/>
      <c r="H315" s="2998"/>
      <c r="I315" s="2995"/>
      <c r="J315" s="2998"/>
      <c r="K315" s="2998"/>
      <c r="L315" s="2998"/>
      <c r="M315" s="2998"/>
      <c r="N315" s="2998"/>
      <c r="O315" s="2998"/>
      <c r="P315" s="2998"/>
      <c r="Q315" s="2998"/>
      <c r="R315" s="2998"/>
      <c r="S315" s="2998"/>
      <c r="T315" s="2998"/>
      <c r="U315" s="2999"/>
    </row>
    <row r="316" spans="2:21" hidden="1">
      <c r="B316" s="3011" t="str">
        <f>重み!B127</f>
        <v>2.1</v>
      </c>
      <c r="C316" s="3012">
        <f>重み!C127</f>
        <v>0</v>
      </c>
      <c r="D316" s="3012"/>
      <c r="E316" s="3012"/>
      <c r="F316" s="3012"/>
      <c r="G316" s="2998"/>
      <c r="H316" s="2998"/>
      <c r="I316" s="2995"/>
      <c r="J316" s="2998"/>
      <c r="K316" s="2998"/>
      <c r="L316" s="2998"/>
      <c r="M316" s="2998"/>
      <c r="N316" s="2998"/>
      <c r="O316" s="2998"/>
      <c r="P316" s="2998"/>
      <c r="Q316" s="2998"/>
      <c r="R316" s="2998"/>
      <c r="S316" s="2998"/>
      <c r="T316" s="2998"/>
      <c r="U316" s="2999"/>
    </row>
    <row r="317" spans="2:21" hidden="1">
      <c r="B317" s="3011" t="str">
        <f>重み!B128</f>
        <v>2.2</v>
      </c>
      <c r="C317" s="3012">
        <f>重み!C128</f>
        <v>0</v>
      </c>
      <c r="D317" s="3012"/>
      <c r="E317" s="3012"/>
      <c r="F317" s="3012"/>
      <c r="G317" s="2998"/>
      <c r="H317" s="2998"/>
      <c r="I317" s="2995"/>
      <c r="J317" s="2998"/>
      <c r="K317" s="2998"/>
      <c r="L317" s="2998"/>
      <c r="M317" s="2998"/>
      <c r="N317" s="2998"/>
      <c r="O317" s="2998"/>
      <c r="P317" s="2998"/>
      <c r="Q317" s="2998"/>
      <c r="R317" s="2998"/>
      <c r="S317" s="2998"/>
      <c r="T317" s="2998"/>
      <c r="U317" s="2999"/>
    </row>
    <row r="318" spans="2:21" hidden="1">
      <c r="B318" s="3011">
        <f>重み!B129</f>
        <v>3</v>
      </c>
      <c r="C318" s="3012" t="str">
        <f>重み!C129</f>
        <v>設備システムの高効率化</v>
      </c>
      <c r="D318" s="3012"/>
      <c r="E318" s="3012"/>
      <c r="F318" s="3012"/>
      <c r="G318" s="2998"/>
      <c r="H318" s="2998"/>
      <c r="I318" s="2995"/>
      <c r="J318" s="2998"/>
      <c r="K318" s="2998"/>
      <c r="L318" s="2998"/>
      <c r="M318" s="2998"/>
      <c r="N318" s="2998"/>
      <c r="O318" s="2998"/>
      <c r="P318" s="2998"/>
      <c r="Q318" s="2998"/>
      <c r="R318" s="2998"/>
      <c r="S318" s="2998"/>
      <c r="T318" s="2998"/>
      <c r="U318" s="2999"/>
    </row>
    <row r="319" spans="2:21" hidden="1">
      <c r="B319" s="3011" t="str">
        <f>重み!B130</f>
        <v>3a.3b</v>
      </c>
      <c r="C319" s="3012" t="str">
        <f>重み!C130</f>
        <v>非住宅部分</v>
      </c>
      <c r="D319" s="3012"/>
      <c r="E319" s="3012"/>
      <c r="F319" s="3012"/>
      <c r="G319" s="2998"/>
      <c r="H319" s="2998"/>
      <c r="I319" s="2995"/>
      <c r="J319" s="2998"/>
      <c r="K319" s="2998"/>
      <c r="L319" s="2998"/>
      <c r="M319" s="2998"/>
      <c r="N319" s="2998"/>
      <c r="O319" s="2998"/>
      <c r="P319" s="2998"/>
      <c r="Q319" s="2998"/>
      <c r="R319" s="2998"/>
      <c r="S319" s="2998"/>
      <c r="T319" s="2998"/>
      <c r="U319" s="2999"/>
    </row>
    <row r="320" spans="2:21" hidden="1">
      <c r="B320" s="3011" t="str">
        <f>重み!B131</f>
        <v>3b.c</v>
      </c>
      <c r="C320" s="3012" t="str">
        <f>重み!C131</f>
        <v>集合住宅の評価</v>
      </c>
      <c r="D320" s="3012"/>
      <c r="E320" s="3012"/>
      <c r="F320" s="3012"/>
      <c r="G320" s="2998"/>
      <c r="H320" s="2998"/>
      <c r="I320" s="2995"/>
      <c r="J320" s="2998"/>
      <c r="K320" s="2998"/>
      <c r="L320" s="2998"/>
      <c r="M320" s="2998"/>
      <c r="N320" s="2998"/>
      <c r="O320" s="2998"/>
      <c r="P320" s="2998"/>
      <c r="Q320" s="2998"/>
      <c r="R320" s="2998"/>
      <c r="S320" s="2998"/>
      <c r="T320" s="2998"/>
      <c r="U320" s="2999"/>
    </row>
    <row r="321" spans="2:24" hidden="1">
      <c r="B321" s="3011">
        <f>重み!B132</f>
        <v>3.1</v>
      </c>
      <c r="C321" s="3012" t="str">
        <f>重み!C132</f>
        <v>空調設備</v>
      </c>
      <c r="D321" s="3012"/>
      <c r="E321" s="3012"/>
      <c r="F321" s="3012"/>
      <c r="G321" s="2998"/>
      <c r="H321" s="2998"/>
      <c r="I321" s="2995"/>
      <c r="J321" s="2998"/>
      <c r="K321" s="2998"/>
      <c r="L321" s="2998"/>
      <c r="M321" s="2998"/>
      <c r="N321" s="2998"/>
      <c r="O321" s="2998"/>
      <c r="P321" s="2998"/>
      <c r="Q321" s="2998"/>
      <c r="R321" s="2998"/>
      <c r="S321" s="2998"/>
      <c r="T321" s="2998"/>
      <c r="U321" s="2999"/>
    </row>
    <row r="322" spans="2:24" hidden="1">
      <c r="B322" s="3011">
        <f>重み!B133</f>
        <v>3.2</v>
      </c>
      <c r="C322" s="3012" t="str">
        <f>重み!C133</f>
        <v>換気設備</v>
      </c>
      <c r="D322" s="3012"/>
      <c r="E322" s="3012"/>
      <c r="F322" s="3012"/>
      <c r="G322" s="2998"/>
      <c r="H322" s="2998"/>
      <c r="I322" s="2995"/>
      <c r="J322" s="2998"/>
      <c r="K322" s="2998"/>
      <c r="L322" s="2998"/>
      <c r="M322" s="2998"/>
      <c r="N322" s="2998"/>
      <c r="O322" s="2998"/>
      <c r="P322" s="2998"/>
      <c r="Q322" s="2998"/>
      <c r="R322" s="2998"/>
      <c r="S322" s="2998"/>
      <c r="T322" s="2998"/>
      <c r="U322" s="2999"/>
    </row>
    <row r="323" spans="2:24" hidden="1">
      <c r="B323" s="3011">
        <f>重み!B134</f>
        <v>3.3</v>
      </c>
      <c r="C323" s="3012" t="str">
        <f>重み!C134</f>
        <v>照明設備</v>
      </c>
      <c r="D323" s="3012"/>
      <c r="E323" s="3012"/>
      <c r="F323" s="3012"/>
      <c r="G323" s="2998"/>
      <c r="H323" s="2998"/>
      <c r="I323" s="2995"/>
      <c r="J323" s="2998"/>
      <c r="K323" s="2998"/>
      <c r="L323" s="2998"/>
      <c r="M323" s="2998"/>
      <c r="N323" s="2998"/>
      <c r="O323" s="2998"/>
      <c r="P323" s="2998"/>
      <c r="Q323" s="2998"/>
      <c r="R323" s="2998"/>
      <c r="S323" s="2998"/>
      <c r="T323" s="2998"/>
      <c r="U323" s="2999"/>
    </row>
    <row r="324" spans="2:24" hidden="1">
      <c r="B324" s="3011">
        <f>重み!B135</f>
        <v>3.4</v>
      </c>
      <c r="C324" s="3012" t="str">
        <f>重み!C135</f>
        <v>給湯設備</v>
      </c>
      <c r="D324" s="3012"/>
      <c r="E324" s="3012"/>
      <c r="F324" s="3012"/>
      <c r="G324" s="2998"/>
      <c r="H324" s="2998"/>
      <c r="I324" s="2995"/>
      <c r="J324" s="2998"/>
      <c r="K324" s="2998"/>
      <c r="L324" s="2998"/>
      <c r="M324" s="2998"/>
      <c r="N324" s="2998"/>
      <c r="O324" s="2998"/>
      <c r="P324" s="2998"/>
      <c r="Q324" s="2998"/>
      <c r="R324" s="2998"/>
      <c r="S324" s="2998"/>
      <c r="T324" s="2998"/>
      <c r="U324" s="2999"/>
    </row>
    <row r="325" spans="2:24" hidden="1">
      <c r="B325" s="3011">
        <f>重み!B136</f>
        <v>3.5</v>
      </c>
      <c r="C325" s="3012" t="str">
        <f>重み!C136</f>
        <v>昇降機設備</v>
      </c>
      <c r="D325" s="3012"/>
      <c r="E325" s="3012"/>
      <c r="F325" s="3012"/>
      <c r="G325" s="2998"/>
      <c r="H325" s="2998"/>
      <c r="I325" s="2995"/>
      <c r="J325" s="2998"/>
      <c r="K325" s="2998"/>
      <c r="L325" s="2998"/>
      <c r="M325" s="2998"/>
      <c r="N325" s="2998"/>
      <c r="O325" s="2998"/>
      <c r="P325" s="2998"/>
      <c r="Q325" s="2998"/>
      <c r="R325" s="2998"/>
      <c r="S325" s="2998"/>
      <c r="T325" s="2998"/>
      <c r="U325" s="2999"/>
    </row>
    <row r="326" spans="2:24" hidden="1">
      <c r="B326" s="3011">
        <f>重み!B137</f>
        <v>0</v>
      </c>
      <c r="C326" s="3012">
        <f>重み!C137</f>
        <v>0</v>
      </c>
      <c r="D326" s="3012"/>
      <c r="E326" s="3012"/>
      <c r="F326" s="3012"/>
      <c r="G326" s="2998"/>
      <c r="H326" s="2998"/>
      <c r="I326" s="2995"/>
      <c r="J326" s="2998"/>
      <c r="K326" s="2998"/>
      <c r="L326" s="2998"/>
      <c r="M326" s="2998"/>
      <c r="N326" s="2998"/>
      <c r="O326" s="2998"/>
      <c r="P326" s="2998"/>
      <c r="Q326" s="2998"/>
      <c r="R326" s="2998"/>
      <c r="S326" s="2998"/>
      <c r="T326" s="2998"/>
      <c r="U326" s="2999"/>
    </row>
    <row r="327" spans="2:24" hidden="1">
      <c r="B327" s="3011">
        <f>重み!B138</f>
        <v>4</v>
      </c>
      <c r="C327" s="3012" t="str">
        <f>重み!C138</f>
        <v>効率的運用</v>
      </c>
      <c r="D327" s="3012"/>
      <c r="E327" s="3012"/>
      <c r="F327" s="3012"/>
      <c r="G327" s="2998"/>
      <c r="H327" s="2998"/>
      <c r="I327" s="2998"/>
      <c r="J327" s="2998"/>
      <c r="K327" s="2998"/>
      <c r="L327" s="2998"/>
      <c r="M327" s="2998"/>
      <c r="N327" s="2998"/>
      <c r="O327" s="2998"/>
      <c r="P327" s="2998"/>
      <c r="Q327" s="2998"/>
      <c r="R327" s="2998"/>
      <c r="S327" s="2998"/>
      <c r="T327" s="2998"/>
      <c r="U327" s="2999"/>
    </row>
    <row r="328" spans="2:24" hidden="1">
      <c r="B328" s="3011">
        <f>重み!B139</f>
        <v>4.0999999999999996</v>
      </c>
      <c r="C328" s="3012" t="str">
        <f>重み!C139</f>
        <v>住宅以外の評価</v>
      </c>
      <c r="D328" s="3012"/>
      <c r="E328" s="3012"/>
      <c r="F328" s="3012"/>
      <c r="G328" s="2998"/>
      <c r="H328" s="2998"/>
      <c r="I328" s="2998"/>
      <c r="J328" s="2998"/>
      <c r="K328" s="2998"/>
      <c r="L328" s="2998"/>
      <c r="M328" s="2998"/>
      <c r="N328" s="2998"/>
      <c r="O328" s="2998"/>
      <c r="P328" s="2998"/>
      <c r="Q328" s="2998"/>
      <c r="R328" s="2998"/>
      <c r="S328" s="2998"/>
      <c r="T328" s="2998"/>
      <c r="U328" s="2999"/>
    </row>
    <row r="329" spans="2:24" hidden="1">
      <c r="B329" s="3011" t="str">
        <f>重み!B140</f>
        <v>4.1.1</v>
      </c>
      <c r="C329" s="3012" t="str">
        <f>重み!C140</f>
        <v>モニタリング</v>
      </c>
      <c r="D329" s="3012"/>
      <c r="E329" s="3012"/>
      <c r="F329" s="3012"/>
      <c r="G329" s="2998"/>
      <c r="H329" s="2998"/>
      <c r="I329" s="2998"/>
      <c r="J329" s="2998"/>
      <c r="K329" s="2998"/>
      <c r="L329" s="2998"/>
      <c r="M329" s="2998"/>
      <c r="N329" s="2998"/>
      <c r="O329" s="2998"/>
      <c r="P329" s="2998"/>
      <c r="Q329" s="2998"/>
      <c r="R329" s="2998"/>
      <c r="S329" s="2998"/>
      <c r="T329" s="2998"/>
      <c r="U329" s="2999"/>
    </row>
    <row r="330" spans="2:24" hidden="1">
      <c r="B330" s="3011" t="str">
        <f>重み!B141</f>
        <v>4.1.2</v>
      </c>
      <c r="C330" s="3012" t="str">
        <f>重み!C141</f>
        <v>運用管理体制</v>
      </c>
      <c r="D330" s="3012"/>
      <c r="E330" s="3012"/>
      <c r="F330" s="3012"/>
      <c r="G330" s="2998"/>
      <c r="H330" s="2998"/>
      <c r="I330" s="2998"/>
      <c r="J330" s="2998"/>
      <c r="K330" s="2998"/>
      <c r="L330" s="2998"/>
      <c r="M330" s="2998"/>
      <c r="N330" s="2998"/>
      <c r="O330" s="2998"/>
      <c r="P330" s="2998"/>
      <c r="Q330" s="2998"/>
      <c r="R330" s="2998"/>
      <c r="S330" s="2998"/>
      <c r="T330" s="2998"/>
      <c r="U330" s="2999"/>
    </row>
    <row r="331" spans="2:24" hidden="1">
      <c r="B331" s="3011">
        <f>重み!B142</f>
        <v>4.2</v>
      </c>
      <c r="C331" s="3012" t="str">
        <f>重み!C142</f>
        <v>住宅の評価</v>
      </c>
      <c r="D331" s="3012"/>
      <c r="E331" s="3012"/>
      <c r="F331" s="3012"/>
      <c r="G331" s="2998"/>
      <c r="H331" s="2998"/>
      <c r="I331" s="2998"/>
      <c r="J331" s="2998"/>
      <c r="K331" s="2998"/>
      <c r="L331" s="2998"/>
      <c r="M331" s="2998"/>
      <c r="N331" s="2998"/>
      <c r="O331" s="2998"/>
      <c r="P331" s="2998"/>
      <c r="Q331" s="2998"/>
      <c r="R331" s="2998"/>
      <c r="S331" s="2998"/>
      <c r="T331" s="2998"/>
      <c r="U331" s="2999"/>
    </row>
    <row r="332" spans="2:24" hidden="1">
      <c r="B332" s="3011" t="str">
        <f>重み!B143</f>
        <v>4.2.1</v>
      </c>
      <c r="C332" s="3012" t="str">
        <f>重み!C143</f>
        <v>モニタリング</v>
      </c>
      <c r="D332" s="3012"/>
      <c r="E332" s="3012"/>
      <c r="F332" s="3012"/>
      <c r="G332" s="2998"/>
      <c r="H332" s="2998"/>
      <c r="I332" s="2998"/>
      <c r="J332" s="2998"/>
      <c r="K332" s="2998"/>
      <c r="L332" s="2998"/>
      <c r="M332" s="2998"/>
      <c r="N332" s="2998"/>
      <c r="O332" s="2998"/>
      <c r="P332" s="2998"/>
      <c r="Q332" s="2998"/>
      <c r="R332" s="2998"/>
      <c r="S332" s="2998"/>
      <c r="T332" s="2998"/>
      <c r="U332" s="2999"/>
    </row>
    <row r="333" spans="2:24" hidden="1">
      <c r="B333" s="3011" t="str">
        <f>重み!B144</f>
        <v>4.2.2</v>
      </c>
      <c r="C333" s="3012" t="str">
        <f>重み!C144</f>
        <v>運用管理体制</v>
      </c>
      <c r="D333" s="3012"/>
      <c r="E333" s="3012"/>
      <c r="F333" s="3012"/>
      <c r="G333" s="2998"/>
      <c r="H333" s="2998"/>
      <c r="I333" s="2998"/>
      <c r="J333" s="2998"/>
      <c r="K333" s="2998"/>
      <c r="L333" s="2998"/>
      <c r="M333" s="2998"/>
      <c r="N333" s="2998"/>
      <c r="O333" s="2998"/>
      <c r="P333" s="2998"/>
      <c r="Q333" s="2998"/>
      <c r="R333" s="2998"/>
      <c r="S333" s="2998"/>
      <c r="T333" s="2998"/>
      <c r="U333" s="2999"/>
    </row>
    <row r="334" spans="2:24" ht="15">
      <c r="B334" s="3003" t="str">
        <f>重み!B145</f>
        <v>LR2</v>
      </c>
      <c r="C334" s="3004" t="str">
        <f>重み!C145</f>
        <v>資源・マテリアル</v>
      </c>
      <c r="D334" s="3004"/>
      <c r="E334" s="3004"/>
      <c r="F334" s="3004"/>
      <c r="G334" s="3004"/>
      <c r="H334" s="3005"/>
      <c r="I334" s="3006"/>
      <c r="J334" s="3006"/>
      <c r="K334" s="3006"/>
      <c r="L334" s="3006"/>
      <c r="M334" s="3006"/>
      <c r="N334" s="3006"/>
      <c r="O334" s="3006"/>
      <c r="P334" s="3007"/>
      <c r="Q334" s="3007"/>
      <c r="R334" s="3008"/>
      <c r="S334" s="3009"/>
      <c r="T334" s="3008"/>
      <c r="U334" s="3010"/>
      <c r="W334"/>
      <c r="X334"/>
    </row>
    <row r="335" spans="2:24" hidden="1">
      <c r="B335" s="3011">
        <f>重み!B146</f>
        <v>1</v>
      </c>
      <c r="C335" s="3012" t="str">
        <f>重み!C146</f>
        <v>水資源保護</v>
      </c>
      <c r="D335" s="3012"/>
      <c r="E335" s="3012"/>
      <c r="F335" s="3012"/>
      <c r="G335" s="2998"/>
      <c r="H335" s="2998"/>
      <c r="I335" s="2998"/>
      <c r="J335" s="2998"/>
      <c r="K335" s="2998"/>
      <c r="L335" s="2998"/>
      <c r="M335" s="2998"/>
      <c r="N335" s="2998"/>
      <c r="O335" s="2998"/>
      <c r="P335" s="2998"/>
      <c r="Q335" s="2998"/>
      <c r="R335" s="2998"/>
      <c r="S335" s="2998"/>
      <c r="T335" s="2998"/>
      <c r="U335" s="2999"/>
    </row>
    <row r="336" spans="2:24" hidden="1">
      <c r="B336" s="3011">
        <f>重み!B147</f>
        <v>1.1000000000000001</v>
      </c>
      <c r="C336" s="3012" t="str">
        <f>重み!C147</f>
        <v>節水</v>
      </c>
      <c r="D336" s="3012"/>
      <c r="E336" s="3012"/>
      <c r="F336" s="3012"/>
      <c r="G336" s="2998"/>
      <c r="H336" s="2998"/>
      <c r="I336" s="2998"/>
      <c r="J336" s="2998"/>
      <c r="K336" s="2998"/>
      <c r="L336" s="2998"/>
      <c r="M336" s="2998"/>
      <c r="N336" s="2998"/>
      <c r="O336" s="2998"/>
      <c r="P336" s="2998"/>
      <c r="Q336" s="2998"/>
      <c r="R336" s="2998"/>
      <c r="S336" s="2998"/>
      <c r="T336" s="2998"/>
      <c r="U336" s="2999"/>
    </row>
    <row r="337" spans="2:21" hidden="1">
      <c r="B337" s="3011">
        <f>重み!B148</f>
        <v>1.2</v>
      </c>
      <c r="C337" s="3012" t="str">
        <f>重み!C148</f>
        <v>雨水利用・雑排水再利用</v>
      </c>
      <c r="D337" s="3012"/>
      <c r="E337" s="3012"/>
      <c r="F337" s="3012"/>
      <c r="G337" s="2998"/>
      <c r="H337" s="2998"/>
      <c r="I337" s="2998"/>
      <c r="J337" s="2998"/>
      <c r="K337" s="2998"/>
      <c r="L337" s="2998"/>
      <c r="M337" s="2998"/>
      <c r="N337" s="2998"/>
      <c r="O337" s="2998"/>
      <c r="P337" s="2998"/>
      <c r="Q337" s="2998"/>
      <c r="R337" s="2998"/>
      <c r="S337" s="2998"/>
      <c r="T337" s="2998"/>
      <c r="U337" s="2999"/>
    </row>
    <row r="338" spans="2:21" hidden="1">
      <c r="B338" s="3011" t="str">
        <f>重み!B149</f>
        <v>1.2.1</v>
      </c>
      <c r="C338" s="3012" t="str">
        <f>重み!C149</f>
        <v>雨水利用システム導入の有無</v>
      </c>
      <c r="D338" s="3012"/>
      <c r="E338" s="3012"/>
      <c r="F338" s="3012"/>
      <c r="G338" s="2998"/>
      <c r="H338" s="2998"/>
      <c r="I338" s="2998"/>
      <c r="J338" s="2998"/>
      <c r="K338" s="2998"/>
      <c r="L338" s="2998"/>
      <c r="M338" s="2998"/>
      <c r="N338" s="2998"/>
      <c r="O338" s="2998"/>
      <c r="P338" s="2998"/>
      <c r="Q338" s="2998"/>
      <c r="R338" s="2998"/>
      <c r="S338" s="2998"/>
      <c r="T338" s="2998"/>
      <c r="U338" s="2999"/>
    </row>
    <row r="339" spans="2:21">
      <c r="B339" s="3011" t="str">
        <f>重み!B150</f>
        <v>1.2.2</v>
      </c>
      <c r="C339" s="3020" t="str">
        <f>重み!C150</f>
        <v>雑排水等再利用システム導入の有無</v>
      </c>
      <c r="D339" s="3012"/>
      <c r="E339" s="3012"/>
      <c r="F339" s="3012"/>
      <c r="G339" s="3017"/>
      <c r="H339" s="3017"/>
      <c r="I339" s="2998" t="str">
        <f>採点LR2!L33</f>
        <v/>
      </c>
      <c r="J339" s="2998">
        <f>採点LR2!L37</f>
        <v>0</v>
      </c>
      <c r="K339" s="2998" t="str">
        <f>採点LR2!L38</f>
        <v/>
      </c>
      <c r="L339" s="3017"/>
      <c r="M339" s="3017"/>
      <c r="N339" s="3017"/>
      <c r="O339" s="3017"/>
      <c r="P339" s="3017"/>
      <c r="Q339" s="3017"/>
      <c r="R339" s="3017"/>
      <c r="S339" s="3017"/>
      <c r="T339" s="3017"/>
      <c r="U339" s="3018"/>
    </row>
    <row r="340" spans="2:21" hidden="1">
      <c r="B340" s="3011">
        <f>重み!B151</f>
        <v>2</v>
      </c>
      <c r="C340" s="3012" t="str">
        <f>重み!C151</f>
        <v>非再生性資源の使用量削減</v>
      </c>
      <c r="D340" s="3012"/>
      <c r="E340" s="3012"/>
      <c r="F340" s="3012"/>
      <c r="G340" s="2998"/>
      <c r="H340" s="3017"/>
      <c r="I340" s="2995"/>
      <c r="J340" s="2998"/>
      <c r="K340" s="2998"/>
      <c r="L340" s="3017"/>
      <c r="M340" s="3017"/>
      <c r="N340" s="3017"/>
      <c r="O340" s="3017"/>
      <c r="P340" s="3017"/>
      <c r="Q340" s="3017"/>
      <c r="R340" s="3017"/>
      <c r="S340" s="3017"/>
      <c r="T340" s="3017"/>
      <c r="U340" s="3018"/>
    </row>
    <row r="341" spans="2:21">
      <c r="B341" s="3011" t="str">
        <f>重み!B152</f>
        <v>2.1</v>
      </c>
      <c r="C341" s="3012" t="str">
        <f>重み!C152</f>
        <v>材料使用量の削減</v>
      </c>
      <c r="D341" s="3012"/>
      <c r="E341" s="3012"/>
      <c r="F341" s="3012"/>
      <c r="G341" s="2998">
        <f>採点LR2!G57</f>
        <v>2</v>
      </c>
      <c r="H341" s="3017"/>
      <c r="I341" s="2998">
        <f>採点LR2!G54</f>
        <v>0</v>
      </c>
      <c r="J341" s="2998">
        <f>採点LR2!G55</f>
        <v>2</v>
      </c>
      <c r="K341" s="2998">
        <f>採点LR2!G56</f>
        <v>0</v>
      </c>
      <c r="L341" s="3017"/>
      <c r="M341" s="3017"/>
      <c r="N341" s="3017"/>
      <c r="O341" s="3017"/>
      <c r="P341" s="3017"/>
      <c r="Q341" s="3017"/>
      <c r="R341" s="3017"/>
      <c r="S341" s="3017"/>
      <c r="T341" s="3017"/>
      <c r="U341" s="3018"/>
    </row>
    <row r="342" spans="2:21" hidden="1">
      <c r="B342" s="3011" t="str">
        <f>重み!B153</f>
        <v>2.2</v>
      </c>
      <c r="C342" s="3012" t="str">
        <f>重み!C153</f>
        <v>既存建築躯体等の継続使用</v>
      </c>
      <c r="D342" s="3012"/>
      <c r="E342" s="3012"/>
      <c r="F342" s="3012"/>
      <c r="G342" s="2998"/>
      <c r="H342" s="3017"/>
      <c r="I342" s="2995"/>
      <c r="J342" s="2995"/>
      <c r="K342" s="2995"/>
      <c r="L342" s="2995"/>
      <c r="M342" s="3017"/>
      <c r="N342" s="3017"/>
      <c r="O342" s="3017"/>
      <c r="P342" s="3017"/>
      <c r="Q342" s="3017"/>
      <c r="R342" s="3017"/>
      <c r="S342" s="3017"/>
      <c r="T342" s="3017"/>
      <c r="U342" s="3018"/>
    </row>
    <row r="343" spans="2:21">
      <c r="B343" s="3011" t="str">
        <f>重み!B154</f>
        <v>2.3</v>
      </c>
      <c r="C343" s="3020" t="str">
        <f>重み!C154</f>
        <v>躯体材料におけるリサイクル材の使用</v>
      </c>
      <c r="D343" s="3012"/>
      <c r="E343" s="3012"/>
      <c r="F343" s="3012"/>
      <c r="G343" s="3017"/>
      <c r="H343" s="3017"/>
      <c r="I343" s="2998">
        <f>採点LR2!I79</f>
        <v>0</v>
      </c>
      <c r="J343" s="2998">
        <f>採点LR2!I80</f>
        <v>0</v>
      </c>
      <c r="K343" s="2998">
        <f>採点LR2!I81</f>
        <v>0</v>
      </c>
      <c r="L343" s="2998">
        <f>採点LR2!I82</f>
        <v>0</v>
      </c>
      <c r="M343" s="2998">
        <f>採点LR2!I83</f>
        <v>0</v>
      </c>
      <c r="N343" s="3017"/>
      <c r="O343" s="3017"/>
      <c r="P343" s="3017"/>
      <c r="Q343" s="3017"/>
      <c r="R343" s="3017"/>
      <c r="S343" s="3017"/>
      <c r="T343" s="3017"/>
      <c r="U343" s="3018"/>
    </row>
    <row r="344" spans="2:21" hidden="1">
      <c r="B344" s="3011" t="str">
        <f>重み!B155</f>
        <v>2.4</v>
      </c>
      <c r="C344" s="3020" t="str">
        <f>重み!C155</f>
        <v>躯体材料以外におけるリサイクル材の使用</v>
      </c>
      <c r="D344" s="3012"/>
      <c r="E344" s="3012"/>
      <c r="F344" s="3012"/>
      <c r="G344" s="2998"/>
      <c r="H344" s="3017"/>
      <c r="I344" s="2995"/>
      <c r="J344" s="2998"/>
      <c r="K344" s="2998"/>
      <c r="L344" s="2998"/>
      <c r="M344" s="3017"/>
      <c r="N344" s="3017"/>
      <c r="O344" s="3017"/>
      <c r="P344" s="3017"/>
      <c r="Q344" s="3017"/>
      <c r="R344" s="3017"/>
      <c r="S344" s="3017"/>
      <c r="T344" s="3017"/>
      <c r="U344" s="3018"/>
    </row>
    <row r="345" spans="2:21" hidden="1">
      <c r="B345" s="3011" t="str">
        <f>重み!B156</f>
        <v>2.5</v>
      </c>
      <c r="C345" s="3020" t="str">
        <f>重み!C156</f>
        <v>持続可能な森林から産出された木材</v>
      </c>
      <c r="D345" s="3012"/>
      <c r="E345" s="3012"/>
      <c r="F345" s="3012"/>
      <c r="G345" s="2998"/>
      <c r="H345" s="3017"/>
      <c r="I345" s="2995"/>
      <c r="J345" s="2998"/>
      <c r="K345" s="2998"/>
      <c r="L345" s="2998"/>
      <c r="M345" s="3017"/>
      <c r="N345" s="3017"/>
      <c r="O345" s="3017"/>
      <c r="P345" s="3017"/>
      <c r="Q345" s="3017"/>
      <c r="R345" s="3017"/>
      <c r="S345" s="3017"/>
      <c r="T345" s="3017"/>
      <c r="U345" s="3018"/>
    </row>
    <row r="346" spans="2:21">
      <c r="B346" s="3011" t="str">
        <f>重み!B157</f>
        <v>2.6</v>
      </c>
      <c r="C346" s="3020" t="str">
        <f>重み!C157</f>
        <v>部材の再利用可能性向上への取組み</v>
      </c>
      <c r="D346" s="3012"/>
      <c r="E346" s="3012"/>
      <c r="F346" s="3012"/>
      <c r="G346" s="2998">
        <f>採点LR2!G126</f>
        <v>0</v>
      </c>
      <c r="H346" s="3017"/>
      <c r="I346" s="2998">
        <f>採点LR2!G122</f>
        <v>0</v>
      </c>
      <c r="J346" s="2998">
        <f>採点LR2!G123</f>
        <v>0</v>
      </c>
      <c r="K346" s="2998">
        <f>採点LR2!G124</f>
        <v>0</v>
      </c>
      <c r="L346" s="2998">
        <f>採点LR2!G125</f>
        <v>0</v>
      </c>
      <c r="M346" s="3017"/>
      <c r="N346" s="3017"/>
      <c r="O346" s="3017"/>
      <c r="P346" s="3017"/>
      <c r="Q346" s="3017"/>
      <c r="R346" s="3017"/>
      <c r="S346" s="3017"/>
      <c r="T346" s="3017"/>
      <c r="U346" s="3018"/>
    </row>
    <row r="347" spans="2:21" hidden="1">
      <c r="B347" s="3011" t="str">
        <f>重み!B158</f>
        <v>2.6</v>
      </c>
      <c r="C347" s="3020">
        <f>重み!C158</f>
        <v>0</v>
      </c>
      <c r="D347" s="3012"/>
      <c r="E347" s="3012"/>
      <c r="F347" s="3012"/>
      <c r="G347" s="2998"/>
      <c r="H347" s="3017"/>
      <c r="I347" s="2995"/>
      <c r="J347" s="2998"/>
      <c r="K347" s="2998"/>
      <c r="L347" s="2998"/>
      <c r="M347" s="3017"/>
      <c r="N347" s="3017"/>
      <c r="O347" s="3017"/>
      <c r="P347" s="3017"/>
      <c r="Q347" s="3017"/>
      <c r="R347" s="3017"/>
      <c r="S347" s="3017"/>
      <c r="T347" s="3017"/>
      <c r="U347" s="3018"/>
    </row>
    <row r="348" spans="2:21" hidden="1">
      <c r="B348" s="3011" t="str">
        <f>重み!B159</f>
        <v>2.6.1</v>
      </c>
      <c r="C348" s="3020">
        <f>重み!C159</f>
        <v>0</v>
      </c>
      <c r="D348" s="3012"/>
      <c r="E348" s="3012"/>
      <c r="F348" s="3012"/>
      <c r="G348" s="2998"/>
      <c r="H348" s="3017"/>
      <c r="I348" s="2998"/>
      <c r="J348" s="2998"/>
      <c r="K348" s="2998"/>
      <c r="L348" s="2998"/>
      <c r="M348" s="3017"/>
      <c r="N348" s="3017"/>
      <c r="O348" s="3017"/>
      <c r="P348" s="3017"/>
      <c r="Q348" s="3017"/>
      <c r="R348" s="3017"/>
      <c r="S348" s="3017"/>
      <c r="T348" s="3017"/>
      <c r="U348" s="3018"/>
    </row>
    <row r="349" spans="2:21" hidden="1">
      <c r="B349" s="3011" t="str">
        <f>重み!B160</f>
        <v>2.6.2</v>
      </c>
      <c r="C349" s="3020">
        <f>重み!C160</f>
        <v>0</v>
      </c>
      <c r="D349" s="3012"/>
      <c r="E349" s="3012"/>
      <c r="F349" s="3012"/>
      <c r="G349" s="2998"/>
      <c r="H349" s="3017"/>
      <c r="I349" s="2998"/>
      <c r="J349" s="2998"/>
      <c r="K349" s="2998"/>
      <c r="L349" s="2998"/>
      <c r="M349" s="3017"/>
      <c r="N349" s="3017"/>
      <c r="O349" s="3017"/>
      <c r="P349" s="3017"/>
      <c r="Q349" s="3017"/>
      <c r="R349" s="3017"/>
      <c r="S349" s="3017"/>
      <c r="T349" s="3017"/>
      <c r="U349" s="3018"/>
    </row>
    <row r="350" spans="2:21" hidden="1">
      <c r="B350" s="3011" t="str">
        <f>重み!B161</f>
        <v>2.6.3</v>
      </c>
      <c r="C350" s="3020">
        <f>重み!C161</f>
        <v>0</v>
      </c>
      <c r="D350" s="3012"/>
      <c r="E350" s="3012"/>
      <c r="F350" s="3012"/>
      <c r="G350" s="2998"/>
      <c r="H350" s="3017"/>
      <c r="I350" s="2995"/>
      <c r="J350" s="2998"/>
      <c r="K350" s="2998"/>
      <c r="L350" s="2998"/>
      <c r="M350" s="3017"/>
      <c r="N350" s="3017"/>
      <c r="O350" s="3017"/>
      <c r="P350" s="3017"/>
      <c r="Q350" s="3017"/>
      <c r="R350" s="3017"/>
      <c r="S350" s="3017"/>
      <c r="T350" s="3017"/>
      <c r="U350" s="3018"/>
    </row>
    <row r="351" spans="2:21" hidden="1">
      <c r="B351" s="3011" t="str">
        <f>重み!B162</f>
        <v>2.6.4</v>
      </c>
      <c r="C351" s="3020">
        <f>重み!C162</f>
        <v>0</v>
      </c>
      <c r="D351" s="3012"/>
      <c r="E351" s="3012"/>
      <c r="F351" s="3012"/>
      <c r="G351" s="2998"/>
      <c r="H351" s="3017"/>
      <c r="I351" s="2998"/>
      <c r="J351" s="2998"/>
      <c r="K351" s="2998"/>
      <c r="L351" s="2998"/>
      <c r="M351" s="3017"/>
      <c r="N351" s="3017"/>
      <c r="O351" s="3017"/>
      <c r="P351" s="3017"/>
      <c r="Q351" s="3017"/>
      <c r="R351" s="3017"/>
      <c r="S351" s="3017"/>
      <c r="T351" s="3017"/>
      <c r="U351" s="3018"/>
    </row>
    <row r="352" spans="2:21" hidden="1">
      <c r="B352" s="3011" t="str">
        <f>重み!B163</f>
        <v>2.6.5</v>
      </c>
      <c r="C352" s="3020">
        <f>重み!C163</f>
        <v>0</v>
      </c>
      <c r="D352" s="3012"/>
      <c r="E352" s="3012"/>
      <c r="F352" s="3012"/>
      <c r="G352" s="2998"/>
      <c r="H352" s="3017"/>
      <c r="I352" s="2998"/>
      <c r="J352" s="2998"/>
      <c r="K352" s="2998"/>
      <c r="L352" s="2998"/>
      <c r="M352" s="3017"/>
      <c r="N352" s="3017"/>
      <c r="O352" s="3017"/>
      <c r="P352" s="3017"/>
      <c r="Q352" s="3017"/>
      <c r="R352" s="3017"/>
      <c r="S352" s="3017"/>
      <c r="T352" s="3017"/>
      <c r="U352" s="3018"/>
    </row>
    <row r="353" spans="2:21" hidden="1">
      <c r="B353" s="3011" t="str">
        <f>重み!B164</f>
        <v>2.6.6</v>
      </c>
      <c r="C353" s="3020">
        <f>重み!C164</f>
        <v>0</v>
      </c>
      <c r="D353" s="3012"/>
      <c r="E353" s="3012"/>
      <c r="F353" s="3012"/>
      <c r="G353" s="2998"/>
      <c r="H353" s="3017"/>
      <c r="I353" s="2998"/>
      <c r="J353" s="2998"/>
      <c r="K353" s="2998"/>
      <c r="L353" s="2998"/>
      <c r="M353" s="3017"/>
      <c r="N353" s="3017"/>
      <c r="O353" s="3017"/>
      <c r="P353" s="3017"/>
      <c r="Q353" s="3017"/>
      <c r="R353" s="3017"/>
      <c r="S353" s="3017"/>
      <c r="T353" s="3017"/>
      <c r="U353" s="3018"/>
    </row>
    <row r="354" spans="2:21" hidden="1">
      <c r="B354" s="3011">
        <f>重み!B165</f>
        <v>2.7</v>
      </c>
      <c r="C354" s="3020">
        <f>重み!C165</f>
        <v>0</v>
      </c>
      <c r="D354" s="3012"/>
      <c r="E354" s="3012"/>
      <c r="F354" s="3012"/>
      <c r="G354" s="2998"/>
      <c r="H354" s="3017"/>
      <c r="I354" s="2998"/>
      <c r="J354" s="2998"/>
      <c r="K354" s="2998"/>
      <c r="L354" s="2998"/>
      <c r="M354" s="3017"/>
      <c r="N354" s="3017"/>
      <c r="O354" s="3017"/>
      <c r="P354" s="3017"/>
      <c r="Q354" s="3017"/>
      <c r="R354" s="3017"/>
      <c r="S354" s="3017"/>
      <c r="T354" s="3017"/>
      <c r="U354" s="3018"/>
    </row>
    <row r="355" spans="2:21" hidden="1">
      <c r="B355" s="3011">
        <f>重み!B166</f>
        <v>3</v>
      </c>
      <c r="C355" s="3020" t="str">
        <f>重み!C166</f>
        <v>汚染物質含有材料の使用回避</v>
      </c>
      <c r="D355" s="3012"/>
      <c r="E355" s="3012"/>
      <c r="F355" s="3012"/>
      <c r="G355" s="2998"/>
      <c r="H355" s="3017"/>
      <c r="I355" s="2998"/>
      <c r="J355" s="2998"/>
      <c r="K355" s="2998"/>
      <c r="L355" s="2998"/>
      <c r="M355" s="3017"/>
      <c r="N355" s="3017"/>
      <c r="O355" s="3017"/>
      <c r="P355" s="3017"/>
      <c r="Q355" s="3017"/>
      <c r="R355" s="3017"/>
      <c r="S355" s="3017"/>
      <c r="T355" s="3017"/>
      <c r="U355" s="3018"/>
    </row>
    <row r="356" spans="2:21">
      <c r="B356" s="3011" t="str">
        <f>重み!B167</f>
        <v>3.1</v>
      </c>
      <c r="C356" s="3020" t="str">
        <f>重み!C167</f>
        <v>有害物質を含まない材料の使用</v>
      </c>
      <c r="D356" s="3012"/>
      <c r="E356" s="3012"/>
      <c r="F356" s="3012"/>
      <c r="G356" s="2998">
        <f>採点LR2!L207</f>
        <v>0</v>
      </c>
      <c r="H356" s="3017"/>
      <c r="I356" s="3017"/>
      <c r="J356" s="3017"/>
      <c r="K356" s="3017"/>
      <c r="L356" s="3017"/>
      <c r="M356" s="3017"/>
      <c r="N356" s="3017"/>
      <c r="O356" s="3017"/>
      <c r="P356" s="3017"/>
      <c r="Q356" s="3017"/>
      <c r="R356" s="3017"/>
      <c r="S356" s="3017"/>
      <c r="T356" s="3017"/>
      <c r="U356" s="3018"/>
    </row>
    <row r="357" spans="2:21" hidden="1">
      <c r="B357" s="3011" t="str">
        <f>重み!B168</f>
        <v>3.2</v>
      </c>
      <c r="C357" s="3012" t="str">
        <f>重み!C168</f>
        <v>フロン・ハロンの回避</v>
      </c>
      <c r="D357" s="3012"/>
      <c r="E357" s="3012"/>
      <c r="F357" s="3012"/>
      <c r="G357" s="2998"/>
      <c r="H357" s="2998"/>
      <c r="I357" s="2998"/>
      <c r="J357" s="2998"/>
      <c r="K357" s="2998"/>
      <c r="L357" s="2998"/>
      <c r="M357" s="2998"/>
      <c r="N357" s="2998"/>
      <c r="O357" s="2998"/>
      <c r="P357" s="2998"/>
      <c r="Q357" s="2998"/>
      <c r="R357" s="2998"/>
      <c r="S357" s="2998"/>
      <c r="T357" s="2998"/>
      <c r="U357" s="2999"/>
    </row>
    <row r="358" spans="2:21" hidden="1">
      <c r="B358" s="3011" t="str">
        <f>重み!B169</f>
        <v>3.2.1</v>
      </c>
      <c r="C358" s="3012" t="str">
        <f>重み!C169</f>
        <v>消火剤</v>
      </c>
      <c r="D358" s="3012"/>
      <c r="E358" s="3012"/>
      <c r="F358" s="3012"/>
      <c r="G358" s="2998"/>
      <c r="H358" s="2998"/>
      <c r="I358" s="2998"/>
      <c r="J358" s="2998"/>
      <c r="K358" s="2998"/>
      <c r="L358" s="2998"/>
      <c r="M358" s="2998"/>
      <c r="N358" s="2998"/>
      <c r="O358" s="2998"/>
      <c r="P358" s="2998"/>
      <c r="Q358" s="2998"/>
      <c r="R358" s="2998"/>
      <c r="S358" s="2998"/>
      <c r="T358" s="2998"/>
      <c r="U358" s="2999"/>
    </row>
    <row r="359" spans="2:21" hidden="1">
      <c r="B359" s="3011" t="str">
        <f>重み!B170</f>
        <v>3.2.2</v>
      </c>
      <c r="C359" s="3012" t="str">
        <f>重み!C170</f>
        <v>発泡剤（断熱材等）</v>
      </c>
      <c r="D359" s="3012"/>
      <c r="E359" s="3012"/>
      <c r="F359" s="3012"/>
      <c r="G359" s="2998"/>
      <c r="H359" s="2998"/>
      <c r="I359" s="2998"/>
      <c r="J359" s="2998"/>
      <c r="K359" s="2998"/>
      <c r="L359" s="2998"/>
      <c r="M359" s="2998"/>
      <c r="N359" s="2998"/>
      <c r="O359" s="2998"/>
      <c r="P359" s="2998"/>
      <c r="Q359" s="2998"/>
      <c r="R359" s="2998"/>
      <c r="S359" s="2998"/>
      <c r="T359" s="2998"/>
      <c r="U359" s="2999"/>
    </row>
    <row r="360" spans="2:21" hidden="1">
      <c r="B360" s="3011" t="str">
        <f>重み!B171</f>
        <v>3.2.3</v>
      </c>
      <c r="C360" s="3012" t="str">
        <f>重み!C171</f>
        <v>冷媒</v>
      </c>
      <c r="D360" s="3012"/>
      <c r="E360" s="3012"/>
      <c r="F360" s="3012"/>
      <c r="G360" s="2998"/>
      <c r="H360" s="2998"/>
      <c r="I360" s="2998"/>
      <c r="J360" s="2998"/>
      <c r="K360" s="2998"/>
      <c r="L360" s="2998"/>
      <c r="M360" s="2998"/>
      <c r="N360" s="2998"/>
      <c r="O360" s="2998"/>
      <c r="P360" s="2998"/>
      <c r="Q360" s="2998"/>
      <c r="R360" s="2998"/>
      <c r="S360" s="2998"/>
      <c r="T360" s="2998"/>
      <c r="U360" s="2999"/>
    </row>
    <row r="361" spans="2:21" ht="15">
      <c r="B361" s="3003" t="str">
        <f>重み!B172</f>
        <v>LR3</v>
      </c>
      <c r="C361" s="3004" t="str">
        <f>重み!C172</f>
        <v>敷地外環境</v>
      </c>
      <c r="D361" s="3004"/>
      <c r="E361" s="3004"/>
      <c r="F361" s="3004"/>
      <c r="G361" s="3004"/>
      <c r="H361" s="3005"/>
      <c r="I361" s="3006"/>
      <c r="J361" s="3006"/>
      <c r="K361" s="3006"/>
      <c r="L361" s="3006"/>
      <c r="M361" s="3006"/>
      <c r="N361" s="3006"/>
      <c r="O361" s="3006"/>
      <c r="P361" s="3007"/>
      <c r="Q361" s="3007"/>
      <c r="R361" s="3008"/>
      <c r="S361" s="3009"/>
      <c r="T361" s="3008"/>
      <c r="U361" s="3010"/>
    </row>
    <row r="362" spans="2:21" hidden="1">
      <c r="B362" s="3011">
        <f>重み!B173</f>
        <v>1</v>
      </c>
      <c r="C362" s="3012" t="str">
        <f>重み!C173</f>
        <v>地球温暖化への配慮</v>
      </c>
      <c r="D362" s="3012"/>
      <c r="E362" s="3012"/>
      <c r="F362" s="3012"/>
      <c r="G362" s="2998"/>
      <c r="H362" s="2998"/>
      <c r="I362" s="2998"/>
      <c r="J362" s="2998"/>
      <c r="K362" s="2998"/>
      <c r="L362" s="2998"/>
      <c r="M362" s="2998"/>
      <c r="N362" s="2998"/>
      <c r="O362" s="2998"/>
      <c r="P362" s="2998"/>
      <c r="Q362" s="2998"/>
      <c r="R362" s="2998"/>
      <c r="S362" s="2998"/>
      <c r="T362" s="2998"/>
      <c r="U362" s="2999"/>
    </row>
    <row r="363" spans="2:21" hidden="1">
      <c r="B363" s="3011">
        <f>重み!B174</f>
        <v>2</v>
      </c>
      <c r="C363" s="3012" t="str">
        <f>重み!C174</f>
        <v>地域環境への配慮</v>
      </c>
      <c r="D363" s="3012"/>
      <c r="E363" s="3012"/>
      <c r="F363" s="3012"/>
      <c r="G363" s="2998"/>
      <c r="H363" s="2998"/>
      <c r="I363" s="2998"/>
      <c r="J363" s="2998"/>
      <c r="K363" s="2998"/>
      <c r="L363" s="2998"/>
      <c r="M363" s="2998"/>
      <c r="N363" s="2998"/>
      <c r="O363" s="2998"/>
      <c r="P363" s="2998"/>
      <c r="Q363" s="2998"/>
      <c r="R363" s="2998"/>
      <c r="S363" s="2998"/>
      <c r="T363" s="2998"/>
      <c r="U363" s="2999"/>
    </row>
    <row r="364" spans="2:21" hidden="1">
      <c r="B364" s="3011" t="str">
        <f>重み!B175</f>
        <v>2.1</v>
      </c>
      <c r="C364" s="3012" t="str">
        <f>重み!C175</f>
        <v>大気汚染防止</v>
      </c>
      <c r="D364" s="3012"/>
      <c r="E364" s="3012"/>
      <c r="F364" s="3012"/>
      <c r="G364" s="2998"/>
      <c r="H364" s="2998"/>
      <c r="I364" s="2998"/>
      <c r="J364" s="2998"/>
      <c r="K364" s="2998"/>
      <c r="L364" s="2998"/>
      <c r="M364" s="2998"/>
      <c r="N364" s="2998"/>
      <c r="O364" s="2998"/>
      <c r="P364" s="2998"/>
      <c r="Q364" s="2998"/>
      <c r="R364" s="2998"/>
      <c r="S364" s="2998"/>
      <c r="T364" s="2998"/>
      <c r="U364" s="2999"/>
    </row>
    <row r="365" spans="2:21">
      <c r="B365" s="3011" t="str">
        <f>重み!B176</f>
        <v>2.2</v>
      </c>
      <c r="C365" s="3012" t="str">
        <f>重み!C176</f>
        <v>温熱環境悪化の改善</v>
      </c>
      <c r="D365" s="3012"/>
      <c r="E365" s="3012"/>
      <c r="F365" s="3012"/>
      <c r="G365" s="2998">
        <f>採点LR3!G78</f>
        <v>9</v>
      </c>
      <c r="H365" s="3017"/>
      <c r="I365" s="2998">
        <f>採点LR3!G58</f>
        <v>1</v>
      </c>
      <c r="J365" s="2998">
        <f>採点LR3!G60</f>
        <v>0</v>
      </c>
      <c r="K365" s="2998">
        <f>採点LR3!G62</f>
        <v>2</v>
      </c>
      <c r="L365" s="2998">
        <f>採点LR3!G64</f>
        <v>2</v>
      </c>
      <c r="M365" s="2998">
        <f>採点LR3!G66</f>
        <v>1</v>
      </c>
      <c r="N365" s="2998">
        <f>採点LR3!G68</f>
        <v>0</v>
      </c>
      <c r="O365" s="2998">
        <f>採点LR3!G70</f>
        <v>0</v>
      </c>
      <c r="P365" s="2998">
        <f>採点LR3!G72</f>
        <v>1</v>
      </c>
      <c r="Q365" s="2998">
        <f>採点LR3!G74</f>
        <v>1</v>
      </c>
      <c r="R365" s="2998">
        <f>採点LR3!G76</f>
        <v>1</v>
      </c>
      <c r="S365" s="3017"/>
      <c r="T365" s="3017"/>
      <c r="U365" s="3018"/>
    </row>
    <row r="366" spans="2:21" hidden="1">
      <c r="B366" s="3011" t="str">
        <f>重み!B177</f>
        <v>2.3</v>
      </c>
      <c r="C366" s="3012" t="str">
        <f>重み!C177</f>
        <v>地域インフラへの負荷抑制</v>
      </c>
      <c r="D366" s="3012"/>
      <c r="E366" s="3012"/>
      <c r="F366" s="3012"/>
      <c r="G366" s="2998"/>
      <c r="H366" s="3017"/>
      <c r="I366" s="2995"/>
      <c r="J366" s="2998"/>
      <c r="K366" s="2998"/>
      <c r="L366" s="2998"/>
      <c r="M366" s="2998"/>
      <c r="N366" s="2998"/>
      <c r="O366" s="2998"/>
      <c r="P366" s="2998"/>
      <c r="Q366" s="2998"/>
      <c r="R366" s="2998"/>
      <c r="S366" s="2998"/>
      <c r="T366" s="2998"/>
      <c r="U366" s="2999"/>
    </row>
    <row r="367" spans="2:21" hidden="1">
      <c r="B367" s="3011" t="str">
        <f>重み!B178</f>
        <v>2.3.1</v>
      </c>
      <c r="C367" s="3012" t="str">
        <f>重み!C178</f>
        <v>雨水排水負荷低減</v>
      </c>
      <c r="D367" s="3012"/>
      <c r="E367" s="3012"/>
      <c r="F367" s="3012"/>
      <c r="G367" s="2998"/>
      <c r="H367" s="3017"/>
      <c r="I367" s="2998"/>
      <c r="J367" s="2998"/>
      <c r="K367" s="2998"/>
      <c r="L367" s="2998"/>
      <c r="M367" s="2998"/>
      <c r="N367" s="2998"/>
      <c r="O367" s="2998"/>
      <c r="P367" s="2998"/>
      <c r="Q367" s="2998"/>
      <c r="R367" s="2998"/>
      <c r="S367" s="2998"/>
      <c r="T367" s="2998"/>
      <c r="U367" s="2999"/>
    </row>
    <row r="368" spans="2:21" hidden="1">
      <c r="B368" s="3011" t="str">
        <f>重み!B179</f>
        <v>2.3.2</v>
      </c>
      <c r="C368" s="3012" t="str">
        <f>重み!C179</f>
        <v>汚水処理負荷抑制</v>
      </c>
      <c r="D368" s="3012"/>
      <c r="E368" s="3012"/>
      <c r="F368" s="3012"/>
      <c r="G368" s="2998"/>
      <c r="H368" s="3017"/>
      <c r="I368" s="2995"/>
      <c r="J368" s="2998"/>
      <c r="K368" s="2998"/>
      <c r="L368" s="2998"/>
      <c r="M368" s="2998"/>
      <c r="N368" s="2998"/>
      <c r="O368" s="2998"/>
      <c r="P368" s="2998"/>
      <c r="Q368" s="2998"/>
      <c r="R368" s="2998"/>
      <c r="S368" s="2998"/>
      <c r="T368" s="2998"/>
      <c r="U368" s="2999"/>
    </row>
    <row r="369" spans="2:21">
      <c r="B369" s="3011" t="str">
        <f>重み!B180</f>
        <v>2.3.3</v>
      </c>
      <c r="C369" s="3012" t="str">
        <f>重み!C180</f>
        <v>交通負荷抑制</v>
      </c>
      <c r="D369" s="3012"/>
      <c r="E369" s="3012"/>
      <c r="F369" s="3012"/>
      <c r="G369" s="2998">
        <f>採点LR3!G118</f>
        <v>3</v>
      </c>
      <c r="H369" s="3017"/>
      <c r="I369" s="2998">
        <f>採点LR3!G112</f>
        <v>1</v>
      </c>
      <c r="J369" s="2998">
        <f>採点LR3!G113</f>
        <v>1</v>
      </c>
      <c r="K369" s="2998">
        <f>採点LR3!G114</f>
        <v>0</v>
      </c>
      <c r="L369" s="2998">
        <f>採点LR3!G115</f>
        <v>1</v>
      </c>
      <c r="M369" s="2998">
        <f>採点LR3!G116</f>
        <v>0</v>
      </c>
      <c r="N369" s="2998">
        <f>採点LR3!G117</f>
        <v>0</v>
      </c>
      <c r="O369" s="3015"/>
      <c r="P369" s="3017"/>
      <c r="Q369" s="3017"/>
      <c r="R369" s="3017"/>
      <c r="S369" s="3017"/>
      <c r="T369" s="3017"/>
      <c r="U369" s="3018"/>
    </row>
    <row r="370" spans="2:21">
      <c r="B370" s="3011" t="str">
        <f>重み!B181</f>
        <v>2.3.4</v>
      </c>
      <c r="C370" s="3012" t="str">
        <f>重み!C181</f>
        <v>廃棄物処理負荷抑制</v>
      </c>
      <c r="D370" s="3012"/>
      <c r="E370" s="3012"/>
      <c r="F370" s="3012"/>
      <c r="G370" s="2998">
        <f>採点LR3!G138</f>
        <v>3</v>
      </c>
      <c r="H370" s="3017"/>
      <c r="I370" s="2998">
        <f>採点LR3!G131</f>
        <v>1</v>
      </c>
      <c r="J370" s="2998">
        <f>採点LR3!G132</f>
        <v>1</v>
      </c>
      <c r="K370" s="2998">
        <f>採点LR3!G133</f>
        <v>0</v>
      </c>
      <c r="L370" s="2998">
        <f>採点LR3!G134</f>
        <v>0</v>
      </c>
      <c r="M370" s="2995"/>
      <c r="N370" s="2998">
        <f>採点LR3!G136</f>
        <v>1</v>
      </c>
      <c r="O370" s="2998">
        <f>採点LR3!G137</f>
        <v>0</v>
      </c>
      <c r="P370" s="3017"/>
      <c r="Q370" s="3017"/>
      <c r="R370" s="3017"/>
      <c r="S370" s="3017"/>
      <c r="T370" s="3017"/>
      <c r="U370" s="3018"/>
    </row>
    <row r="371" spans="2:21" hidden="1">
      <c r="B371" s="3011">
        <f>重み!B182</f>
        <v>0</v>
      </c>
      <c r="C371" s="3012">
        <f>重み!C182</f>
        <v>0</v>
      </c>
      <c r="D371" s="3012"/>
      <c r="E371" s="3012"/>
      <c r="F371" s="3012"/>
      <c r="G371" s="2998"/>
      <c r="H371" s="3017"/>
      <c r="I371" s="2995"/>
      <c r="J371" s="2998"/>
      <c r="K371" s="2998"/>
      <c r="L371" s="2998"/>
      <c r="M371" s="2998"/>
      <c r="N371" s="2998"/>
      <c r="O371" s="2998"/>
      <c r="P371" s="3017"/>
      <c r="Q371" s="3017"/>
      <c r="R371" s="3017"/>
      <c r="S371" s="3017"/>
      <c r="T371" s="3017"/>
      <c r="U371" s="3018"/>
    </row>
    <row r="372" spans="2:21" hidden="1">
      <c r="B372" s="3011">
        <f>重み!B183</f>
        <v>3</v>
      </c>
      <c r="C372" s="3012" t="str">
        <f>重み!C183</f>
        <v>周辺環境への配慮</v>
      </c>
      <c r="D372" s="3012"/>
      <c r="E372" s="3012"/>
      <c r="F372" s="3012"/>
      <c r="G372" s="2998"/>
      <c r="H372" s="3017"/>
      <c r="I372" s="2995"/>
      <c r="J372" s="2998"/>
      <c r="K372" s="2998"/>
      <c r="L372" s="2998"/>
      <c r="M372" s="2998"/>
      <c r="N372" s="2998"/>
      <c r="O372" s="2998"/>
      <c r="P372" s="3017"/>
      <c r="Q372" s="3017"/>
      <c r="R372" s="3017"/>
      <c r="S372" s="3017"/>
      <c r="T372" s="3017"/>
      <c r="U372" s="3018"/>
    </row>
    <row r="373" spans="2:21" hidden="1">
      <c r="B373" s="3011" t="str">
        <f>重み!B184</f>
        <v>3.1</v>
      </c>
      <c r="C373" s="3012" t="str">
        <f>重み!C184</f>
        <v>騒音・振動・悪臭の防止</v>
      </c>
      <c r="D373" s="3012"/>
      <c r="E373" s="3012"/>
      <c r="F373" s="3012"/>
      <c r="G373" s="2998"/>
      <c r="H373" s="3017"/>
      <c r="I373" s="2995"/>
      <c r="J373" s="2998"/>
      <c r="K373" s="2998"/>
      <c r="L373" s="2998"/>
      <c r="M373" s="2998"/>
      <c r="N373" s="2998"/>
      <c r="O373" s="2998"/>
      <c r="P373" s="3017"/>
      <c r="Q373" s="3017"/>
      <c r="R373" s="3017"/>
      <c r="S373" s="3017"/>
      <c r="T373" s="3017"/>
      <c r="U373" s="3018"/>
    </row>
    <row r="374" spans="2:21" hidden="1">
      <c r="B374" s="3011" t="str">
        <f>重み!B185</f>
        <v>3.1.1</v>
      </c>
      <c r="C374" s="3012" t="str">
        <f>重み!C185</f>
        <v>騒音</v>
      </c>
      <c r="D374" s="3012"/>
      <c r="E374" s="3012"/>
      <c r="F374" s="3012"/>
      <c r="G374" s="2998"/>
      <c r="H374" s="3017"/>
      <c r="I374" s="2998"/>
      <c r="J374" s="2998"/>
      <c r="K374" s="2998"/>
      <c r="L374" s="2998"/>
      <c r="M374" s="2998"/>
      <c r="N374" s="2998"/>
      <c r="O374" s="2998"/>
      <c r="P374" s="3017"/>
      <c r="Q374" s="3017"/>
      <c r="R374" s="3017"/>
      <c r="S374" s="3017"/>
      <c r="T374" s="3017"/>
      <c r="U374" s="3018"/>
    </row>
    <row r="375" spans="2:21" hidden="1">
      <c r="B375" s="3011" t="str">
        <f>重み!B186</f>
        <v>3.1.2</v>
      </c>
      <c r="C375" s="3012" t="str">
        <f>重み!C186</f>
        <v>振動</v>
      </c>
      <c r="D375" s="3012"/>
      <c r="E375" s="3012"/>
      <c r="F375" s="3012"/>
      <c r="G375" s="2998"/>
      <c r="H375" s="3017"/>
      <c r="I375" s="2995"/>
      <c r="J375" s="2998"/>
      <c r="K375" s="2998"/>
      <c r="L375" s="2998"/>
      <c r="M375" s="2998"/>
      <c r="N375" s="2998"/>
      <c r="O375" s="2998"/>
      <c r="P375" s="3017"/>
      <c r="Q375" s="3017"/>
      <c r="R375" s="3017"/>
      <c r="S375" s="3017"/>
      <c r="T375" s="3017"/>
      <c r="U375" s="3018"/>
    </row>
    <row r="376" spans="2:21" hidden="1">
      <c r="B376" s="3011" t="str">
        <f>重み!B187</f>
        <v>3.1.3</v>
      </c>
      <c r="C376" s="3012" t="str">
        <f>重み!C187</f>
        <v>悪臭</v>
      </c>
      <c r="D376" s="3012"/>
      <c r="E376" s="3012"/>
      <c r="F376" s="3012"/>
      <c r="G376" s="2998"/>
      <c r="H376" s="3017"/>
      <c r="I376" s="2995"/>
      <c r="J376" s="2998"/>
      <c r="K376" s="2998"/>
      <c r="L376" s="2998"/>
      <c r="M376" s="2998"/>
      <c r="N376" s="2998"/>
      <c r="O376" s="2998"/>
      <c r="P376" s="3017"/>
      <c r="Q376" s="3017"/>
      <c r="R376" s="3017"/>
      <c r="S376" s="3017"/>
      <c r="T376" s="3017"/>
      <c r="U376" s="3018"/>
    </row>
    <row r="377" spans="2:21" hidden="1">
      <c r="B377" s="3011" t="str">
        <f>重み!B188</f>
        <v>3.2</v>
      </c>
      <c r="C377" s="3012" t="str">
        <f>重み!C188</f>
        <v>風害・砂塵、日照阻害の抑制</v>
      </c>
      <c r="D377" s="3012"/>
      <c r="E377" s="3012"/>
      <c r="F377" s="3012"/>
      <c r="G377" s="2998"/>
      <c r="H377" s="3017"/>
      <c r="I377" s="2995"/>
      <c r="J377" s="2998"/>
      <c r="K377" s="2998"/>
      <c r="L377" s="2998"/>
      <c r="M377" s="2998"/>
      <c r="N377" s="2998"/>
      <c r="O377" s="2998"/>
      <c r="P377" s="3017"/>
      <c r="Q377" s="3017"/>
      <c r="R377" s="3017"/>
      <c r="S377" s="3017"/>
      <c r="T377" s="3017"/>
      <c r="U377" s="3018"/>
    </row>
    <row r="378" spans="2:21" hidden="1">
      <c r="B378" s="3011" t="str">
        <f>重み!B189</f>
        <v>3.2.1</v>
      </c>
      <c r="C378" s="3012" t="str">
        <f>重み!C189</f>
        <v>風害の抑制</v>
      </c>
      <c r="D378" s="3012"/>
      <c r="E378" s="3012"/>
      <c r="F378" s="3012"/>
      <c r="G378" s="2998"/>
      <c r="H378" s="3017"/>
      <c r="I378" s="2998"/>
      <c r="J378" s="2998"/>
      <c r="K378" s="2998"/>
      <c r="L378" s="2998"/>
      <c r="M378" s="2998"/>
      <c r="N378" s="2998"/>
      <c r="O378" s="2998"/>
      <c r="P378" s="3017"/>
      <c r="Q378" s="3017"/>
      <c r="R378" s="3017"/>
      <c r="S378" s="3017"/>
      <c r="T378" s="3017"/>
      <c r="U378" s="3018"/>
    </row>
    <row r="379" spans="2:21">
      <c r="B379" s="3011" t="str">
        <f>重み!B190</f>
        <v>3.2.2</v>
      </c>
      <c r="C379" s="3012" t="str">
        <f>重み!C190</f>
        <v>砂塵の抑制</v>
      </c>
      <c r="D379" s="3012"/>
      <c r="E379" s="3012"/>
      <c r="F379" s="3012"/>
      <c r="G379" s="2998">
        <f>採点LR3!G228</f>
        <v>2</v>
      </c>
      <c r="H379" s="3017"/>
      <c r="I379" s="2998">
        <f>採点LR3!G223</f>
        <v>2</v>
      </c>
      <c r="J379" s="2998">
        <f>採点LR3!G225</f>
        <v>0</v>
      </c>
      <c r="K379" s="3017"/>
      <c r="L379" s="3017"/>
      <c r="M379" s="3017"/>
      <c r="N379" s="3017"/>
      <c r="O379" s="3017"/>
      <c r="P379" s="3017"/>
      <c r="Q379" s="3017"/>
      <c r="R379" s="3017"/>
      <c r="S379" s="3017"/>
      <c r="T379" s="3017"/>
      <c r="U379" s="3018"/>
    </row>
    <row r="380" spans="2:21" hidden="1">
      <c r="B380" s="3011" t="str">
        <f>重み!B191</f>
        <v>3.2.3</v>
      </c>
      <c r="C380" s="3012" t="str">
        <f>重み!C191</f>
        <v>日照阻害の抑制</v>
      </c>
      <c r="D380" s="3012"/>
      <c r="E380" s="3012"/>
      <c r="F380" s="3012"/>
      <c r="G380" s="2998"/>
      <c r="H380" s="3017"/>
      <c r="I380" s="2998"/>
      <c r="J380" s="2998"/>
      <c r="K380" s="3017"/>
      <c r="L380" s="3017"/>
      <c r="M380" s="3017"/>
      <c r="N380" s="3017"/>
      <c r="O380" s="3017"/>
      <c r="P380" s="3017"/>
      <c r="Q380" s="3017"/>
      <c r="R380" s="3017"/>
      <c r="S380" s="3017"/>
      <c r="T380" s="3017"/>
      <c r="U380" s="3018"/>
    </row>
    <row r="381" spans="2:21" hidden="1">
      <c r="B381" s="3011" t="str">
        <f>重み!B192</f>
        <v>3.3</v>
      </c>
      <c r="C381" s="3012" t="str">
        <f>重み!C192</f>
        <v>光害の抑制</v>
      </c>
      <c r="D381" s="3012"/>
      <c r="E381" s="3012"/>
      <c r="F381" s="3012"/>
      <c r="G381" s="2998"/>
      <c r="H381" s="3017"/>
      <c r="I381" s="2995"/>
      <c r="J381" s="2998"/>
      <c r="K381" s="3017"/>
      <c r="L381" s="3017"/>
      <c r="M381" s="3017"/>
      <c r="N381" s="3017"/>
      <c r="O381" s="3017"/>
      <c r="P381" s="3017"/>
      <c r="Q381" s="3017"/>
      <c r="R381" s="3017"/>
      <c r="S381" s="3017"/>
      <c r="T381" s="3017"/>
      <c r="U381" s="3018"/>
    </row>
    <row r="382" spans="2:21" ht="15" thickBot="1">
      <c r="B382" s="3021" t="str">
        <f>重み!B193</f>
        <v>3.3.1</v>
      </c>
      <c r="C382" s="3022" t="str">
        <f>重み!C193</f>
        <v>屋外照明及び屋内照明のうち外に漏れる光への対策</v>
      </c>
      <c r="D382" s="3023"/>
      <c r="E382" s="3023"/>
      <c r="F382" s="3023"/>
      <c r="G382" s="3024">
        <f>採点LR3!G259</f>
        <v>2</v>
      </c>
      <c r="H382" s="3025"/>
      <c r="I382" s="3024">
        <f>採点LR3!G253</f>
        <v>0</v>
      </c>
      <c r="J382" s="3024">
        <f>採点LR3!G256</f>
        <v>2</v>
      </c>
      <c r="K382" s="3025"/>
      <c r="L382" s="3025"/>
      <c r="M382" s="3025"/>
      <c r="N382" s="3025"/>
      <c r="O382" s="3025"/>
      <c r="P382" s="3025"/>
      <c r="Q382" s="3025"/>
      <c r="R382" s="3025"/>
      <c r="S382" s="3025"/>
      <c r="T382" s="3025"/>
      <c r="U382" s="3026"/>
    </row>
    <row r="383" spans="2:21" hidden="1">
      <c r="B383" s="541" t="str">
        <f>重み!B194</f>
        <v>3.3.2</v>
      </c>
      <c r="C383" t="str">
        <f>重み!C194</f>
        <v>昼光の建物外壁による反射光（グレア）への対策</v>
      </c>
      <c r="G383" s="3027"/>
      <c r="H383" s="3027"/>
      <c r="I383" s="3027"/>
      <c r="J383" s="3027"/>
      <c r="K383" s="3027"/>
      <c r="L383" s="3027"/>
      <c r="M383" s="3027"/>
      <c r="N383" s="3027"/>
      <c r="O383" s="3027"/>
      <c r="P383" s="3027"/>
      <c r="Q383" s="3027"/>
      <c r="R383" s="3027"/>
      <c r="S383" s="3027"/>
      <c r="T383" s="3027"/>
      <c r="U383" s="3027"/>
    </row>
    <row r="384" spans="2:21" ht="5.45" customHeight="1" thickBot="1"/>
    <row r="385" spans="1:21" ht="18" customHeight="1">
      <c r="A385" s="45"/>
      <c r="B385" s="2988" t="s">
        <v>3587</v>
      </c>
      <c r="C385" s="2990"/>
      <c r="D385" s="2990"/>
      <c r="E385" s="2990"/>
      <c r="F385" s="2990"/>
      <c r="G385" s="2990"/>
      <c r="H385" s="2990"/>
      <c r="I385" s="2990"/>
      <c r="J385" s="2990"/>
      <c r="K385" s="2990"/>
      <c r="L385" s="2990"/>
      <c r="M385" s="2990"/>
      <c r="N385" s="2990"/>
      <c r="O385" s="2990"/>
      <c r="P385" s="2990"/>
      <c r="Q385" s="2990"/>
      <c r="R385" s="2990"/>
      <c r="S385" s="2990"/>
      <c r="T385" s="2990"/>
      <c r="U385" s="3028"/>
    </row>
    <row r="386" spans="1:21">
      <c r="A386" s="45"/>
      <c r="B386" s="3029" t="str">
        <f>B198</f>
        <v>Q1</v>
      </c>
      <c r="C386" s="3030" t="str">
        <f t="shared" ref="C386" si="37">C198</f>
        <v>室内環境</v>
      </c>
      <c r="D386" s="3030"/>
      <c r="E386" s="1974"/>
      <c r="F386" s="1974"/>
      <c r="G386" s="1974"/>
      <c r="H386" s="1974"/>
      <c r="I386" s="1974"/>
      <c r="J386" s="1974"/>
      <c r="K386" s="1974"/>
      <c r="L386" s="1974"/>
      <c r="M386" s="1974"/>
      <c r="N386" s="1974"/>
      <c r="O386" s="1974"/>
      <c r="P386" s="1974"/>
      <c r="Q386" s="1974"/>
      <c r="R386" s="1974"/>
      <c r="S386" s="1974"/>
      <c r="T386" s="1974"/>
      <c r="U386" s="3014"/>
    </row>
    <row r="387" spans="1:21" hidden="1">
      <c r="A387" s="45"/>
      <c r="B387" s="3011">
        <f t="shared" ref="B387:C387" si="38">B199</f>
        <v>1</v>
      </c>
      <c r="C387" s="3012" t="str">
        <f t="shared" si="38"/>
        <v>音環境</v>
      </c>
      <c r="D387" s="3012"/>
      <c r="E387" s="1974"/>
      <c r="F387" s="1974"/>
      <c r="G387" s="1974"/>
      <c r="H387" s="1974"/>
      <c r="I387" s="1974"/>
      <c r="J387" s="1974"/>
      <c r="K387" s="1974"/>
      <c r="L387" s="1974"/>
      <c r="M387" s="1974"/>
      <c r="N387" s="1974"/>
      <c r="O387" s="1974"/>
      <c r="P387" s="1974"/>
      <c r="Q387" s="1974"/>
      <c r="R387" s="1974"/>
      <c r="S387" s="1974"/>
      <c r="T387" s="1974"/>
      <c r="U387" s="3014"/>
    </row>
    <row r="388" spans="1:21" hidden="1">
      <c r="A388" s="45"/>
      <c r="B388" s="3011">
        <f t="shared" ref="B388:C388" si="39">B200</f>
        <v>1.1000000000000001</v>
      </c>
      <c r="C388" s="3012" t="str">
        <f t="shared" si="39"/>
        <v>室内騒音レベル</v>
      </c>
      <c r="D388" s="3012"/>
      <c r="E388" s="1974"/>
      <c r="F388" s="1974"/>
      <c r="G388" s="1974"/>
      <c r="H388" s="1974"/>
      <c r="I388" s="1974"/>
      <c r="J388" s="1974"/>
      <c r="K388" s="1974"/>
      <c r="L388" s="1974"/>
      <c r="M388" s="1974"/>
      <c r="N388" s="1974"/>
      <c r="O388" s="1974"/>
      <c r="P388" s="1974"/>
      <c r="Q388" s="1974"/>
      <c r="R388" s="1974"/>
      <c r="S388" s="1974"/>
      <c r="T388" s="1974"/>
      <c r="U388" s="3014"/>
    </row>
    <row r="389" spans="1:21" hidden="1">
      <c r="A389" s="45"/>
      <c r="B389" s="3011" t="str">
        <f t="shared" ref="B389:C389" si="40">B201</f>
        <v>1.1.1</v>
      </c>
      <c r="C389" s="3012">
        <f t="shared" si="40"/>
        <v>0</v>
      </c>
      <c r="D389" s="3012"/>
      <c r="E389" s="1974"/>
      <c r="F389" s="1974"/>
      <c r="G389" s="1974"/>
      <c r="H389" s="1974"/>
      <c r="I389" s="1974"/>
      <c r="J389" s="1974"/>
      <c r="K389" s="1974"/>
      <c r="L389" s="1974"/>
      <c r="M389" s="1974"/>
      <c r="N389" s="1974"/>
      <c r="O389" s="1974"/>
      <c r="P389" s="1974"/>
      <c r="Q389" s="1974"/>
      <c r="R389" s="1974"/>
      <c r="S389" s="1974"/>
      <c r="T389" s="1974"/>
      <c r="U389" s="3014"/>
    </row>
    <row r="390" spans="1:21" hidden="1">
      <c r="A390" s="45"/>
      <c r="B390" s="3011" t="str">
        <f t="shared" ref="B390:C390" si="41">B202</f>
        <v>1.1.2</v>
      </c>
      <c r="C390" s="3012">
        <f t="shared" si="41"/>
        <v>0</v>
      </c>
      <c r="D390" s="3012"/>
      <c r="E390" s="1974"/>
      <c r="F390" s="1974"/>
      <c r="G390" s="1974"/>
      <c r="H390" s="1974"/>
      <c r="I390" s="1974"/>
      <c r="J390" s="1974"/>
      <c r="K390" s="1974"/>
      <c r="L390" s="1974"/>
      <c r="M390" s="1974"/>
      <c r="N390" s="1974"/>
      <c r="O390" s="1974"/>
      <c r="P390" s="1974"/>
      <c r="Q390" s="1974"/>
      <c r="R390" s="1974"/>
      <c r="S390" s="1974"/>
      <c r="T390" s="1974"/>
      <c r="U390" s="3014"/>
    </row>
    <row r="391" spans="1:21" hidden="1">
      <c r="A391" s="45"/>
      <c r="B391" s="3011">
        <f t="shared" ref="B391:C391" si="42">B203</f>
        <v>1.2</v>
      </c>
      <c r="C391" s="3012" t="str">
        <f t="shared" si="42"/>
        <v>遮音</v>
      </c>
      <c r="D391" s="3012"/>
      <c r="E391" s="1974"/>
      <c r="F391" s="1974"/>
      <c r="G391" s="1974"/>
      <c r="H391" s="1974"/>
      <c r="I391" s="1974"/>
      <c r="J391" s="1974"/>
      <c r="K391" s="1974"/>
      <c r="L391" s="1974"/>
      <c r="M391" s="1974"/>
      <c r="N391" s="1974"/>
      <c r="O391" s="1974"/>
      <c r="P391" s="1974"/>
      <c r="Q391" s="1974"/>
      <c r="R391" s="1974"/>
      <c r="S391" s="1974"/>
      <c r="T391" s="1974"/>
      <c r="U391" s="3014"/>
    </row>
    <row r="392" spans="1:21" hidden="1">
      <c r="A392" s="45"/>
      <c r="B392" s="3011" t="str">
        <f t="shared" ref="B392:C392" si="43">B204</f>
        <v>1.2.1</v>
      </c>
      <c r="C392" s="3012" t="str">
        <f t="shared" si="43"/>
        <v>開口部遮音性能</v>
      </c>
      <c r="D392" s="3012"/>
      <c r="E392" s="1974"/>
      <c r="F392" s="1974"/>
      <c r="G392" s="1974"/>
      <c r="H392" s="1974"/>
      <c r="I392" s="1974"/>
      <c r="J392" s="1974"/>
      <c r="K392" s="1974"/>
      <c r="L392" s="1974"/>
      <c r="M392" s="1974"/>
      <c r="N392" s="1974"/>
      <c r="O392" s="1974"/>
      <c r="P392" s="1974"/>
      <c r="Q392" s="1974"/>
      <c r="R392" s="1974"/>
      <c r="S392" s="1974"/>
      <c r="T392" s="1974"/>
      <c r="U392" s="3014"/>
    </row>
    <row r="393" spans="1:21" hidden="1">
      <c r="A393" s="45"/>
      <c r="B393" s="3011" t="str">
        <f t="shared" ref="B393:C393" si="44">B205</f>
        <v>1.2.2</v>
      </c>
      <c r="C393" s="3012" t="str">
        <f t="shared" si="44"/>
        <v>界壁遮音性能</v>
      </c>
      <c r="D393" s="3012"/>
      <c r="E393" s="1974"/>
      <c r="F393" s="1974"/>
      <c r="G393" s="1974"/>
      <c r="H393" s="1974"/>
      <c r="I393" s="1974"/>
      <c r="J393" s="1974"/>
      <c r="K393" s="1974"/>
      <c r="L393" s="1974"/>
      <c r="M393" s="1974"/>
      <c r="N393" s="1974"/>
      <c r="O393" s="1974"/>
      <c r="P393" s="1974"/>
      <c r="Q393" s="1974"/>
      <c r="R393" s="1974"/>
      <c r="S393" s="1974"/>
      <c r="T393" s="1974"/>
      <c r="U393" s="3014"/>
    </row>
    <row r="394" spans="1:21" hidden="1">
      <c r="A394" s="45"/>
      <c r="B394" s="3011" t="str">
        <f t="shared" ref="B394:C394" si="45">B206</f>
        <v>1.2.3</v>
      </c>
      <c r="C394" s="3012" t="str">
        <f t="shared" si="45"/>
        <v>界床遮音性能（軽量衝撃源）</v>
      </c>
      <c r="D394" s="3012"/>
      <c r="E394" s="1974"/>
      <c r="F394" s="1974"/>
      <c r="G394" s="1974"/>
      <c r="H394" s="1974"/>
      <c r="I394" s="1974"/>
      <c r="J394" s="1974"/>
      <c r="K394" s="1974"/>
      <c r="L394" s="1974"/>
      <c r="M394" s="1974"/>
      <c r="N394" s="1974"/>
      <c r="O394" s="1974"/>
      <c r="P394" s="1974"/>
      <c r="Q394" s="1974"/>
      <c r="R394" s="1974"/>
      <c r="S394" s="1974"/>
      <c r="T394" s="1974"/>
      <c r="U394" s="3014"/>
    </row>
    <row r="395" spans="1:21" hidden="1">
      <c r="A395" s="45"/>
      <c r="B395" s="3011" t="str">
        <f t="shared" ref="B395:C395" si="46">B207</f>
        <v>1.2.4</v>
      </c>
      <c r="C395" s="3012" t="str">
        <f t="shared" si="46"/>
        <v>界床遮音性能（重量衝撃源）</v>
      </c>
      <c r="D395" s="3012"/>
      <c r="E395" s="1974"/>
      <c r="F395" s="1974"/>
      <c r="G395" s="1974"/>
      <c r="H395" s="1974"/>
      <c r="I395" s="1974"/>
      <c r="J395" s="1974"/>
      <c r="K395" s="1974"/>
      <c r="L395" s="1974"/>
      <c r="M395" s="1974"/>
      <c r="N395" s="1974"/>
      <c r="O395" s="1974"/>
      <c r="P395" s="1974"/>
      <c r="Q395" s="1974"/>
      <c r="R395" s="1974"/>
      <c r="S395" s="1974"/>
      <c r="T395" s="1974"/>
      <c r="U395" s="3014"/>
    </row>
    <row r="396" spans="1:21" hidden="1">
      <c r="A396" s="45"/>
      <c r="B396" s="3011">
        <f t="shared" ref="B396:C396" si="47">B208</f>
        <v>1.3</v>
      </c>
      <c r="C396" s="3012" t="str">
        <f t="shared" si="47"/>
        <v>吸音</v>
      </c>
      <c r="D396" s="3012"/>
      <c r="E396" s="1974"/>
      <c r="F396" s="1974"/>
      <c r="G396" s="1974"/>
      <c r="H396" s="1974"/>
      <c r="I396" s="1974"/>
      <c r="J396" s="1974"/>
      <c r="K396" s="1974"/>
      <c r="L396" s="1974"/>
      <c r="M396" s="1974"/>
      <c r="N396" s="1974"/>
      <c r="O396" s="1974"/>
      <c r="P396" s="1974"/>
      <c r="Q396" s="1974"/>
      <c r="R396" s="1974"/>
      <c r="S396" s="1974"/>
      <c r="T396" s="1974"/>
      <c r="U396" s="3014"/>
    </row>
    <row r="397" spans="1:21" hidden="1">
      <c r="A397" s="45"/>
      <c r="B397" s="3011">
        <f t="shared" ref="B397:C397" si="48">B209</f>
        <v>2</v>
      </c>
      <c r="C397" s="3012" t="str">
        <f t="shared" si="48"/>
        <v>温熱環境</v>
      </c>
      <c r="D397" s="3012"/>
      <c r="E397" s="1974"/>
      <c r="F397" s="1974"/>
      <c r="G397" s="1974"/>
      <c r="H397" s="1974"/>
      <c r="I397" s="1974"/>
      <c r="J397" s="1974"/>
      <c r="K397" s="1974"/>
      <c r="L397" s="1974"/>
      <c r="M397" s="1974"/>
      <c r="N397" s="1974"/>
      <c r="O397" s="1974"/>
      <c r="P397" s="1974"/>
      <c r="Q397" s="1974"/>
      <c r="R397" s="1974"/>
      <c r="S397" s="1974"/>
      <c r="T397" s="1974"/>
      <c r="U397" s="3014"/>
    </row>
    <row r="398" spans="1:21" hidden="1">
      <c r="A398" s="45"/>
      <c r="B398" s="3011">
        <f t="shared" ref="B398:C398" si="49">B210</f>
        <v>2.1</v>
      </c>
      <c r="C398" s="3012" t="str">
        <f t="shared" si="49"/>
        <v>室温制御</v>
      </c>
      <c r="D398" s="3012"/>
      <c r="E398" s="1974"/>
      <c r="F398" s="1974"/>
      <c r="G398" s="1974"/>
      <c r="H398" s="1974"/>
      <c r="I398" s="1974"/>
      <c r="J398" s="1974"/>
      <c r="K398" s="1974"/>
      <c r="L398" s="1974"/>
      <c r="M398" s="1974"/>
      <c r="N398" s="1974"/>
      <c r="O398" s="1974"/>
      <c r="P398" s="1974"/>
      <c r="Q398" s="1974"/>
      <c r="R398" s="1974"/>
      <c r="S398" s="1974"/>
      <c r="T398" s="1974"/>
      <c r="U398" s="3014"/>
    </row>
    <row r="399" spans="1:21" hidden="1">
      <c r="A399" s="45"/>
      <c r="B399" s="3011" t="str">
        <f t="shared" ref="B399:C399" si="50">B211</f>
        <v>2.1.1</v>
      </c>
      <c r="C399" s="3012" t="str">
        <f t="shared" si="50"/>
        <v>室温</v>
      </c>
      <c r="D399" s="3012"/>
      <c r="E399" s="1974"/>
      <c r="F399" s="1974"/>
      <c r="G399" s="1974"/>
      <c r="H399" s="1974"/>
      <c r="I399" s="1974"/>
      <c r="J399" s="1974"/>
      <c r="K399" s="1974"/>
      <c r="L399" s="1974"/>
      <c r="M399" s="1974"/>
      <c r="N399" s="1974"/>
      <c r="O399" s="1974"/>
      <c r="P399" s="1974"/>
      <c r="Q399" s="1974"/>
      <c r="R399" s="1974"/>
      <c r="S399" s="1974"/>
      <c r="T399" s="1974"/>
      <c r="U399" s="3014"/>
    </row>
    <row r="400" spans="1:21" hidden="1">
      <c r="A400" s="45"/>
      <c r="B400" s="3011" t="str">
        <f t="shared" ref="B400:C400" si="51">B212</f>
        <v>2.1.2</v>
      </c>
      <c r="C400" s="3012">
        <f t="shared" si="51"/>
        <v>0</v>
      </c>
      <c r="D400" s="3012"/>
      <c r="E400" s="1974"/>
      <c r="F400" s="1974"/>
      <c r="G400" s="1974"/>
      <c r="H400" s="1974"/>
      <c r="I400" s="1974"/>
      <c r="J400" s="1974"/>
      <c r="K400" s="1974"/>
      <c r="L400" s="1974"/>
      <c r="M400" s="1974"/>
      <c r="N400" s="1974"/>
      <c r="O400" s="1974"/>
      <c r="P400" s="1974"/>
      <c r="Q400" s="1974"/>
      <c r="R400" s="1974"/>
      <c r="S400" s="1974"/>
      <c r="T400" s="1974"/>
      <c r="U400" s="3014"/>
    </row>
    <row r="401" spans="1:21">
      <c r="A401" s="45"/>
      <c r="B401" s="3011" t="str">
        <f t="shared" ref="B401:C401" si="52">B213</f>
        <v>2.1.3</v>
      </c>
      <c r="C401" s="3012" t="str">
        <f t="shared" si="52"/>
        <v>外皮性能</v>
      </c>
      <c r="D401" s="3012"/>
      <c r="E401" s="1974"/>
      <c r="F401" s="1974"/>
      <c r="G401" s="1974"/>
      <c r="H401" s="1974"/>
      <c r="I401" s="3031" t="s">
        <v>3368</v>
      </c>
      <c r="J401" s="3032"/>
      <c r="K401" s="3033">
        <f>採点Q1!G195</f>
        <v>0.5</v>
      </c>
      <c r="L401" s="3034"/>
      <c r="M401" s="3034"/>
      <c r="N401" s="3035" t="str">
        <f>採点Q1!I195</f>
        <v>窓の日射熱取得率（η）</v>
      </c>
      <c r="O401" s="3033">
        <f>採点Q1!J195</f>
        <v>0</v>
      </c>
      <c r="P401" s="1974"/>
      <c r="Q401" s="1974"/>
      <c r="R401" s="1974"/>
      <c r="S401" s="1974"/>
      <c r="T401" s="1974"/>
      <c r="U401" s="3014"/>
    </row>
    <row r="402" spans="1:21">
      <c r="A402" s="45"/>
      <c r="B402" s="3011"/>
      <c r="C402" s="3012"/>
      <c r="D402" s="3012"/>
      <c r="E402" s="1974"/>
      <c r="F402" s="1974"/>
      <c r="G402" s="1974"/>
      <c r="H402" s="1974"/>
      <c r="I402" s="3034" t="s">
        <v>3558</v>
      </c>
      <c r="J402" s="3031"/>
      <c r="K402" s="3034"/>
      <c r="L402" s="3035" t="s">
        <v>3557</v>
      </c>
      <c r="M402" s="3033">
        <f>採点Q1!H196</f>
        <v>4</v>
      </c>
      <c r="N402" s="3035" t="s">
        <v>2200</v>
      </c>
      <c r="O402" s="3033">
        <f>採点Q1!J196</f>
        <v>2</v>
      </c>
      <c r="P402" s="3035" t="s">
        <v>3559</v>
      </c>
      <c r="Q402" s="3033">
        <f>採点Q1!L196</f>
        <v>2</v>
      </c>
      <c r="R402" s="3035" t="s">
        <v>3561</v>
      </c>
      <c r="S402" s="3033">
        <f>採点Q1!N196</f>
        <v>2</v>
      </c>
      <c r="T402" s="3020"/>
      <c r="U402" s="3014"/>
    </row>
    <row r="403" spans="1:21">
      <c r="A403" s="45"/>
      <c r="B403" s="3011"/>
      <c r="C403" s="3012"/>
      <c r="D403" s="3012"/>
      <c r="E403" s="1974"/>
      <c r="F403" s="1974"/>
      <c r="G403" s="1974"/>
      <c r="H403" s="1974"/>
      <c r="I403" s="3034" t="s">
        <v>3776</v>
      </c>
      <c r="J403" s="3031"/>
      <c r="K403" s="3035" t="s">
        <v>3775</v>
      </c>
      <c r="L403" s="3033">
        <f>採点Q1!H197</f>
        <v>0</v>
      </c>
      <c r="M403" s="3034"/>
      <c r="N403" s="3035" t="s">
        <v>3769</v>
      </c>
      <c r="O403" s="3033">
        <f>採点Q1!J197</f>
        <v>0</v>
      </c>
      <c r="P403" s="3035" t="s">
        <v>3770</v>
      </c>
      <c r="Q403" s="3033">
        <f>採点Q1!L197</f>
        <v>0</v>
      </c>
      <c r="R403" s="3035" t="s">
        <v>3772</v>
      </c>
      <c r="S403" s="3033">
        <f>採点Q1!N197</f>
        <v>0</v>
      </c>
      <c r="T403" s="3020"/>
      <c r="U403" s="3014"/>
    </row>
    <row r="404" spans="1:21" hidden="1">
      <c r="A404" s="45"/>
      <c r="B404" s="3011" t="str">
        <f t="shared" ref="B404:C404" si="53">B216</f>
        <v>2.1.6</v>
      </c>
      <c r="C404" s="3012">
        <f t="shared" si="53"/>
        <v>0</v>
      </c>
      <c r="D404" s="3012"/>
      <c r="E404" s="1974"/>
      <c r="F404" s="1974"/>
      <c r="G404" s="1974"/>
      <c r="H404" s="1974"/>
      <c r="I404" s="1974"/>
      <c r="J404" s="1974"/>
      <c r="K404" s="1974"/>
      <c r="L404" s="1974"/>
      <c r="M404" s="1974"/>
      <c r="N404" s="1974"/>
      <c r="O404" s="1974"/>
      <c r="P404" s="1974"/>
      <c r="Q404" s="1974"/>
      <c r="R404" s="1974"/>
      <c r="S404" s="3020"/>
      <c r="T404" s="3020"/>
      <c r="U404" s="3014"/>
    </row>
    <row r="405" spans="1:21" hidden="1">
      <c r="A405" s="45"/>
      <c r="B405" s="3011" t="str">
        <f t="shared" ref="B405:C405" si="54">B217</f>
        <v>2.1.7</v>
      </c>
      <c r="C405" s="3012">
        <f t="shared" si="54"/>
        <v>0</v>
      </c>
      <c r="D405" s="3012"/>
      <c r="E405" s="1974"/>
      <c r="F405" s="1974"/>
      <c r="G405" s="1974"/>
      <c r="H405" s="1974"/>
      <c r="I405" s="3020"/>
      <c r="J405" s="3020"/>
      <c r="K405" s="3020"/>
      <c r="L405" s="3020"/>
      <c r="M405" s="3020"/>
      <c r="N405" s="3020"/>
      <c r="O405" s="3020"/>
      <c r="P405" s="3020"/>
      <c r="Q405" s="3020"/>
      <c r="R405" s="3020"/>
      <c r="S405" s="3020"/>
      <c r="T405" s="3020"/>
      <c r="U405" s="3014"/>
    </row>
    <row r="406" spans="1:21" hidden="1">
      <c r="A406" s="45"/>
      <c r="B406" s="3011" t="str">
        <f t="shared" ref="B406:C406" si="55">B218</f>
        <v>2.1.8</v>
      </c>
      <c r="C406" s="3012">
        <f t="shared" si="55"/>
        <v>0</v>
      </c>
      <c r="D406" s="3012"/>
      <c r="E406" s="1974"/>
      <c r="F406" s="1974"/>
      <c r="G406" s="1974"/>
      <c r="H406" s="1974"/>
      <c r="I406" s="3020"/>
      <c r="J406" s="3020"/>
      <c r="K406" s="3020"/>
      <c r="L406" s="3020"/>
      <c r="M406" s="3020"/>
      <c r="N406" s="3020"/>
      <c r="O406" s="3020"/>
      <c r="P406" s="3020"/>
      <c r="Q406" s="3020"/>
      <c r="R406" s="3020"/>
      <c r="S406" s="3020"/>
      <c r="T406" s="3020"/>
      <c r="U406" s="3014"/>
    </row>
    <row r="407" spans="1:21" hidden="1">
      <c r="A407" s="45"/>
      <c r="B407" s="3011">
        <f t="shared" ref="B407:C407" si="56">B219</f>
        <v>2.2000000000000002</v>
      </c>
      <c r="C407" s="3012" t="str">
        <f t="shared" si="56"/>
        <v>湿度制御</v>
      </c>
      <c r="D407" s="3012"/>
      <c r="E407" s="1974"/>
      <c r="F407" s="1974"/>
      <c r="G407" s="1974"/>
      <c r="H407" s="1974"/>
      <c r="I407" s="3020"/>
      <c r="J407" s="3020"/>
      <c r="K407" s="3020"/>
      <c r="L407" s="3020"/>
      <c r="M407" s="3020"/>
      <c r="N407" s="3020"/>
      <c r="O407" s="3020"/>
      <c r="P407" s="3020"/>
      <c r="Q407" s="3020"/>
      <c r="R407" s="3020"/>
      <c r="S407" s="3020"/>
      <c r="T407" s="3020"/>
      <c r="U407" s="3014"/>
    </row>
    <row r="408" spans="1:21" hidden="1">
      <c r="A408" s="45"/>
      <c r="B408" s="3011">
        <f t="shared" ref="B408:C408" si="57">B220</f>
        <v>2.2999999999999998</v>
      </c>
      <c r="C408" s="3012" t="str">
        <f t="shared" si="57"/>
        <v>空調方式（新築）</v>
      </c>
      <c r="D408" s="3012"/>
      <c r="E408" s="1974"/>
      <c r="F408" s="1974"/>
      <c r="G408" s="1974"/>
      <c r="H408" s="1974"/>
      <c r="I408" s="3020"/>
      <c r="J408" s="3020"/>
      <c r="K408" s="3020"/>
      <c r="L408" s="3020"/>
      <c r="M408" s="3020"/>
      <c r="N408" s="3020"/>
      <c r="O408" s="3020"/>
      <c r="P408" s="3020"/>
      <c r="Q408" s="3020"/>
      <c r="R408" s="3020"/>
      <c r="S408" s="3020"/>
      <c r="T408" s="3020"/>
      <c r="U408" s="3014"/>
    </row>
    <row r="409" spans="1:21" hidden="1">
      <c r="A409" s="45"/>
      <c r="B409" s="3011">
        <f t="shared" ref="B409:C409" si="58">B221</f>
        <v>2.2999999999999998</v>
      </c>
      <c r="C409" s="3012">
        <f t="shared" si="58"/>
        <v>0</v>
      </c>
      <c r="D409" s="3012"/>
      <c r="E409" s="1974"/>
      <c r="F409" s="1974"/>
      <c r="G409" s="1974"/>
      <c r="H409" s="1974"/>
      <c r="I409" s="3020"/>
      <c r="J409" s="3020"/>
      <c r="K409" s="3020"/>
      <c r="L409" s="3020"/>
      <c r="M409" s="3020"/>
      <c r="N409" s="3020"/>
      <c r="O409" s="3020"/>
      <c r="P409" s="3020"/>
      <c r="Q409" s="3020"/>
      <c r="R409" s="3020"/>
      <c r="S409" s="3020"/>
      <c r="T409" s="3020"/>
      <c r="U409" s="3014"/>
    </row>
    <row r="410" spans="1:21" hidden="1">
      <c r="A410" s="45"/>
      <c r="B410" s="3011" t="str">
        <f t="shared" ref="B410:C410" si="59">B222</f>
        <v>2.3.1</v>
      </c>
      <c r="C410" s="3012">
        <f t="shared" si="59"/>
        <v>0</v>
      </c>
      <c r="D410" s="3012"/>
      <c r="E410" s="1974"/>
      <c r="F410" s="1974"/>
      <c r="G410" s="1974"/>
      <c r="H410" s="1974"/>
      <c r="I410" s="3020"/>
      <c r="J410" s="3020"/>
      <c r="K410" s="3020"/>
      <c r="L410" s="3020"/>
      <c r="M410" s="3020"/>
      <c r="N410" s="3020"/>
      <c r="O410" s="3020"/>
      <c r="P410" s="3020"/>
      <c r="Q410" s="3020"/>
      <c r="R410" s="3020"/>
      <c r="S410" s="3020"/>
      <c r="T410" s="3020"/>
      <c r="U410" s="3014"/>
    </row>
    <row r="411" spans="1:21" hidden="1">
      <c r="A411" s="45"/>
      <c r="B411" s="3011" t="str">
        <f t="shared" ref="B411:C411" si="60">B223</f>
        <v>2.3.2</v>
      </c>
      <c r="C411" s="3012">
        <f t="shared" si="60"/>
        <v>0</v>
      </c>
      <c r="D411" s="3012"/>
      <c r="E411" s="1974"/>
      <c r="F411" s="1974"/>
      <c r="G411" s="1974"/>
      <c r="H411" s="1974"/>
      <c r="I411" s="3020"/>
      <c r="J411" s="3020"/>
      <c r="K411" s="3020"/>
      <c r="L411" s="3020"/>
      <c r="M411" s="3020"/>
      <c r="N411" s="3020"/>
      <c r="O411" s="3020"/>
      <c r="P411" s="3020"/>
      <c r="Q411" s="3020"/>
      <c r="R411" s="3020"/>
      <c r="S411" s="3020"/>
      <c r="T411" s="3020"/>
      <c r="U411" s="3014"/>
    </row>
    <row r="412" spans="1:21" hidden="1">
      <c r="A412" s="45"/>
      <c r="B412" s="3011">
        <f t="shared" ref="B412:C412" si="61">B224</f>
        <v>3</v>
      </c>
      <c r="C412" s="3012" t="str">
        <f t="shared" si="61"/>
        <v>光・視環境</v>
      </c>
      <c r="D412" s="3012"/>
      <c r="E412" s="1974"/>
      <c r="F412" s="1974"/>
      <c r="G412" s="1974"/>
      <c r="H412" s="1974"/>
      <c r="I412" s="3020"/>
      <c r="J412" s="3020"/>
      <c r="K412" s="3020"/>
      <c r="L412" s="3020"/>
      <c r="M412" s="3020"/>
      <c r="N412" s="3020"/>
      <c r="O412" s="3020"/>
      <c r="P412" s="3020"/>
      <c r="Q412" s="3020"/>
      <c r="R412" s="3020"/>
      <c r="S412" s="3020"/>
      <c r="T412" s="3020"/>
      <c r="U412" s="3014"/>
    </row>
    <row r="413" spans="1:21" hidden="1">
      <c r="A413" s="45"/>
      <c r="B413" s="3011">
        <f t="shared" ref="B413:C413" si="62">B225</f>
        <v>3.1</v>
      </c>
      <c r="C413" s="3012" t="str">
        <f t="shared" si="62"/>
        <v>昼光利用</v>
      </c>
      <c r="D413" s="3012"/>
      <c r="E413" s="1974"/>
      <c r="F413" s="1974"/>
      <c r="G413" s="1974"/>
      <c r="H413" s="1974"/>
      <c r="I413" s="3020"/>
      <c r="J413" s="3020"/>
      <c r="K413" s="3020"/>
      <c r="L413" s="3020"/>
      <c r="M413" s="3020"/>
      <c r="N413" s="3020"/>
      <c r="O413" s="3020"/>
      <c r="P413" s="3020"/>
      <c r="Q413" s="3020"/>
      <c r="R413" s="3020"/>
      <c r="S413" s="3020"/>
      <c r="T413" s="3020"/>
      <c r="U413" s="3014"/>
    </row>
    <row r="414" spans="1:21">
      <c r="A414" s="45"/>
      <c r="B414" s="3011" t="str">
        <f t="shared" ref="B414:C414" si="63">B226</f>
        <v>3.1.1</v>
      </c>
      <c r="C414" s="3012" t="str">
        <f t="shared" si="63"/>
        <v>昼光率</v>
      </c>
      <c r="D414" s="3012"/>
      <c r="E414" s="1974"/>
      <c r="F414" s="1974"/>
      <c r="G414" s="1974"/>
      <c r="H414" s="1974"/>
      <c r="I414" s="3036" t="s">
        <v>3369</v>
      </c>
      <c r="J414" s="3037">
        <f>採点Q1!G293</f>
        <v>1.4999999999999999E-2</v>
      </c>
      <c r="K414" s="3031"/>
      <c r="L414" s="3020"/>
      <c r="M414" s="3020"/>
      <c r="N414" s="3020"/>
      <c r="O414" s="3020"/>
      <c r="P414" s="3020"/>
      <c r="Q414" s="3020"/>
      <c r="R414" s="3020"/>
      <c r="S414" s="3020"/>
      <c r="T414" s="3020"/>
      <c r="U414" s="3014"/>
    </row>
    <row r="415" spans="1:21" hidden="1">
      <c r="A415" s="45"/>
      <c r="B415" s="3011" t="str">
        <f t="shared" ref="B415:C415" si="64">B227</f>
        <v>3.1.2</v>
      </c>
      <c r="C415" s="3012" t="str">
        <f t="shared" si="64"/>
        <v>方位別開口</v>
      </c>
      <c r="D415" s="3012"/>
      <c r="E415" s="1974"/>
      <c r="F415" s="1974"/>
      <c r="G415" s="1974"/>
      <c r="H415" s="1974"/>
      <c r="I415" s="3020"/>
      <c r="J415" s="3020"/>
      <c r="K415" s="3020"/>
      <c r="L415" s="3020"/>
      <c r="M415" s="3020"/>
      <c r="N415" s="3020"/>
      <c r="O415" s="3020"/>
      <c r="P415" s="3020"/>
      <c r="Q415" s="3020"/>
      <c r="R415" s="3020"/>
      <c r="S415" s="3020"/>
      <c r="T415" s="3020"/>
      <c r="U415" s="3014"/>
    </row>
    <row r="416" spans="1:21" hidden="1">
      <c r="A416" s="45"/>
      <c r="B416" s="3011" t="str">
        <f t="shared" ref="B416:C416" si="65">B228</f>
        <v>3.1.3</v>
      </c>
      <c r="C416" s="3012" t="str">
        <f t="shared" si="65"/>
        <v>昼光利用設備</v>
      </c>
      <c r="D416" s="3012"/>
      <c r="E416" s="1974"/>
      <c r="F416" s="1974"/>
      <c r="G416" s="1974"/>
      <c r="H416" s="1974"/>
      <c r="I416" s="3020"/>
      <c r="J416" s="3020"/>
      <c r="K416" s="3020"/>
      <c r="L416" s="3020"/>
      <c r="M416" s="3020"/>
      <c r="N416" s="3020"/>
      <c r="O416" s="3020"/>
      <c r="P416" s="3020"/>
      <c r="Q416" s="3020"/>
      <c r="R416" s="3020"/>
      <c r="S416" s="3020"/>
      <c r="T416" s="3020"/>
      <c r="U416" s="3014"/>
    </row>
    <row r="417" spans="1:21" hidden="1">
      <c r="A417" s="45"/>
      <c r="B417" s="3011">
        <f t="shared" ref="B417:C417" si="66">B229</f>
        <v>3.2</v>
      </c>
      <c r="C417" s="3012" t="str">
        <f t="shared" si="66"/>
        <v>グレア対策</v>
      </c>
      <c r="D417" s="3012"/>
      <c r="E417" s="1974"/>
      <c r="F417" s="1974"/>
      <c r="G417" s="1974"/>
      <c r="H417" s="1974"/>
      <c r="I417" s="3020"/>
      <c r="J417" s="3020"/>
      <c r="K417" s="3020"/>
      <c r="L417" s="3020"/>
      <c r="M417" s="3020"/>
      <c r="N417" s="3020"/>
      <c r="O417" s="3020"/>
      <c r="P417" s="3020"/>
      <c r="Q417" s="3020"/>
      <c r="R417" s="3020"/>
      <c r="S417" s="3020"/>
      <c r="T417" s="3020"/>
      <c r="U417" s="3014"/>
    </row>
    <row r="418" spans="1:21" hidden="1">
      <c r="A418" s="45"/>
      <c r="B418" s="3011" t="str">
        <f t="shared" ref="B418:C418" si="67">B230</f>
        <v>3.2.1</v>
      </c>
      <c r="C418" s="3012">
        <f t="shared" si="67"/>
        <v>0</v>
      </c>
      <c r="D418" s="3012"/>
      <c r="E418" s="1974"/>
      <c r="F418" s="1974"/>
      <c r="G418" s="1974"/>
      <c r="H418" s="1974"/>
      <c r="I418" s="3020"/>
      <c r="J418" s="3020"/>
      <c r="K418" s="3020"/>
      <c r="L418" s="3020"/>
      <c r="M418" s="3020"/>
      <c r="N418" s="3020"/>
      <c r="O418" s="3020"/>
      <c r="P418" s="3020"/>
      <c r="Q418" s="3020"/>
      <c r="R418" s="3020"/>
      <c r="S418" s="3020"/>
      <c r="T418" s="3020"/>
      <c r="U418" s="3014"/>
    </row>
    <row r="419" spans="1:21" hidden="1">
      <c r="A419" s="45"/>
      <c r="B419" s="3011" t="str">
        <f t="shared" ref="B419:C419" si="68">B231</f>
        <v>3.2.2</v>
      </c>
      <c r="C419" s="3012" t="str">
        <f t="shared" si="68"/>
        <v>昼光制御</v>
      </c>
      <c r="D419" s="3012"/>
      <c r="E419" s="1974"/>
      <c r="F419" s="1974"/>
      <c r="G419" s="1974"/>
      <c r="H419" s="1974"/>
      <c r="I419" s="3020"/>
      <c r="J419" s="3020"/>
      <c r="K419" s="3020"/>
      <c r="L419" s="3020"/>
      <c r="M419" s="3020"/>
      <c r="N419" s="3020"/>
      <c r="O419" s="3020"/>
      <c r="P419" s="3020"/>
      <c r="Q419" s="3020"/>
      <c r="R419" s="3020"/>
      <c r="S419" s="3020"/>
      <c r="T419" s="3020"/>
      <c r="U419" s="3014"/>
    </row>
    <row r="420" spans="1:21" hidden="1">
      <c r="A420" s="45"/>
      <c r="B420" s="3011" t="str">
        <f t="shared" ref="B420:C420" si="69">B232</f>
        <v>3.2.3</v>
      </c>
      <c r="C420" s="3012">
        <f t="shared" si="69"/>
        <v>0</v>
      </c>
      <c r="D420" s="3012"/>
      <c r="E420" s="1974"/>
      <c r="F420" s="1974"/>
      <c r="G420" s="1974"/>
      <c r="H420" s="1974"/>
      <c r="I420" s="3020"/>
      <c r="J420" s="3020"/>
      <c r="K420" s="3020"/>
      <c r="L420" s="3020"/>
      <c r="M420" s="3020"/>
      <c r="N420" s="3020"/>
      <c r="O420" s="3020"/>
      <c r="P420" s="3020"/>
      <c r="Q420" s="3020"/>
      <c r="R420" s="3020"/>
      <c r="S420" s="3020"/>
      <c r="T420" s="3020"/>
      <c r="U420" s="3014"/>
    </row>
    <row r="421" spans="1:21" hidden="1">
      <c r="A421" s="45"/>
      <c r="B421" s="3011">
        <f t="shared" ref="B421:C421" si="70">B233</f>
        <v>3.3</v>
      </c>
      <c r="C421" s="3012" t="str">
        <f t="shared" si="70"/>
        <v>照度</v>
      </c>
      <c r="D421" s="3012"/>
      <c r="E421" s="1974"/>
      <c r="F421" s="1974"/>
      <c r="G421" s="1974"/>
      <c r="H421" s="1974"/>
      <c r="I421" s="3020"/>
      <c r="J421" s="3020"/>
      <c r="K421" s="3020"/>
      <c r="L421" s="3020"/>
      <c r="M421" s="3020"/>
      <c r="N421" s="3020"/>
      <c r="O421" s="3020"/>
      <c r="P421" s="3020"/>
      <c r="Q421" s="3020"/>
      <c r="R421" s="3020"/>
      <c r="S421" s="3020"/>
      <c r="T421" s="3020"/>
      <c r="U421" s="3014"/>
    </row>
    <row r="422" spans="1:21" hidden="1">
      <c r="A422" s="45"/>
      <c r="B422" s="3011" t="str">
        <f t="shared" ref="B422:C422" si="71">B234</f>
        <v>3.3.1</v>
      </c>
      <c r="C422" s="3012" t="str">
        <f t="shared" si="71"/>
        <v>照度</v>
      </c>
      <c r="D422" s="3012"/>
      <c r="E422" s="1974"/>
      <c r="F422" s="1974"/>
      <c r="G422" s="1974"/>
      <c r="H422" s="1974"/>
      <c r="I422" s="3020"/>
      <c r="J422" s="3020"/>
      <c r="K422" s="3020"/>
      <c r="L422" s="3020"/>
      <c r="M422" s="3020"/>
      <c r="N422" s="3020"/>
      <c r="O422" s="3020"/>
      <c r="P422" s="3020"/>
      <c r="Q422" s="3020"/>
      <c r="R422" s="3020"/>
      <c r="S422" s="3020"/>
      <c r="T422" s="3020"/>
      <c r="U422" s="3014"/>
    </row>
    <row r="423" spans="1:21" hidden="1">
      <c r="A423" s="45"/>
      <c r="B423" s="3011" t="str">
        <f t="shared" ref="B423:C423" si="72">B235</f>
        <v>3.3.2</v>
      </c>
      <c r="C423" s="3012" t="str">
        <f t="shared" si="72"/>
        <v>照度均斉度</v>
      </c>
      <c r="D423" s="3012"/>
      <c r="E423" s="1974"/>
      <c r="F423" s="1974"/>
      <c r="G423" s="1974"/>
      <c r="H423" s="1974"/>
      <c r="I423" s="3020"/>
      <c r="J423" s="3020"/>
      <c r="K423" s="3020"/>
      <c r="L423" s="3020"/>
      <c r="M423" s="3020"/>
      <c r="N423" s="3020"/>
      <c r="O423" s="3020"/>
      <c r="P423" s="3020"/>
      <c r="Q423" s="3020"/>
      <c r="R423" s="3020"/>
      <c r="S423" s="3020"/>
      <c r="T423" s="3020"/>
      <c r="U423" s="3014"/>
    </row>
    <row r="424" spans="1:21" hidden="1">
      <c r="A424" s="45"/>
      <c r="B424" s="3011">
        <f t="shared" ref="B424:C424" si="73">B236</f>
        <v>3.4</v>
      </c>
      <c r="C424" s="3012" t="str">
        <f t="shared" si="73"/>
        <v>照明制御</v>
      </c>
      <c r="D424" s="3012"/>
      <c r="E424" s="1974"/>
      <c r="F424" s="1974"/>
      <c r="G424" s="1974"/>
      <c r="H424" s="1974"/>
      <c r="I424" s="3020"/>
      <c r="J424" s="3020"/>
      <c r="K424" s="3020"/>
      <c r="L424" s="3020"/>
      <c r="M424" s="3020"/>
      <c r="N424" s="3020"/>
      <c r="O424" s="3020"/>
      <c r="P424" s="3020"/>
      <c r="Q424" s="3020"/>
      <c r="R424" s="3020"/>
      <c r="S424" s="3020"/>
      <c r="T424" s="3020"/>
      <c r="U424" s="3014"/>
    </row>
    <row r="425" spans="1:21" hidden="1">
      <c r="A425" s="45"/>
      <c r="B425" s="3011">
        <f t="shared" ref="B425:C425" si="74">B237</f>
        <v>4</v>
      </c>
      <c r="C425" s="3012" t="str">
        <f t="shared" si="74"/>
        <v>空気質環境</v>
      </c>
      <c r="D425" s="3012"/>
      <c r="E425" s="1974"/>
      <c r="F425" s="1974"/>
      <c r="G425" s="1974"/>
      <c r="H425" s="1974"/>
      <c r="I425" s="3020"/>
      <c r="J425" s="3020"/>
      <c r="K425" s="3020"/>
      <c r="L425" s="3020"/>
      <c r="M425" s="3020"/>
      <c r="N425" s="3020"/>
      <c r="O425" s="3020"/>
      <c r="P425" s="3020"/>
      <c r="Q425" s="3020"/>
      <c r="R425" s="3020"/>
      <c r="S425" s="3020"/>
      <c r="T425" s="3020"/>
      <c r="U425" s="3014"/>
    </row>
    <row r="426" spans="1:21" hidden="1">
      <c r="A426" s="45"/>
      <c r="B426" s="3011">
        <f t="shared" ref="B426:C426" si="75">B238</f>
        <v>4.0999999999999996</v>
      </c>
      <c r="C426" s="3012" t="str">
        <f t="shared" si="75"/>
        <v>発生源対策</v>
      </c>
      <c r="D426" s="3012"/>
      <c r="E426" s="1974"/>
      <c r="F426" s="1974"/>
      <c r="G426" s="1974"/>
      <c r="H426" s="1974"/>
      <c r="I426" s="3020"/>
      <c r="J426" s="3020"/>
      <c r="K426" s="3020"/>
      <c r="L426" s="3020"/>
      <c r="M426" s="3020"/>
      <c r="N426" s="3020"/>
      <c r="O426" s="3020"/>
      <c r="P426" s="3020"/>
      <c r="Q426" s="3020"/>
      <c r="R426" s="3020"/>
      <c r="S426" s="3020"/>
      <c r="T426" s="3020"/>
      <c r="U426" s="3014"/>
    </row>
    <row r="427" spans="1:21" hidden="1">
      <c r="A427" s="45"/>
      <c r="B427" s="3011" t="str">
        <f t="shared" ref="B427:C427" si="76">B239</f>
        <v>4.1.1</v>
      </c>
      <c r="C427" s="3012" t="str">
        <f t="shared" si="76"/>
        <v xml:space="preserve"> 化学汚染物質</v>
      </c>
      <c r="D427" s="3012"/>
      <c r="E427" s="1974"/>
      <c r="F427" s="1974"/>
      <c r="G427" s="1974"/>
      <c r="H427" s="1974"/>
      <c r="I427" s="3020"/>
      <c r="J427" s="3020"/>
      <c r="K427" s="3020"/>
      <c r="L427" s="3020"/>
      <c r="M427" s="3020"/>
      <c r="N427" s="3020"/>
      <c r="O427" s="3020"/>
      <c r="P427" s="3020"/>
      <c r="Q427" s="3020"/>
      <c r="R427" s="3020"/>
      <c r="S427" s="3020"/>
      <c r="T427" s="3020"/>
      <c r="U427" s="3014"/>
    </row>
    <row r="428" spans="1:21" hidden="1">
      <c r="A428" s="45"/>
      <c r="B428" s="3011" t="str">
        <f t="shared" ref="B428:C428" si="77">B240</f>
        <v>4.1.2</v>
      </c>
      <c r="C428" s="3012">
        <f t="shared" si="77"/>
        <v>0</v>
      </c>
      <c r="D428" s="3012"/>
      <c r="E428" s="1974"/>
      <c r="F428" s="1974"/>
      <c r="G428" s="1974"/>
      <c r="H428" s="1974"/>
      <c r="I428" s="3020"/>
      <c r="J428" s="3020"/>
      <c r="K428" s="3020"/>
      <c r="L428" s="3020"/>
      <c r="M428" s="3020"/>
      <c r="N428" s="3020"/>
      <c r="O428" s="3020"/>
      <c r="P428" s="3020"/>
      <c r="Q428" s="3020"/>
      <c r="R428" s="3020"/>
      <c r="S428" s="3020"/>
      <c r="T428" s="3020"/>
      <c r="U428" s="3014"/>
    </row>
    <row r="429" spans="1:21" hidden="1">
      <c r="A429" s="45"/>
      <c r="B429" s="3011" t="str">
        <f t="shared" ref="B429:C429" si="78">B241</f>
        <v>4.1.3</v>
      </c>
      <c r="C429" s="3012">
        <f t="shared" si="78"/>
        <v>0</v>
      </c>
      <c r="D429" s="3012"/>
      <c r="E429" s="1974"/>
      <c r="F429" s="1974"/>
      <c r="G429" s="1974"/>
      <c r="H429" s="1974"/>
      <c r="I429" s="3020"/>
      <c r="J429" s="3020"/>
      <c r="K429" s="3020"/>
      <c r="L429" s="3020"/>
      <c r="M429" s="3020"/>
      <c r="N429" s="3020"/>
      <c r="O429" s="3020"/>
      <c r="P429" s="3020"/>
      <c r="Q429" s="3020"/>
      <c r="R429" s="3020"/>
      <c r="S429" s="3020"/>
      <c r="T429" s="3020"/>
      <c r="U429" s="3014"/>
    </row>
    <row r="430" spans="1:21" hidden="1">
      <c r="A430" s="45"/>
      <c r="B430" s="3011" t="str">
        <f t="shared" ref="B430:C430" si="79">B242</f>
        <v>4.1.4</v>
      </c>
      <c r="C430" s="3012">
        <f t="shared" si="79"/>
        <v>0</v>
      </c>
      <c r="D430" s="3012"/>
      <c r="E430" s="1974"/>
      <c r="F430" s="1974"/>
      <c r="G430" s="1974"/>
      <c r="H430" s="1974"/>
      <c r="I430" s="3020"/>
      <c r="J430" s="3020"/>
      <c r="K430" s="3020"/>
      <c r="L430" s="3020"/>
      <c r="M430" s="3020"/>
      <c r="N430" s="3020"/>
      <c r="O430" s="3020"/>
      <c r="P430" s="3020"/>
      <c r="Q430" s="3020"/>
      <c r="R430" s="3020"/>
      <c r="S430" s="3020"/>
      <c r="T430" s="3020"/>
      <c r="U430" s="3014"/>
    </row>
    <row r="431" spans="1:21" hidden="1">
      <c r="A431" s="45"/>
      <c r="B431" s="3011">
        <f t="shared" ref="B431:C431" si="80">B243</f>
        <v>4.2</v>
      </c>
      <c r="C431" s="3012" t="str">
        <f t="shared" si="80"/>
        <v>換気</v>
      </c>
      <c r="D431" s="3012"/>
      <c r="E431" s="1974"/>
      <c r="F431" s="1974"/>
      <c r="G431" s="1974"/>
      <c r="H431" s="1974"/>
      <c r="I431" s="3020"/>
      <c r="J431" s="3020"/>
      <c r="K431" s="3020"/>
      <c r="L431" s="3020"/>
      <c r="M431" s="3020"/>
      <c r="N431" s="3020"/>
      <c r="O431" s="3020"/>
      <c r="P431" s="3020"/>
      <c r="Q431" s="3020"/>
      <c r="R431" s="3020"/>
      <c r="S431" s="3020"/>
      <c r="T431" s="3020"/>
      <c r="U431" s="3014"/>
    </row>
    <row r="432" spans="1:21" hidden="1">
      <c r="A432" s="45"/>
      <c r="B432" s="3011" t="str">
        <f t="shared" ref="B432:C432" si="81">B244</f>
        <v>4.2.1</v>
      </c>
      <c r="C432" s="3012" t="str">
        <f t="shared" si="81"/>
        <v>換気量</v>
      </c>
      <c r="D432" s="3012"/>
      <c r="E432" s="1974"/>
      <c r="F432" s="1974"/>
      <c r="G432" s="1974"/>
      <c r="H432" s="1974"/>
      <c r="I432" s="3020"/>
      <c r="J432" s="3020"/>
      <c r="K432" s="3020"/>
      <c r="L432" s="3020"/>
      <c r="M432" s="3020"/>
      <c r="N432" s="3020"/>
      <c r="O432" s="3020"/>
      <c r="P432" s="3020"/>
      <c r="Q432" s="3020"/>
      <c r="R432" s="3020"/>
      <c r="S432" s="3020"/>
      <c r="T432" s="3020"/>
      <c r="U432" s="3014"/>
    </row>
    <row r="433" spans="1:21">
      <c r="A433" s="45"/>
      <c r="B433" s="3011" t="str">
        <f t="shared" ref="B433:C433" si="82">B245</f>
        <v>4.2.2</v>
      </c>
      <c r="C433" s="3012" t="str">
        <f t="shared" si="82"/>
        <v>自然換気性能</v>
      </c>
      <c r="D433" s="3012"/>
      <c r="E433" s="1974"/>
      <c r="F433" s="1974"/>
      <c r="G433" s="1974"/>
      <c r="H433" s="1974"/>
      <c r="I433" s="3031" t="s">
        <v>3370</v>
      </c>
      <c r="J433" s="3031"/>
      <c r="K433" s="3031"/>
      <c r="L433" s="3038">
        <f>採点Q1!H446</f>
        <v>3.3333333333333333E-2</v>
      </c>
      <c r="M433" s="3020"/>
      <c r="N433" s="3020"/>
      <c r="O433" s="3020"/>
      <c r="P433" s="3020"/>
      <c r="Q433" s="3020"/>
      <c r="R433" s="3020"/>
      <c r="S433" s="3020"/>
      <c r="T433" s="3020"/>
      <c r="U433" s="3014"/>
    </row>
    <row r="434" spans="1:21" hidden="1">
      <c r="A434" s="45"/>
      <c r="B434" s="3011" t="str">
        <f t="shared" ref="B434:C434" si="83">B246</f>
        <v>4.2.3</v>
      </c>
      <c r="C434" s="3012" t="str">
        <f t="shared" si="83"/>
        <v>取り入れ外気への配慮</v>
      </c>
      <c r="D434" s="3012"/>
      <c r="E434" s="1974"/>
      <c r="F434" s="1974"/>
      <c r="G434" s="1974"/>
      <c r="H434" s="1974"/>
      <c r="I434" s="3020"/>
      <c r="J434" s="3020"/>
      <c r="K434" s="3020"/>
      <c r="L434" s="3020"/>
      <c r="M434" s="3020"/>
      <c r="N434" s="3020"/>
      <c r="O434" s="3020"/>
      <c r="P434" s="3020"/>
      <c r="Q434" s="3020"/>
      <c r="R434" s="3020"/>
      <c r="S434" s="3020"/>
      <c r="T434" s="3020"/>
      <c r="U434" s="3014"/>
    </row>
    <row r="435" spans="1:21" hidden="1">
      <c r="A435" s="45"/>
      <c r="B435" s="3011" t="str">
        <f t="shared" ref="B435:C435" si="84">B247</f>
        <v>4.2.4</v>
      </c>
      <c r="C435" s="3012">
        <f t="shared" si="84"/>
        <v>0</v>
      </c>
      <c r="D435" s="3012"/>
      <c r="E435" s="1974"/>
      <c r="F435" s="1974"/>
      <c r="G435" s="1974"/>
      <c r="H435" s="1974"/>
      <c r="I435" s="3020"/>
      <c r="J435" s="3020"/>
      <c r="K435" s="3020"/>
      <c r="L435" s="3020"/>
      <c r="M435" s="3020"/>
      <c r="N435" s="3020"/>
      <c r="O435" s="3020"/>
      <c r="P435" s="3020"/>
      <c r="Q435" s="3020"/>
      <c r="R435" s="3020"/>
      <c r="S435" s="3020"/>
      <c r="T435" s="3020"/>
      <c r="U435" s="3014"/>
    </row>
    <row r="436" spans="1:21" hidden="1">
      <c r="A436" s="45"/>
      <c r="B436" s="3011">
        <f t="shared" ref="B436:C436" si="85">B248</f>
        <v>4.3</v>
      </c>
      <c r="C436" s="3012" t="str">
        <f t="shared" si="85"/>
        <v>運用管理</v>
      </c>
      <c r="D436" s="3012"/>
      <c r="E436" s="1974"/>
      <c r="F436" s="1974"/>
      <c r="G436" s="1974"/>
      <c r="H436" s="1974"/>
      <c r="I436" s="3020"/>
      <c r="J436" s="3020"/>
      <c r="K436" s="3020"/>
      <c r="L436" s="3020"/>
      <c r="M436" s="3020"/>
      <c r="N436" s="3020"/>
      <c r="O436" s="3020"/>
      <c r="P436" s="3020"/>
      <c r="Q436" s="3020"/>
      <c r="R436" s="3020"/>
      <c r="S436" s="3020"/>
      <c r="T436" s="3020"/>
      <c r="U436" s="3014"/>
    </row>
    <row r="437" spans="1:21" hidden="1">
      <c r="A437" s="45"/>
      <c r="B437" s="3011" t="str">
        <f t="shared" ref="B437:C437" si="86">B249</f>
        <v>4.3.1</v>
      </c>
      <c r="C437" s="3012" t="str">
        <f t="shared" si="86"/>
        <v>CO2の監視</v>
      </c>
      <c r="D437" s="3012"/>
      <c r="E437" s="1974"/>
      <c r="F437" s="1974"/>
      <c r="G437" s="1974"/>
      <c r="H437" s="1974"/>
      <c r="I437" s="3020"/>
      <c r="J437" s="3020"/>
      <c r="K437" s="3020"/>
      <c r="L437" s="3020"/>
      <c r="M437" s="3020"/>
      <c r="N437" s="3020"/>
      <c r="O437" s="3020"/>
      <c r="P437" s="3020"/>
      <c r="Q437" s="3020"/>
      <c r="R437" s="3020"/>
      <c r="S437" s="3020"/>
      <c r="T437" s="3020"/>
      <c r="U437" s="3014"/>
    </row>
    <row r="438" spans="1:21" hidden="1">
      <c r="A438" s="45"/>
      <c r="B438" s="3011" t="str">
        <f t="shared" ref="B438:C438" si="87">B250</f>
        <v>4.3.2</v>
      </c>
      <c r="C438" s="3012" t="str">
        <f t="shared" si="87"/>
        <v>喫煙の制御</v>
      </c>
      <c r="D438" s="3012"/>
      <c r="E438" s="1974"/>
      <c r="F438" s="1974"/>
      <c r="G438" s="1974"/>
      <c r="H438" s="1974"/>
      <c r="I438" s="3020"/>
      <c r="J438" s="3020"/>
      <c r="K438" s="3020"/>
      <c r="L438" s="3020"/>
      <c r="M438" s="3020"/>
      <c r="N438" s="3020"/>
      <c r="O438" s="3020"/>
      <c r="P438" s="3020"/>
      <c r="Q438" s="3020"/>
      <c r="R438" s="3020"/>
      <c r="S438" s="3020"/>
      <c r="T438" s="3020"/>
      <c r="U438" s="3014"/>
    </row>
    <row r="439" spans="1:21">
      <c r="A439" s="45"/>
      <c r="B439" s="3029" t="str">
        <f t="shared" ref="B439:C439" si="88">B251</f>
        <v>Q2</v>
      </c>
      <c r="C439" s="3030" t="str">
        <f t="shared" si="88"/>
        <v>サービス性能</v>
      </c>
      <c r="D439" s="3012"/>
      <c r="E439" s="1974"/>
      <c r="F439" s="1974"/>
      <c r="G439" s="1974"/>
      <c r="H439" s="1974"/>
      <c r="I439" s="3020"/>
      <c r="J439" s="3020"/>
      <c r="K439" s="3020"/>
      <c r="L439" s="3020"/>
      <c r="M439" s="3020"/>
      <c r="N439" s="3020"/>
      <c r="O439" s="3020"/>
      <c r="P439" s="3020"/>
      <c r="Q439" s="3020"/>
      <c r="R439" s="3020"/>
      <c r="S439" s="3020"/>
      <c r="T439" s="3020"/>
      <c r="U439" s="3014"/>
    </row>
    <row r="440" spans="1:21" hidden="1">
      <c r="A440" s="45"/>
      <c r="B440" s="3011">
        <f t="shared" ref="B440:C440" si="89">B252</f>
        <v>1</v>
      </c>
      <c r="C440" s="3012" t="str">
        <f t="shared" si="89"/>
        <v>機能性</v>
      </c>
      <c r="D440" s="3012"/>
      <c r="E440" s="1974"/>
      <c r="F440" s="1974"/>
      <c r="G440" s="1974"/>
      <c r="H440" s="1974"/>
      <c r="I440" s="3020"/>
      <c r="J440" s="3020"/>
      <c r="K440" s="3020"/>
      <c r="L440" s="3020"/>
      <c r="M440" s="3020"/>
      <c r="N440" s="3020"/>
      <c r="O440" s="3020"/>
      <c r="P440" s="3020"/>
      <c r="Q440" s="3020"/>
      <c r="R440" s="3020"/>
      <c r="S440" s="3020"/>
      <c r="T440" s="3020"/>
      <c r="U440" s="3014"/>
    </row>
    <row r="441" spans="1:21" hidden="1">
      <c r="A441" s="45"/>
      <c r="B441" s="3011">
        <f t="shared" ref="B441:C441" si="90">B253</f>
        <v>1.1000000000000001</v>
      </c>
      <c r="C441" s="3012" t="str">
        <f t="shared" si="90"/>
        <v>機能性・使いやすさ</v>
      </c>
      <c r="D441" s="3012"/>
      <c r="E441" s="1974"/>
      <c r="F441" s="1974"/>
      <c r="G441" s="1974"/>
      <c r="H441" s="1974"/>
      <c r="I441" s="3020"/>
      <c r="J441" s="3020"/>
      <c r="K441" s="3020"/>
      <c r="L441" s="3020"/>
      <c r="M441" s="3020"/>
      <c r="N441" s="3020"/>
      <c r="O441" s="3020"/>
      <c r="P441" s="3020"/>
      <c r="Q441" s="3020"/>
      <c r="R441" s="3020"/>
      <c r="S441" s="3020"/>
      <c r="T441" s="3020"/>
      <c r="U441" s="3014"/>
    </row>
    <row r="442" spans="1:21">
      <c r="A442" s="45"/>
      <c r="B442" s="3011" t="str">
        <f t="shared" ref="B442:C442" si="91">B254</f>
        <v>1.1.1</v>
      </c>
      <c r="C442" s="3012" t="str">
        <f t="shared" si="91"/>
        <v>広さ・収納性</v>
      </c>
      <c r="D442" s="3012"/>
      <c r="E442" s="1974"/>
      <c r="F442" s="1974"/>
      <c r="G442" s="1974"/>
      <c r="H442" s="1974"/>
      <c r="I442" s="3031" t="s">
        <v>3371</v>
      </c>
      <c r="J442" s="3031"/>
      <c r="K442" s="3039">
        <f>採点Q2!H22</f>
        <v>6</v>
      </c>
      <c r="L442" s="3036" t="s">
        <v>3375</v>
      </c>
      <c r="M442" s="3036" t="s">
        <v>3372</v>
      </c>
      <c r="N442" s="3039">
        <f>採点Q2!J22</f>
        <v>8</v>
      </c>
      <c r="O442" s="3036" t="s">
        <v>3376</v>
      </c>
      <c r="P442" s="3036" t="s">
        <v>3373</v>
      </c>
      <c r="Q442" s="3039">
        <f>採点Q2!L22</f>
        <v>15</v>
      </c>
      <c r="R442" s="3036" t="s">
        <v>3374</v>
      </c>
      <c r="S442" s="3039">
        <f>採点Q2!N22</f>
        <v>22</v>
      </c>
      <c r="T442" s="3020"/>
      <c r="U442" s="3014"/>
    </row>
    <row r="443" spans="1:21">
      <c r="A443" s="45"/>
      <c r="B443" s="3011" t="str">
        <f t="shared" ref="B443:C443" si="92">B255</f>
        <v>1.1.2</v>
      </c>
      <c r="C443" s="3012" t="str">
        <f t="shared" si="92"/>
        <v>高度情報通信設備対応</v>
      </c>
      <c r="D443" s="3012"/>
      <c r="E443" s="1974"/>
      <c r="F443" s="1974"/>
      <c r="G443" s="1974"/>
      <c r="H443" s="1974"/>
      <c r="I443" s="3031" t="s">
        <v>3377</v>
      </c>
      <c r="J443" s="3031"/>
      <c r="K443" s="3040">
        <f>採点Q2!G33</f>
        <v>30</v>
      </c>
      <c r="L443" s="3031" t="s">
        <v>3563</v>
      </c>
      <c r="M443" s="3020"/>
      <c r="N443" s="3020"/>
      <c r="O443" s="3020"/>
      <c r="P443" s="3020"/>
      <c r="Q443" s="3020"/>
      <c r="R443" s="3020"/>
      <c r="S443" s="3020"/>
      <c r="T443" s="3020"/>
      <c r="U443" s="3014"/>
    </row>
    <row r="444" spans="1:21" hidden="1">
      <c r="A444" s="45"/>
      <c r="B444" s="3011" t="str">
        <f t="shared" ref="B444:C444" si="93">B256</f>
        <v>1.1.3</v>
      </c>
      <c r="C444" s="3012" t="str">
        <f t="shared" si="93"/>
        <v>バリアフリー計画</v>
      </c>
      <c r="D444" s="3012"/>
      <c r="E444" s="1974"/>
      <c r="F444" s="1974"/>
      <c r="G444" s="1974"/>
      <c r="H444" s="1974"/>
      <c r="I444" s="3020"/>
      <c r="J444" s="3020"/>
      <c r="K444" s="3020"/>
      <c r="L444" s="3020"/>
      <c r="M444" s="3020"/>
      <c r="N444" s="3020"/>
      <c r="O444" s="3020"/>
      <c r="P444" s="3020"/>
      <c r="Q444" s="3020"/>
      <c r="R444" s="3020"/>
      <c r="S444" s="3020"/>
      <c r="T444" s="3020"/>
      <c r="U444" s="3014"/>
    </row>
    <row r="445" spans="1:21" hidden="1">
      <c r="A445" s="45"/>
      <c r="B445" s="3011">
        <f t="shared" ref="B445:C445" si="94">B257</f>
        <v>1.2</v>
      </c>
      <c r="C445" s="3012" t="str">
        <f t="shared" si="94"/>
        <v>心理性・快適性</v>
      </c>
      <c r="D445" s="3012"/>
      <c r="E445" s="1974"/>
      <c r="F445" s="1974"/>
      <c r="G445" s="1974"/>
      <c r="H445" s="1974"/>
      <c r="I445" s="3020"/>
      <c r="J445" s="3020"/>
      <c r="K445" s="3020"/>
      <c r="L445" s="3020"/>
      <c r="M445" s="3020"/>
      <c r="N445" s="3020"/>
      <c r="O445" s="3020"/>
      <c r="P445" s="3020"/>
      <c r="Q445" s="3020"/>
      <c r="R445" s="3020"/>
      <c r="S445" s="3020"/>
      <c r="T445" s="3020"/>
      <c r="U445" s="3014"/>
    </row>
    <row r="446" spans="1:21">
      <c r="A446" s="45"/>
      <c r="B446" s="3011" t="str">
        <f t="shared" ref="B446:C446" si="95">B258</f>
        <v>1.2.1</v>
      </c>
      <c r="C446" s="3012" t="str">
        <f t="shared" si="95"/>
        <v>広さ感・景観</v>
      </c>
      <c r="D446" s="3012"/>
      <c r="E446" s="1974"/>
      <c r="F446" s="1974"/>
      <c r="G446" s="1974"/>
      <c r="H446" s="1974"/>
      <c r="I446" s="3031" t="s">
        <v>3378</v>
      </c>
      <c r="J446" s="3031"/>
      <c r="K446" s="3031">
        <f>採点Q2!L54</f>
        <v>2.5</v>
      </c>
      <c r="L446" s="3031" t="s">
        <v>3564</v>
      </c>
      <c r="M446" s="3020"/>
      <c r="N446" s="3020"/>
      <c r="O446" s="3020"/>
      <c r="P446" s="3020"/>
      <c r="Q446" s="3020"/>
      <c r="R446" s="3020"/>
      <c r="S446" s="3020"/>
      <c r="T446" s="3020"/>
      <c r="U446" s="3014"/>
    </row>
    <row r="447" spans="1:21" hidden="1">
      <c r="A447" s="45"/>
      <c r="B447" s="3011">
        <f t="shared" ref="B447:C447" si="96">B259</f>
        <v>0</v>
      </c>
      <c r="C447" s="3012">
        <f t="shared" si="96"/>
        <v>0</v>
      </c>
      <c r="D447" s="3012"/>
      <c r="E447" s="1974"/>
      <c r="F447" s="1974"/>
      <c r="G447" s="1974"/>
      <c r="H447" s="1974"/>
      <c r="I447" s="3020"/>
      <c r="J447" s="3020"/>
      <c r="K447" s="3020"/>
      <c r="L447" s="3020"/>
      <c r="M447" s="3020"/>
      <c r="N447" s="3020"/>
      <c r="O447" s="3020"/>
      <c r="P447" s="3020"/>
      <c r="Q447" s="3020"/>
      <c r="R447" s="3020"/>
      <c r="S447" s="3020"/>
      <c r="T447" s="3020"/>
      <c r="U447" s="3014"/>
    </row>
    <row r="448" spans="1:21">
      <c r="A448" s="45"/>
      <c r="B448" s="3011" t="str">
        <f t="shared" ref="B448:C448" si="97">B260</f>
        <v>1.2.2</v>
      </c>
      <c r="C448" s="3012" t="str">
        <f t="shared" si="97"/>
        <v>リフレッシュスペース</v>
      </c>
      <c r="D448" s="3012"/>
      <c r="E448" s="1974"/>
      <c r="F448" s="1974"/>
      <c r="G448" s="1974"/>
      <c r="H448" s="1974"/>
      <c r="I448" s="3031" t="s">
        <v>3379</v>
      </c>
      <c r="J448" s="3031"/>
      <c r="K448" s="3031"/>
      <c r="L448" s="3038" t="str">
        <f>採点Q2!M64</f>
        <v>%</v>
      </c>
      <c r="M448" s="3031"/>
      <c r="N448" s="3035" t="s">
        <v>3380</v>
      </c>
      <c r="O448" s="3038" t="str">
        <f>採点Q2!O64</f>
        <v>%</v>
      </c>
      <c r="P448" s="3020"/>
      <c r="Q448" s="3020"/>
      <c r="R448" s="3020"/>
      <c r="S448" s="3020"/>
      <c r="T448" s="3020"/>
      <c r="U448" s="3014"/>
    </row>
    <row r="449" spans="1:21" hidden="1">
      <c r="A449" s="45"/>
      <c r="B449" s="3011" t="str">
        <f t="shared" ref="B449:C449" si="98">B261</f>
        <v>1.2.3</v>
      </c>
      <c r="C449" s="3012" t="str">
        <f t="shared" si="98"/>
        <v>内装計画</v>
      </c>
      <c r="D449" s="3012"/>
      <c r="E449" s="1974"/>
      <c r="F449" s="1974"/>
      <c r="G449" s="1974"/>
      <c r="H449" s="1974"/>
      <c r="I449" s="3020"/>
      <c r="J449" s="3020"/>
      <c r="K449" s="3020"/>
      <c r="L449" s="3020"/>
      <c r="M449" s="3020"/>
      <c r="N449" s="3020"/>
      <c r="O449" s="3020"/>
      <c r="P449" s="3020"/>
      <c r="Q449" s="3020"/>
      <c r="R449" s="3020"/>
      <c r="S449" s="3020"/>
      <c r="T449" s="3020"/>
      <c r="U449" s="3014"/>
    </row>
    <row r="450" spans="1:21" hidden="1">
      <c r="A450" s="45"/>
      <c r="B450" s="3011">
        <f t="shared" ref="B450:C450" si="99">B262</f>
        <v>0</v>
      </c>
      <c r="C450" s="3012">
        <f t="shared" si="99"/>
        <v>0</v>
      </c>
      <c r="D450" s="3012"/>
      <c r="E450" s="1974"/>
      <c r="F450" s="1974"/>
      <c r="G450" s="1974"/>
      <c r="H450" s="1974"/>
      <c r="I450" s="3020"/>
      <c r="J450" s="3020"/>
      <c r="K450" s="3020"/>
      <c r="L450" s="3020"/>
      <c r="M450" s="3020"/>
      <c r="N450" s="3020"/>
      <c r="O450" s="3020"/>
      <c r="P450" s="3020"/>
      <c r="Q450" s="3020"/>
      <c r="R450" s="3020"/>
      <c r="S450" s="3020"/>
      <c r="T450" s="3020"/>
      <c r="U450" s="3014"/>
    </row>
    <row r="451" spans="1:21" hidden="1">
      <c r="A451" s="45"/>
      <c r="B451" s="3011">
        <f t="shared" ref="B451:C451" si="100">B263</f>
        <v>1.3</v>
      </c>
      <c r="C451" s="3012" t="str">
        <f t="shared" si="100"/>
        <v>維持管理</v>
      </c>
      <c r="D451" s="3012"/>
      <c r="E451" s="1974"/>
      <c r="F451" s="1974"/>
      <c r="G451" s="1974"/>
      <c r="H451" s="1974"/>
      <c r="I451" s="3020"/>
      <c r="J451" s="3020"/>
      <c r="K451" s="3020"/>
      <c r="L451" s="3020"/>
      <c r="M451" s="3020"/>
      <c r="N451" s="3020"/>
      <c r="O451" s="3020"/>
      <c r="P451" s="3020"/>
      <c r="Q451" s="3020"/>
      <c r="R451" s="3020"/>
      <c r="S451" s="3020"/>
      <c r="T451" s="3020"/>
      <c r="U451" s="3014"/>
    </row>
    <row r="452" spans="1:21" hidden="1">
      <c r="A452" s="45"/>
      <c r="B452" s="3011" t="str">
        <f t="shared" ref="B452:C452" si="101">B264</f>
        <v>1.3.1</v>
      </c>
      <c r="C452" s="3012" t="str">
        <f t="shared" si="101"/>
        <v>維持管理に配慮した設計</v>
      </c>
      <c r="D452" s="3012"/>
      <c r="E452" s="1974"/>
      <c r="F452" s="1974"/>
      <c r="G452" s="1974"/>
      <c r="H452" s="1974"/>
      <c r="I452" s="3020"/>
      <c r="J452" s="3020"/>
      <c r="K452" s="3020"/>
      <c r="L452" s="3020"/>
      <c r="M452" s="3020"/>
      <c r="N452" s="3020"/>
      <c r="O452" s="3020"/>
      <c r="P452" s="3020"/>
      <c r="Q452" s="3020"/>
      <c r="R452" s="3020"/>
      <c r="S452" s="3020"/>
      <c r="T452" s="3020"/>
      <c r="U452" s="3014"/>
    </row>
    <row r="453" spans="1:21" hidden="1">
      <c r="A453" s="45"/>
      <c r="B453" s="3011" t="str">
        <f t="shared" ref="B453:C453" si="102">B265</f>
        <v>1.3.2</v>
      </c>
      <c r="C453" s="3012" t="str">
        <f t="shared" si="102"/>
        <v>維持管理用機能の確保</v>
      </c>
      <c r="D453" s="3012"/>
      <c r="E453" s="1974"/>
      <c r="F453" s="1974"/>
      <c r="G453" s="1974"/>
      <c r="H453" s="1974"/>
      <c r="I453" s="3020"/>
      <c r="J453" s="3020"/>
      <c r="K453" s="3020"/>
      <c r="L453" s="3020"/>
      <c r="M453" s="3020"/>
      <c r="N453" s="3020"/>
      <c r="O453" s="3020"/>
      <c r="P453" s="3020"/>
      <c r="Q453" s="3020"/>
      <c r="R453" s="3020"/>
      <c r="S453" s="3020"/>
      <c r="T453" s="3020"/>
      <c r="U453" s="3014"/>
    </row>
    <row r="454" spans="1:21" hidden="1">
      <c r="A454" s="45"/>
      <c r="B454" s="3011">
        <f t="shared" ref="B454:C454" si="103">B266</f>
        <v>0</v>
      </c>
      <c r="C454" s="3012">
        <f t="shared" si="103"/>
        <v>0</v>
      </c>
      <c r="D454" s="3012"/>
      <c r="E454" s="1974"/>
      <c r="F454" s="1974"/>
      <c r="G454" s="1974"/>
      <c r="H454" s="1974"/>
      <c r="I454" s="3020"/>
      <c r="J454" s="3020"/>
      <c r="K454" s="3020"/>
      <c r="L454" s="3020"/>
      <c r="M454" s="3020"/>
      <c r="N454" s="3020"/>
      <c r="O454" s="3020"/>
      <c r="P454" s="3020"/>
      <c r="Q454" s="3020"/>
      <c r="R454" s="3020"/>
      <c r="S454" s="3020"/>
      <c r="T454" s="3020"/>
      <c r="U454" s="3014"/>
    </row>
    <row r="455" spans="1:21" hidden="1">
      <c r="A455" s="45"/>
      <c r="B455" s="3011">
        <f t="shared" ref="B455:C455" si="104">B267</f>
        <v>2</v>
      </c>
      <c r="C455" s="3012" t="str">
        <f t="shared" si="104"/>
        <v>耐用性・信頼性</v>
      </c>
      <c r="D455" s="3012"/>
      <c r="E455" s="1974"/>
      <c r="F455" s="1974"/>
      <c r="G455" s="1974"/>
      <c r="H455" s="1974"/>
      <c r="I455" s="3020"/>
      <c r="J455" s="3020"/>
      <c r="K455" s="3020"/>
      <c r="L455" s="3020"/>
      <c r="M455" s="3020"/>
      <c r="N455" s="3020"/>
      <c r="O455" s="3020"/>
      <c r="P455" s="3020"/>
      <c r="Q455" s="3020"/>
      <c r="R455" s="3020"/>
      <c r="S455" s="3020"/>
      <c r="T455" s="3020"/>
      <c r="U455" s="3014"/>
    </row>
    <row r="456" spans="1:21" hidden="1">
      <c r="A456" s="45"/>
      <c r="B456" s="3011">
        <f t="shared" ref="B456:C456" si="105">B268</f>
        <v>2.1</v>
      </c>
      <c r="C456" s="3012" t="str">
        <f t="shared" si="105"/>
        <v>耐震･免震・制震・制振</v>
      </c>
      <c r="D456" s="3012"/>
      <c r="E456" s="1974"/>
      <c r="F456" s="1974"/>
      <c r="G456" s="1974"/>
      <c r="H456" s="1974"/>
      <c r="I456" s="3020"/>
      <c r="J456" s="3020"/>
      <c r="K456" s="3020"/>
      <c r="L456" s="3020"/>
      <c r="M456" s="3020"/>
      <c r="N456" s="3020"/>
      <c r="O456" s="3020"/>
      <c r="P456" s="3020"/>
      <c r="Q456" s="3020"/>
      <c r="R456" s="3020"/>
      <c r="S456" s="3020"/>
      <c r="T456" s="3020"/>
      <c r="U456" s="3014"/>
    </row>
    <row r="457" spans="1:21" hidden="1">
      <c r="A457" s="45"/>
      <c r="B457" s="3011" t="str">
        <f t="shared" ref="B457:C457" si="106">B269</f>
        <v>2.1.1</v>
      </c>
      <c r="C457" s="3012" t="str">
        <f t="shared" si="106"/>
        <v>耐震性</v>
      </c>
      <c r="D457" s="3012"/>
      <c r="E457" s="1974"/>
      <c r="F457" s="1974"/>
      <c r="G457" s="1974"/>
      <c r="H457" s="1974"/>
      <c r="I457" s="3020"/>
      <c r="J457" s="3020"/>
      <c r="K457" s="3020"/>
      <c r="L457" s="3020"/>
      <c r="M457" s="3020"/>
      <c r="N457" s="3020"/>
      <c r="O457" s="3020"/>
      <c r="P457" s="3020"/>
      <c r="Q457" s="3020"/>
      <c r="R457" s="3020"/>
      <c r="S457" s="3020"/>
      <c r="T457" s="3020"/>
      <c r="U457" s="3014"/>
    </row>
    <row r="458" spans="1:21" hidden="1">
      <c r="A458" s="45"/>
      <c r="B458" s="3011" t="str">
        <f t="shared" ref="B458:C458" si="107">B270</f>
        <v>2.1.2</v>
      </c>
      <c r="C458" s="3012" t="str">
        <f t="shared" si="107"/>
        <v>免震・制震・制振性能</v>
      </c>
      <c r="D458" s="3012"/>
      <c r="E458" s="1974"/>
      <c r="F458" s="1974"/>
      <c r="G458" s="1974"/>
      <c r="H458" s="1974"/>
      <c r="I458" s="3020"/>
      <c r="J458" s="3020"/>
      <c r="K458" s="3020"/>
      <c r="L458" s="3020"/>
      <c r="M458" s="3020"/>
      <c r="N458" s="3020"/>
      <c r="O458" s="3020"/>
      <c r="P458" s="3020"/>
      <c r="Q458" s="3020"/>
      <c r="R458" s="3020"/>
      <c r="S458" s="3020"/>
      <c r="T458" s="3020"/>
      <c r="U458" s="3014"/>
    </row>
    <row r="459" spans="1:21" hidden="1">
      <c r="A459" s="45"/>
      <c r="B459" s="3011">
        <f t="shared" ref="B459:C459" si="108">B271</f>
        <v>2.2000000000000002</v>
      </c>
      <c r="C459" s="3012" t="str">
        <f t="shared" si="108"/>
        <v>部品・部材の耐用年数</v>
      </c>
      <c r="D459" s="3012"/>
      <c r="E459" s="1974"/>
      <c r="F459" s="1974"/>
      <c r="G459" s="1974"/>
      <c r="H459" s="1974"/>
      <c r="I459" s="3020"/>
      <c r="J459" s="3020"/>
      <c r="K459" s="3020"/>
      <c r="L459" s="3020"/>
      <c r="M459" s="3020"/>
      <c r="N459" s="3020"/>
      <c r="O459" s="3020"/>
      <c r="P459" s="3020"/>
      <c r="Q459" s="3020"/>
      <c r="R459" s="3020"/>
      <c r="S459" s="3020"/>
      <c r="T459" s="3020"/>
      <c r="U459" s="3014"/>
    </row>
    <row r="460" spans="1:21">
      <c r="A460" s="45"/>
      <c r="B460" s="3011" t="str">
        <f t="shared" ref="B460:C460" si="109">B272</f>
        <v>2.2.1</v>
      </c>
      <c r="C460" s="3012" t="str">
        <f t="shared" si="109"/>
        <v>躯体材料の耐用年数</v>
      </c>
      <c r="D460" s="3012"/>
      <c r="E460" s="1974"/>
      <c r="F460" s="1974"/>
      <c r="G460" s="1974"/>
      <c r="H460" s="1974"/>
      <c r="I460" s="3031" t="s">
        <v>3381</v>
      </c>
      <c r="J460" s="3031"/>
      <c r="K460" s="3036">
        <f>採点Q2!G226</f>
        <v>30</v>
      </c>
      <c r="L460" s="3036" t="s">
        <v>3565</v>
      </c>
      <c r="M460" s="3020"/>
      <c r="N460" s="3020"/>
      <c r="O460" s="3020"/>
      <c r="P460" s="3020"/>
      <c r="Q460" s="3020"/>
      <c r="R460" s="3020"/>
      <c r="S460" s="3020"/>
      <c r="T460" s="3020"/>
      <c r="U460" s="3014"/>
    </row>
    <row r="461" spans="1:21">
      <c r="A461" s="45"/>
      <c r="B461" s="3011" t="str">
        <f t="shared" ref="B461:C461" si="110">B273</f>
        <v>2.2.2</v>
      </c>
      <c r="C461" s="3012" t="str">
        <f t="shared" si="110"/>
        <v>外壁仕上げ材の補修必要間隔</v>
      </c>
      <c r="D461" s="3012"/>
      <c r="E461" s="1974"/>
      <c r="F461" s="1974"/>
      <c r="G461" s="1974"/>
      <c r="H461" s="1974"/>
      <c r="I461" s="3031" t="s">
        <v>3382</v>
      </c>
      <c r="J461" s="3031"/>
      <c r="K461" s="3036">
        <f>採点Q2!L226</f>
        <v>20</v>
      </c>
      <c r="L461" s="3036" t="s">
        <v>3565</v>
      </c>
      <c r="M461" s="3020"/>
      <c r="N461" s="3020"/>
      <c r="O461" s="3020"/>
      <c r="P461" s="3020"/>
      <c r="Q461" s="3020"/>
      <c r="R461" s="3020"/>
      <c r="S461" s="3020"/>
      <c r="T461" s="3020"/>
      <c r="U461" s="3014"/>
    </row>
    <row r="462" spans="1:21">
      <c r="A462" s="45"/>
      <c r="B462" s="3011" t="str">
        <f t="shared" ref="B462:C462" si="111">B274</f>
        <v>2.2.3</v>
      </c>
      <c r="C462" s="3012" t="str">
        <f t="shared" si="111"/>
        <v>主要内装仕上げ材の更新必要間隔</v>
      </c>
      <c r="D462" s="3012"/>
      <c r="E462" s="1974"/>
      <c r="F462" s="1974"/>
      <c r="G462" s="1974"/>
      <c r="H462" s="1974"/>
      <c r="I462" s="3031" t="s">
        <v>3382</v>
      </c>
      <c r="J462" s="3031"/>
      <c r="K462" s="3036">
        <f>採点Q2!G237</f>
        <v>0</v>
      </c>
      <c r="L462" s="3036" t="s">
        <v>3565</v>
      </c>
      <c r="M462" s="3020"/>
      <c r="N462" s="3020"/>
      <c r="O462" s="3020"/>
      <c r="P462" s="3020"/>
      <c r="Q462" s="3020"/>
      <c r="R462" s="3020"/>
      <c r="S462" s="3020"/>
      <c r="T462" s="3020"/>
      <c r="U462" s="3014"/>
    </row>
    <row r="463" spans="1:21" hidden="1">
      <c r="A463" s="45"/>
      <c r="B463" s="3011" t="str">
        <f t="shared" ref="B463:C463" si="112">B275</f>
        <v>2.2.4</v>
      </c>
      <c r="C463" s="3012" t="str">
        <f t="shared" si="112"/>
        <v>空調換気ダクトの更新必要間隔</v>
      </c>
      <c r="D463" s="3012"/>
      <c r="E463" s="1974"/>
      <c r="F463" s="1974"/>
      <c r="G463" s="1974"/>
      <c r="H463" s="1974"/>
      <c r="I463" s="3020"/>
      <c r="J463" s="3020"/>
      <c r="K463" s="3041"/>
      <c r="L463" s="3041"/>
      <c r="M463" s="3020"/>
      <c r="N463" s="3020"/>
      <c r="O463" s="3020"/>
      <c r="P463" s="3020"/>
      <c r="Q463" s="3020"/>
      <c r="R463" s="3020"/>
      <c r="S463" s="3020"/>
      <c r="T463" s="3020"/>
      <c r="U463" s="3014"/>
    </row>
    <row r="464" spans="1:21" hidden="1">
      <c r="A464" s="45"/>
      <c r="B464" s="3011" t="str">
        <f t="shared" ref="B464:C464" si="113">B276</f>
        <v>2.2.5</v>
      </c>
      <c r="C464" s="3012" t="str">
        <f t="shared" si="113"/>
        <v>空調・給排水配管の更新必要間隔</v>
      </c>
      <c r="D464" s="3012"/>
      <c r="E464" s="1974"/>
      <c r="F464" s="1974"/>
      <c r="G464" s="1974"/>
      <c r="H464" s="1974"/>
      <c r="I464" s="3020"/>
      <c r="J464" s="3020"/>
      <c r="K464" s="3041"/>
      <c r="L464" s="3041"/>
      <c r="M464" s="3020"/>
      <c r="N464" s="3020"/>
      <c r="O464" s="3020"/>
      <c r="P464" s="3020"/>
      <c r="Q464" s="3020"/>
      <c r="R464" s="3020"/>
      <c r="S464" s="3020"/>
      <c r="T464" s="3020"/>
      <c r="U464" s="3014"/>
    </row>
    <row r="465" spans="1:21">
      <c r="A465" s="45"/>
      <c r="B465" s="3011" t="str">
        <f t="shared" ref="B465:C465" si="114">B277</f>
        <v>2.2.6</v>
      </c>
      <c r="C465" s="3012" t="str">
        <f t="shared" si="114"/>
        <v>主要設備機器の更新必要間隔</v>
      </c>
      <c r="D465" s="3012"/>
      <c r="E465" s="1974"/>
      <c r="F465" s="1974"/>
      <c r="G465" s="1974"/>
      <c r="H465" s="1974"/>
      <c r="I465" s="3031" t="s">
        <v>3382</v>
      </c>
      <c r="J465" s="3031"/>
      <c r="K465" s="3036">
        <f>採点Q2!L248</f>
        <v>0</v>
      </c>
      <c r="L465" s="3036" t="s">
        <v>3565</v>
      </c>
      <c r="M465" s="3020"/>
      <c r="N465" s="3020"/>
      <c r="O465" s="3020"/>
      <c r="P465" s="3020"/>
      <c r="Q465" s="3020"/>
      <c r="R465" s="3020"/>
      <c r="S465" s="3020"/>
      <c r="T465" s="3020"/>
      <c r="U465" s="3014"/>
    </row>
    <row r="466" spans="1:21" hidden="1">
      <c r="A466" s="45"/>
      <c r="B466" s="3011">
        <f t="shared" ref="B466:C466" si="115">B278</f>
        <v>2.2999999999999998</v>
      </c>
      <c r="C466" s="3012" t="str">
        <f t="shared" si="115"/>
        <v>適切な更新</v>
      </c>
      <c r="D466" s="3012"/>
      <c r="E466" s="1974"/>
      <c r="F466" s="1974"/>
      <c r="G466" s="1974"/>
      <c r="H466" s="1974"/>
      <c r="I466" s="3020"/>
      <c r="J466" s="3020"/>
      <c r="K466" s="3020"/>
      <c r="L466" s="3020"/>
      <c r="M466" s="3020"/>
      <c r="N466" s="3020"/>
      <c r="O466" s="3020"/>
      <c r="P466" s="3020"/>
      <c r="Q466" s="3020"/>
      <c r="R466" s="3020"/>
      <c r="S466" s="3020"/>
      <c r="T466" s="3020"/>
      <c r="U466" s="3014"/>
    </row>
    <row r="467" spans="1:21" hidden="1">
      <c r="A467" s="45"/>
      <c r="B467" s="3011" t="str">
        <f t="shared" ref="B467:C467" si="116">B279</f>
        <v>2.3.1</v>
      </c>
      <c r="C467" s="3012">
        <f t="shared" si="116"/>
        <v>0</v>
      </c>
      <c r="D467" s="3012"/>
      <c r="E467" s="1974"/>
      <c r="F467" s="1974"/>
      <c r="G467" s="1974"/>
      <c r="H467" s="1974"/>
      <c r="I467" s="3020"/>
      <c r="J467" s="3020"/>
      <c r="K467" s="3020"/>
      <c r="L467" s="3020"/>
      <c r="M467" s="3020"/>
      <c r="N467" s="3020"/>
      <c r="O467" s="3020"/>
      <c r="P467" s="3020"/>
      <c r="Q467" s="3020"/>
      <c r="R467" s="3020"/>
      <c r="S467" s="3020"/>
      <c r="T467" s="3020"/>
      <c r="U467" s="3014"/>
    </row>
    <row r="468" spans="1:21" hidden="1">
      <c r="A468" s="45"/>
      <c r="B468" s="3011" t="str">
        <f t="shared" ref="B468:C468" si="117">B280</f>
        <v>2.3.2</v>
      </c>
      <c r="C468" s="3012">
        <f t="shared" si="117"/>
        <v>0</v>
      </c>
      <c r="D468" s="3012"/>
      <c r="E468" s="1974"/>
      <c r="F468" s="1974"/>
      <c r="G468" s="1974"/>
      <c r="H468" s="1974"/>
      <c r="I468" s="3020"/>
      <c r="J468" s="3020"/>
      <c r="K468" s="3020"/>
      <c r="L468" s="3020"/>
      <c r="M468" s="3020"/>
      <c r="N468" s="3020"/>
      <c r="O468" s="3020"/>
      <c r="P468" s="3020"/>
      <c r="Q468" s="3020"/>
      <c r="R468" s="3020"/>
      <c r="S468" s="3020"/>
      <c r="T468" s="3020"/>
      <c r="U468" s="3014"/>
    </row>
    <row r="469" spans="1:21" hidden="1">
      <c r="A469" s="45"/>
      <c r="B469" s="3011" t="str">
        <f t="shared" ref="B469:C469" si="118">B281</f>
        <v>2.3.3</v>
      </c>
      <c r="C469" s="3012">
        <f t="shared" si="118"/>
        <v>0</v>
      </c>
      <c r="D469" s="3012"/>
      <c r="E469" s="1974"/>
      <c r="F469" s="1974"/>
      <c r="G469" s="1974"/>
      <c r="H469" s="1974"/>
      <c r="I469" s="3020"/>
      <c r="J469" s="3020"/>
      <c r="K469" s="3020"/>
      <c r="L469" s="3020"/>
      <c r="M469" s="3020"/>
      <c r="N469" s="3020"/>
      <c r="O469" s="3020"/>
      <c r="P469" s="3020"/>
      <c r="Q469" s="3020"/>
      <c r="R469" s="3020"/>
      <c r="S469" s="3020"/>
      <c r="T469" s="3020"/>
      <c r="U469" s="3014"/>
    </row>
    <row r="470" spans="1:21" hidden="1">
      <c r="A470" s="45"/>
      <c r="B470" s="3011">
        <f t="shared" ref="B470:C470" si="119">B282</f>
        <v>2.4</v>
      </c>
      <c r="C470" s="3012" t="str">
        <f t="shared" si="119"/>
        <v>信頼性</v>
      </c>
      <c r="D470" s="3012"/>
      <c r="E470" s="1974"/>
      <c r="F470" s="1974"/>
      <c r="G470" s="1974"/>
      <c r="H470" s="1974"/>
      <c r="I470" s="3020"/>
      <c r="J470" s="3020"/>
      <c r="K470" s="3020"/>
      <c r="L470" s="3020"/>
      <c r="M470" s="3020"/>
      <c r="N470" s="3020"/>
      <c r="O470" s="3020"/>
      <c r="P470" s="3020"/>
      <c r="Q470" s="3020"/>
      <c r="R470" s="3020"/>
      <c r="S470" s="3020"/>
      <c r="T470" s="3020"/>
      <c r="U470" s="3014"/>
    </row>
    <row r="471" spans="1:21" hidden="1">
      <c r="A471" s="45"/>
      <c r="B471" s="3011" t="str">
        <f t="shared" ref="B471:C471" si="120">B283</f>
        <v>2.4.1</v>
      </c>
      <c r="C471" s="3012" t="str">
        <f t="shared" si="120"/>
        <v>空調・換気設備</v>
      </c>
      <c r="D471" s="3012"/>
      <c r="E471" s="1974"/>
      <c r="F471" s="1974"/>
      <c r="G471" s="1974"/>
      <c r="H471" s="1974"/>
      <c r="I471" s="3020"/>
      <c r="J471" s="3020"/>
      <c r="K471" s="3020"/>
      <c r="L471" s="3020"/>
      <c r="M471" s="3020"/>
      <c r="N471" s="3020"/>
      <c r="O471" s="3020"/>
      <c r="P471" s="3020"/>
      <c r="Q471" s="3020"/>
      <c r="R471" s="3020"/>
      <c r="S471" s="3020"/>
      <c r="T471" s="3020"/>
      <c r="U471" s="3014"/>
    </row>
    <row r="472" spans="1:21" hidden="1">
      <c r="A472" s="45"/>
      <c r="B472" s="3011" t="str">
        <f t="shared" ref="B472:C472" si="121">B284</f>
        <v>2.4.2</v>
      </c>
      <c r="C472" s="3012" t="str">
        <f t="shared" si="121"/>
        <v>給排水・衛生設備</v>
      </c>
      <c r="D472" s="3012"/>
      <c r="E472" s="1974"/>
      <c r="F472" s="1974"/>
      <c r="G472" s="1974"/>
      <c r="H472" s="1974"/>
      <c r="I472" s="3020"/>
      <c r="J472" s="3020"/>
      <c r="K472" s="3020"/>
      <c r="L472" s="3020"/>
      <c r="M472" s="3020"/>
      <c r="N472" s="3020"/>
      <c r="O472" s="3020"/>
      <c r="P472" s="3020"/>
      <c r="Q472" s="3020"/>
      <c r="R472" s="3020"/>
      <c r="S472" s="3020"/>
      <c r="T472" s="3020"/>
      <c r="U472" s="3014"/>
    </row>
    <row r="473" spans="1:21" hidden="1">
      <c r="A473" s="45"/>
      <c r="B473" s="3011" t="str">
        <f t="shared" ref="B473:C473" si="122">B285</f>
        <v>2.4.3</v>
      </c>
      <c r="C473" s="3012" t="str">
        <f t="shared" si="122"/>
        <v>電気設備</v>
      </c>
      <c r="D473" s="3012"/>
      <c r="E473" s="1974"/>
      <c r="F473" s="1974"/>
      <c r="G473" s="1974"/>
      <c r="H473" s="1974"/>
      <c r="I473" s="3020"/>
      <c r="J473" s="3020"/>
      <c r="K473" s="3020"/>
      <c r="L473" s="3020"/>
      <c r="M473" s="3020"/>
      <c r="N473" s="3020"/>
      <c r="O473" s="3020"/>
      <c r="P473" s="3020"/>
      <c r="Q473" s="3020"/>
      <c r="R473" s="3020"/>
      <c r="S473" s="3020"/>
      <c r="T473" s="3020"/>
      <c r="U473" s="3014"/>
    </row>
    <row r="474" spans="1:21" hidden="1">
      <c r="A474" s="45"/>
      <c r="B474" s="3011" t="str">
        <f t="shared" ref="B474:C474" si="123">B286</f>
        <v>2.4.4</v>
      </c>
      <c r="C474" s="3012" t="str">
        <f t="shared" si="123"/>
        <v>機械・配管支持方法</v>
      </c>
      <c r="D474" s="3012"/>
      <c r="E474" s="1974"/>
      <c r="F474" s="1974"/>
      <c r="G474" s="1974"/>
      <c r="H474" s="1974"/>
      <c r="I474" s="3020"/>
      <c r="J474" s="3020"/>
      <c r="K474" s="3020"/>
      <c r="L474" s="3020"/>
      <c r="M474" s="3020"/>
      <c r="N474" s="3020"/>
      <c r="O474" s="3020"/>
      <c r="P474" s="3020"/>
      <c r="Q474" s="3020"/>
      <c r="R474" s="3020"/>
      <c r="S474" s="3020"/>
      <c r="T474" s="3020"/>
      <c r="U474" s="3014"/>
    </row>
    <row r="475" spans="1:21" hidden="1">
      <c r="A475" s="45"/>
      <c r="B475" s="3011" t="str">
        <f t="shared" ref="B475:C475" si="124">B287</f>
        <v>2.4.5</v>
      </c>
      <c r="C475" s="3012" t="str">
        <f t="shared" si="124"/>
        <v>通信・情報設備</v>
      </c>
      <c r="D475" s="3012"/>
      <c r="E475" s="1974"/>
      <c r="F475" s="1974"/>
      <c r="G475" s="1974"/>
      <c r="H475" s="1974"/>
      <c r="I475" s="3020"/>
      <c r="J475" s="3020"/>
      <c r="K475" s="3020"/>
      <c r="L475" s="3020"/>
      <c r="M475" s="3020"/>
      <c r="N475" s="3020"/>
      <c r="O475" s="3020"/>
      <c r="P475" s="3020"/>
      <c r="Q475" s="3020"/>
      <c r="R475" s="3020"/>
      <c r="S475" s="3020"/>
      <c r="T475" s="3020"/>
      <c r="U475" s="3014"/>
    </row>
    <row r="476" spans="1:21" hidden="1">
      <c r="A476" s="45"/>
      <c r="B476" s="3011">
        <f t="shared" ref="B476:C476" si="125">B288</f>
        <v>0</v>
      </c>
      <c r="C476" s="3012">
        <f t="shared" si="125"/>
        <v>0</v>
      </c>
      <c r="D476" s="3012"/>
      <c r="E476" s="1974"/>
      <c r="F476" s="1974"/>
      <c r="G476" s="1974"/>
      <c r="H476" s="1974"/>
      <c r="I476" s="3020"/>
      <c r="J476" s="3020"/>
      <c r="K476" s="3020"/>
      <c r="L476" s="3020"/>
      <c r="M476" s="3020"/>
      <c r="N476" s="3020"/>
      <c r="O476" s="3020"/>
      <c r="P476" s="3020"/>
      <c r="Q476" s="3020"/>
      <c r="R476" s="3020"/>
      <c r="S476" s="3020"/>
      <c r="T476" s="3020"/>
      <c r="U476" s="3014"/>
    </row>
    <row r="477" spans="1:21" hidden="1">
      <c r="A477" s="45"/>
      <c r="B477" s="3011">
        <f t="shared" ref="B477:C477" si="126">B289</f>
        <v>3</v>
      </c>
      <c r="C477" s="3012" t="str">
        <f t="shared" si="126"/>
        <v>対応性・更新性</v>
      </c>
      <c r="D477" s="3012"/>
      <c r="E477" s="1974"/>
      <c r="F477" s="1974"/>
      <c r="G477" s="1974"/>
      <c r="H477" s="1974"/>
      <c r="I477" s="3020"/>
      <c r="J477" s="3020"/>
      <c r="K477" s="3020"/>
      <c r="L477" s="3020"/>
      <c r="M477" s="3020"/>
      <c r="N477" s="3020"/>
      <c r="O477" s="3020"/>
      <c r="P477" s="3020"/>
      <c r="Q477" s="3020"/>
      <c r="R477" s="3020"/>
      <c r="S477" s="3020"/>
      <c r="T477" s="3020"/>
      <c r="U477" s="3014"/>
    </row>
    <row r="478" spans="1:21" hidden="1">
      <c r="A478" s="45"/>
      <c r="B478" s="3011">
        <f t="shared" ref="B478:C478" si="127">B290</f>
        <v>3.1</v>
      </c>
      <c r="C478" s="3012" t="str">
        <f t="shared" si="127"/>
        <v>空間のゆとり</v>
      </c>
      <c r="D478" s="3012"/>
      <c r="E478" s="1974"/>
      <c r="F478" s="1974"/>
      <c r="G478" s="1974"/>
      <c r="H478" s="1974"/>
      <c r="I478" s="3020"/>
      <c r="J478" s="3020"/>
      <c r="K478" s="3020"/>
      <c r="L478" s="3020"/>
      <c r="M478" s="3020"/>
      <c r="N478" s="3020"/>
      <c r="O478" s="3020"/>
      <c r="P478" s="3020"/>
      <c r="Q478" s="3020"/>
      <c r="R478" s="3020"/>
      <c r="S478" s="3020"/>
      <c r="T478" s="3020"/>
      <c r="U478" s="3014"/>
    </row>
    <row r="479" spans="1:21">
      <c r="A479" s="45"/>
      <c r="B479" s="3011" t="str">
        <f t="shared" ref="B479:C479" si="128">B291</f>
        <v>3.1.1</v>
      </c>
      <c r="C479" s="3012" t="str">
        <f t="shared" si="128"/>
        <v>階高のゆとり</v>
      </c>
      <c r="D479" s="3012"/>
      <c r="E479" s="1974"/>
      <c r="F479" s="1974"/>
      <c r="G479" s="1974"/>
      <c r="H479" s="1974"/>
      <c r="I479" s="3031" t="s">
        <v>3383</v>
      </c>
      <c r="J479" s="3031"/>
      <c r="K479" s="3031">
        <f>採点Q2!G369</f>
        <v>3.4</v>
      </c>
      <c r="L479" s="3031" t="s">
        <v>3564</v>
      </c>
      <c r="M479" s="3020"/>
      <c r="N479" s="3020"/>
      <c r="O479" s="3020"/>
      <c r="P479" s="3020"/>
      <c r="Q479" s="3020"/>
      <c r="R479" s="3020"/>
      <c r="S479" s="3020"/>
      <c r="T479" s="3020"/>
      <c r="U479" s="3014"/>
    </row>
    <row r="480" spans="1:21">
      <c r="A480" s="45"/>
      <c r="B480" s="3011" t="str">
        <f t="shared" ref="B480:C480" si="129">B292</f>
        <v>3.1.2</v>
      </c>
      <c r="C480" s="3012" t="str">
        <f t="shared" si="129"/>
        <v>空間の形状・自由さ</v>
      </c>
      <c r="D480" s="3012"/>
      <c r="E480" s="1974"/>
      <c r="F480" s="1974"/>
      <c r="G480" s="1974"/>
      <c r="H480" s="1974"/>
      <c r="I480" s="3031" t="s">
        <v>3384</v>
      </c>
      <c r="J480" s="3031"/>
      <c r="K480" s="3038">
        <f>採点Q2!G380</f>
        <v>0.3</v>
      </c>
      <c r="L480" s="3031"/>
      <c r="M480" s="3020"/>
      <c r="N480" s="3020"/>
      <c r="O480" s="3020"/>
      <c r="P480" s="3020"/>
      <c r="Q480" s="3020"/>
      <c r="R480" s="3020"/>
      <c r="S480" s="3020"/>
      <c r="T480" s="3020"/>
      <c r="U480" s="3014"/>
    </row>
    <row r="481" spans="1:21">
      <c r="A481" s="45"/>
      <c r="B481" s="3011">
        <f t="shared" ref="B481:C481" si="130">B293</f>
        <v>3.2</v>
      </c>
      <c r="C481" s="3012" t="str">
        <f t="shared" si="130"/>
        <v>荷重のゆとり</v>
      </c>
      <c r="D481" s="3012"/>
      <c r="E481" s="1974"/>
      <c r="F481" s="1974"/>
      <c r="G481" s="1974"/>
      <c r="H481" s="1974"/>
      <c r="I481" s="3031" t="s">
        <v>3385</v>
      </c>
      <c r="J481" s="3031"/>
      <c r="K481" s="3042">
        <f>採点Q2!G392</f>
        <v>4000</v>
      </c>
      <c r="L481" s="3031" t="s">
        <v>3567</v>
      </c>
      <c r="M481" s="3020"/>
      <c r="N481" s="3020"/>
      <c r="O481" s="3020"/>
      <c r="P481" s="3020"/>
      <c r="Q481" s="3020"/>
      <c r="R481" s="3020"/>
      <c r="S481" s="3020"/>
      <c r="T481" s="3020"/>
      <c r="U481" s="3014"/>
    </row>
    <row r="482" spans="1:21" hidden="1">
      <c r="A482" s="45"/>
      <c r="B482" s="3011">
        <f t="shared" ref="B482:C482" si="131">B294</f>
        <v>3.3</v>
      </c>
      <c r="C482" s="3012" t="str">
        <f t="shared" si="131"/>
        <v>設備の更新性</v>
      </c>
      <c r="D482" s="3012"/>
      <c r="E482" s="1974"/>
      <c r="F482" s="1974"/>
      <c r="G482" s="1974"/>
      <c r="H482" s="1974"/>
      <c r="I482" s="3020"/>
      <c r="J482" s="3020"/>
      <c r="K482" s="3020"/>
      <c r="L482" s="3020"/>
      <c r="M482" s="3020"/>
      <c r="N482" s="3020"/>
      <c r="O482" s="3020"/>
      <c r="P482" s="3020"/>
      <c r="Q482" s="3020"/>
      <c r="R482" s="3020"/>
      <c r="S482" s="3020"/>
      <c r="T482" s="3020"/>
      <c r="U482" s="3014"/>
    </row>
    <row r="483" spans="1:21" hidden="1">
      <c r="A483" s="45"/>
      <c r="B483" s="3011" t="str">
        <f t="shared" ref="B483:C483" si="132">B295</f>
        <v>3.3.1</v>
      </c>
      <c r="C483" s="3012" t="str">
        <f t="shared" si="132"/>
        <v>空調配管の更新性</v>
      </c>
      <c r="D483" s="3012"/>
      <c r="E483" s="1974"/>
      <c r="F483" s="1974"/>
      <c r="G483" s="1974"/>
      <c r="H483" s="1974"/>
      <c r="I483" s="3020"/>
      <c r="J483" s="3020"/>
      <c r="K483" s="3020"/>
      <c r="L483" s="3020"/>
      <c r="M483" s="3020"/>
      <c r="N483" s="3020"/>
      <c r="O483" s="3020"/>
      <c r="P483" s="3020"/>
      <c r="Q483" s="3020"/>
      <c r="R483" s="3020"/>
      <c r="S483" s="3020"/>
      <c r="T483" s="3020"/>
      <c r="U483" s="3014"/>
    </row>
    <row r="484" spans="1:21" hidden="1">
      <c r="A484" s="45"/>
      <c r="B484" s="3011" t="str">
        <f t="shared" ref="B484:C484" si="133">B296</f>
        <v>3.3.2</v>
      </c>
      <c r="C484" s="3012" t="str">
        <f t="shared" si="133"/>
        <v>給排水管の更新性</v>
      </c>
      <c r="D484" s="3012"/>
      <c r="E484" s="1974"/>
      <c r="F484" s="1974"/>
      <c r="G484" s="1974"/>
      <c r="H484" s="1974"/>
      <c r="I484" s="3020"/>
      <c r="J484" s="3020"/>
      <c r="K484" s="3020"/>
      <c r="L484" s="3020"/>
      <c r="M484" s="3020"/>
      <c r="N484" s="3020"/>
      <c r="O484" s="3020"/>
      <c r="P484" s="3020"/>
      <c r="Q484" s="3020"/>
      <c r="R484" s="3020"/>
      <c r="S484" s="3020"/>
      <c r="T484" s="3020"/>
      <c r="U484" s="3014"/>
    </row>
    <row r="485" spans="1:21" hidden="1">
      <c r="A485" s="45"/>
      <c r="B485" s="3011" t="str">
        <f t="shared" ref="B485:C485" si="134">B297</f>
        <v>3.3.3</v>
      </c>
      <c r="C485" s="3012" t="str">
        <f t="shared" si="134"/>
        <v>電気配線の更新性</v>
      </c>
      <c r="D485" s="3012"/>
      <c r="E485" s="1974"/>
      <c r="F485" s="1974"/>
      <c r="G485" s="1974"/>
      <c r="H485" s="1974"/>
      <c r="I485" s="3020"/>
      <c r="J485" s="3020"/>
      <c r="K485" s="3020"/>
      <c r="L485" s="3020"/>
      <c r="M485" s="3020"/>
      <c r="N485" s="3020"/>
      <c r="O485" s="3020"/>
      <c r="P485" s="3020"/>
      <c r="Q485" s="3020"/>
      <c r="R485" s="3020"/>
      <c r="S485" s="3020"/>
      <c r="T485" s="3020"/>
      <c r="U485" s="3014"/>
    </row>
    <row r="486" spans="1:21" hidden="1">
      <c r="A486" s="45"/>
      <c r="B486" s="3011" t="str">
        <f t="shared" ref="B486:C486" si="135">B298</f>
        <v>3.3.4</v>
      </c>
      <c r="C486" s="3012" t="str">
        <f t="shared" si="135"/>
        <v>通信配線の更新性</v>
      </c>
      <c r="D486" s="3012"/>
      <c r="E486" s="1974"/>
      <c r="F486" s="1974"/>
      <c r="G486" s="1974"/>
      <c r="H486" s="1974"/>
      <c r="I486" s="3020"/>
      <c r="J486" s="3020"/>
      <c r="K486" s="3020"/>
      <c r="L486" s="3020"/>
      <c r="M486" s="3020"/>
      <c r="N486" s="3020"/>
      <c r="O486" s="3020"/>
      <c r="P486" s="3020"/>
      <c r="Q486" s="3020"/>
      <c r="R486" s="3020"/>
      <c r="S486" s="3020"/>
      <c r="T486" s="3020"/>
      <c r="U486" s="3014"/>
    </row>
    <row r="487" spans="1:21" hidden="1">
      <c r="A487" s="45"/>
      <c r="B487" s="3011" t="str">
        <f t="shared" ref="B487:C487" si="136">B299</f>
        <v>3.3.5</v>
      </c>
      <c r="C487" s="3012" t="str">
        <f t="shared" si="136"/>
        <v>設備機器の更新性</v>
      </c>
      <c r="D487" s="3012"/>
      <c r="E487" s="1974"/>
      <c r="F487" s="1974"/>
      <c r="G487" s="1974"/>
      <c r="H487" s="1974"/>
      <c r="I487" s="3020"/>
      <c r="J487" s="3020"/>
      <c r="K487" s="3020"/>
      <c r="L487" s="3020"/>
      <c r="M487" s="3020"/>
      <c r="N487" s="3020"/>
      <c r="O487" s="3020"/>
      <c r="P487" s="3020"/>
      <c r="Q487" s="3020"/>
      <c r="R487" s="3020"/>
      <c r="S487" s="3020"/>
      <c r="T487" s="3020"/>
      <c r="U487" s="3014"/>
    </row>
    <row r="488" spans="1:21" hidden="1">
      <c r="A488" s="45"/>
      <c r="B488" s="3011" t="str">
        <f t="shared" ref="B488:C488" si="137">B300</f>
        <v>3.3.6</v>
      </c>
      <c r="C488" s="3012" t="str">
        <f t="shared" si="137"/>
        <v>バックアップスペースの確保</v>
      </c>
      <c r="D488" s="3012"/>
      <c r="E488" s="1974"/>
      <c r="F488" s="1974"/>
      <c r="G488" s="1974"/>
      <c r="H488" s="1974"/>
      <c r="I488" s="3020"/>
      <c r="J488" s="3020"/>
      <c r="K488" s="3020"/>
      <c r="L488" s="3020"/>
      <c r="M488" s="3020"/>
      <c r="N488" s="3020"/>
      <c r="O488" s="3020"/>
      <c r="P488" s="3020"/>
      <c r="Q488" s="3020"/>
      <c r="R488" s="3020"/>
      <c r="S488" s="3020"/>
      <c r="T488" s="3020"/>
      <c r="U488" s="3014"/>
    </row>
    <row r="489" spans="1:21">
      <c r="A489" s="45"/>
      <c r="B489" s="3029" t="str">
        <f t="shared" ref="B489:C489" si="138">B301</f>
        <v>Q3</v>
      </c>
      <c r="C489" s="3030" t="str">
        <f t="shared" si="138"/>
        <v>室外環境（敷地内）</v>
      </c>
      <c r="D489" s="3012"/>
      <c r="E489" s="1974"/>
      <c r="F489" s="1974"/>
      <c r="G489" s="1974"/>
      <c r="H489" s="1974"/>
      <c r="I489" s="3020"/>
      <c r="J489" s="3020"/>
      <c r="K489" s="3020"/>
      <c r="L489" s="3020"/>
      <c r="M489" s="3020"/>
      <c r="N489" s="3020"/>
      <c r="O489" s="3020"/>
      <c r="P489" s="3020"/>
      <c r="Q489" s="3020"/>
      <c r="R489" s="3020"/>
      <c r="S489" s="3020"/>
      <c r="T489" s="3020"/>
      <c r="U489" s="3014"/>
    </row>
    <row r="490" spans="1:21">
      <c r="A490" s="45"/>
      <c r="B490" s="3011">
        <f t="shared" ref="B490:C490" si="139">B302</f>
        <v>1</v>
      </c>
      <c r="C490" s="3012" t="str">
        <f t="shared" si="139"/>
        <v>生物資源の保全と創出</v>
      </c>
      <c r="D490" s="3012"/>
      <c r="E490" s="1974"/>
      <c r="F490" s="1974"/>
      <c r="G490" s="1974"/>
      <c r="H490" s="1974"/>
      <c r="I490" s="3031" t="s">
        <v>3386</v>
      </c>
      <c r="J490" s="3031"/>
      <c r="K490" s="3043">
        <f>採点Q3!G20</f>
        <v>0.34</v>
      </c>
      <c r="L490" s="3031"/>
      <c r="M490" s="3031" t="s">
        <v>3387</v>
      </c>
      <c r="N490" s="3031"/>
      <c r="O490" s="3043">
        <f>採点Q3!G21</f>
        <v>0.05</v>
      </c>
      <c r="P490" s="3020"/>
      <c r="Q490" s="3020"/>
      <c r="R490" s="3020"/>
      <c r="S490" s="3020"/>
      <c r="T490" s="3020"/>
      <c r="U490" s="3014"/>
    </row>
    <row r="491" spans="1:21" hidden="1">
      <c r="A491" s="45"/>
      <c r="B491" s="3011">
        <f t="shared" ref="B491:C491" si="140">B303</f>
        <v>1</v>
      </c>
      <c r="C491" s="3012">
        <f t="shared" si="140"/>
        <v>0</v>
      </c>
      <c r="D491" s="3012"/>
      <c r="E491" s="1974"/>
      <c r="F491" s="1974"/>
      <c r="G491" s="1974"/>
      <c r="H491" s="1974"/>
      <c r="I491" s="3020"/>
      <c r="J491" s="3020"/>
      <c r="K491" s="3020"/>
      <c r="L491" s="3020"/>
      <c r="M491" s="3020"/>
      <c r="N491" s="3020"/>
      <c r="O491" s="3020"/>
      <c r="P491" s="3020"/>
      <c r="Q491" s="3020"/>
      <c r="R491" s="3020"/>
      <c r="S491" s="3020"/>
      <c r="T491" s="3020"/>
      <c r="U491" s="3014"/>
    </row>
    <row r="492" spans="1:21" hidden="1">
      <c r="A492" s="45"/>
      <c r="B492" s="3011">
        <f t="shared" ref="B492:C492" si="141">B304</f>
        <v>1.1000000000000001</v>
      </c>
      <c r="C492" s="3012">
        <f t="shared" si="141"/>
        <v>0</v>
      </c>
      <c r="D492" s="3012"/>
      <c r="E492" s="1974"/>
      <c r="F492" s="1974"/>
      <c r="G492" s="1974"/>
      <c r="H492" s="1974"/>
      <c r="I492" s="3020"/>
      <c r="J492" s="3020"/>
      <c r="K492" s="3020"/>
      <c r="L492" s="3020"/>
      <c r="M492" s="3020"/>
      <c r="N492" s="3020"/>
      <c r="O492" s="3020"/>
      <c r="P492" s="3020"/>
      <c r="Q492" s="3020"/>
      <c r="R492" s="3020"/>
      <c r="S492" s="3020"/>
      <c r="T492" s="3020"/>
      <c r="U492" s="3014"/>
    </row>
    <row r="493" spans="1:21" hidden="1">
      <c r="A493" s="45"/>
      <c r="B493" s="3011">
        <f t="shared" ref="B493:C493" si="142">B305</f>
        <v>2</v>
      </c>
      <c r="C493" s="3012" t="str">
        <f t="shared" si="142"/>
        <v>まちなみ・景観への配慮</v>
      </c>
      <c r="D493" s="3012"/>
      <c r="E493" s="1974"/>
      <c r="F493" s="1974"/>
      <c r="G493" s="1974"/>
      <c r="H493" s="1974"/>
      <c r="I493" s="3020"/>
      <c r="J493" s="3020"/>
      <c r="K493" s="3020"/>
      <c r="L493" s="3020"/>
      <c r="M493" s="3020"/>
      <c r="N493" s="3020"/>
      <c r="O493" s="3020"/>
      <c r="P493" s="3020"/>
      <c r="Q493" s="3020"/>
      <c r="R493" s="3020"/>
      <c r="S493" s="3020"/>
      <c r="T493" s="3020"/>
      <c r="U493" s="3014"/>
    </row>
    <row r="494" spans="1:21" hidden="1">
      <c r="A494" s="45"/>
      <c r="B494" s="3011">
        <f t="shared" ref="B494:C494" si="143">B306</f>
        <v>3</v>
      </c>
      <c r="C494" s="3012" t="str">
        <f t="shared" si="143"/>
        <v>地域性・アメニティへの配慮</v>
      </c>
      <c r="D494" s="3012"/>
      <c r="E494" s="1974"/>
      <c r="F494" s="1974"/>
      <c r="G494" s="1974"/>
      <c r="H494" s="1974"/>
      <c r="I494" s="3020"/>
      <c r="J494" s="3020"/>
      <c r="K494" s="3020"/>
      <c r="L494" s="3020"/>
      <c r="M494" s="3020"/>
      <c r="N494" s="3020"/>
      <c r="O494" s="3020"/>
      <c r="P494" s="3020"/>
      <c r="Q494" s="3020"/>
      <c r="R494" s="3020"/>
      <c r="S494" s="3020"/>
      <c r="T494" s="3020"/>
      <c r="U494" s="3014"/>
    </row>
    <row r="495" spans="1:21" hidden="1">
      <c r="A495" s="45"/>
      <c r="B495" s="3011" t="str">
        <f t="shared" ref="B495:C495" si="144">B307</f>
        <v>3.1</v>
      </c>
      <c r="C495" s="3012" t="str">
        <f t="shared" si="144"/>
        <v>地域性への配慮、快適性の向上</v>
      </c>
      <c r="D495" s="3012"/>
      <c r="E495" s="1974"/>
      <c r="F495" s="1974"/>
      <c r="G495" s="1974"/>
      <c r="H495" s="1974"/>
      <c r="I495" s="3020"/>
      <c r="J495" s="3020"/>
      <c r="K495" s="3020"/>
      <c r="L495" s="3020"/>
      <c r="M495" s="3020"/>
      <c r="N495" s="3020"/>
      <c r="O495" s="3020"/>
      <c r="P495" s="3020"/>
      <c r="Q495" s="3020"/>
      <c r="R495" s="3020"/>
      <c r="S495" s="3020"/>
      <c r="T495" s="3020"/>
      <c r="U495" s="3014"/>
    </row>
    <row r="496" spans="1:21">
      <c r="A496" s="45"/>
      <c r="B496" s="3011" t="str">
        <f t="shared" ref="B496:C496" si="145">B308</f>
        <v>3.2</v>
      </c>
      <c r="C496" s="3012" t="str">
        <f t="shared" si="145"/>
        <v>敷地内温熱環境の向上</v>
      </c>
      <c r="D496" s="3012"/>
      <c r="E496" s="1974"/>
      <c r="F496" s="1974"/>
      <c r="G496" s="1974"/>
      <c r="H496" s="1974"/>
      <c r="I496" s="3031" t="s">
        <v>3388</v>
      </c>
      <c r="J496" s="3044">
        <f>採点Q3!H103</f>
        <v>0.2</v>
      </c>
      <c r="K496" s="3031"/>
      <c r="L496" s="3031"/>
      <c r="M496" s="3035" t="s">
        <v>3389</v>
      </c>
      <c r="N496" s="3044">
        <f>採点Q3!H105</f>
        <v>0.1</v>
      </c>
      <c r="O496" s="3031"/>
      <c r="P496" s="3035" t="s">
        <v>3568</v>
      </c>
      <c r="Q496" s="3044">
        <f>採点Q3!H106</f>
        <v>0.13</v>
      </c>
      <c r="R496" s="3031"/>
      <c r="S496" s="3031" t="s">
        <v>3392</v>
      </c>
      <c r="T496" s="3044">
        <f>採点Q3!H107</f>
        <v>0.06</v>
      </c>
      <c r="U496" s="3014"/>
    </row>
    <row r="497" spans="1:21" hidden="1">
      <c r="A497" s="45"/>
      <c r="B497" s="3011">
        <f t="shared" ref="B497:C497" si="146">B309</f>
        <v>0</v>
      </c>
      <c r="C497" s="3012">
        <f t="shared" si="146"/>
        <v>0</v>
      </c>
      <c r="D497" s="3012"/>
      <c r="E497" s="1974"/>
      <c r="F497" s="1974"/>
      <c r="G497" s="1974"/>
      <c r="H497" s="1974"/>
      <c r="I497" s="3020"/>
      <c r="J497" s="3020"/>
      <c r="K497" s="3020"/>
      <c r="L497" s="3020"/>
      <c r="M497" s="3020"/>
      <c r="N497" s="3020"/>
      <c r="O497" s="3020"/>
      <c r="P497" s="3020"/>
      <c r="Q497" s="3020"/>
      <c r="R497" s="3020"/>
      <c r="S497" s="3020"/>
      <c r="T497" s="3020"/>
      <c r="U497" s="3014"/>
    </row>
    <row r="498" spans="1:21" hidden="1">
      <c r="A498" s="45"/>
      <c r="B498" s="3011" t="str">
        <f t="shared" ref="B498:C498" si="147">B310</f>
        <v>LR</v>
      </c>
      <c r="C498" s="3012" t="str">
        <f t="shared" si="147"/>
        <v>建築物の環境負荷低減性</v>
      </c>
      <c r="D498" s="3012"/>
      <c r="E498" s="1974"/>
      <c r="F498" s="1974"/>
      <c r="G498" s="1974"/>
      <c r="H498" s="1974"/>
      <c r="I498" s="3020"/>
      <c r="J498" s="3020"/>
      <c r="K498" s="3020"/>
      <c r="L498" s="3020"/>
      <c r="M498" s="3020"/>
      <c r="N498" s="3020"/>
      <c r="O498" s="3020"/>
      <c r="P498" s="3020"/>
      <c r="Q498" s="3020"/>
      <c r="R498" s="3020"/>
      <c r="S498" s="3020"/>
      <c r="T498" s="3020"/>
      <c r="U498" s="3014"/>
    </row>
    <row r="499" spans="1:21">
      <c r="A499" s="45"/>
      <c r="B499" s="3029" t="str">
        <f t="shared" ref="B499:C499" si="148">B311</f>
        <v>LR1</v>
      </c>
      <c r="C499" s="3030" t="str">
        <f t="shared" si="148"/>
        <v>エネルギー</v>
      </c>
      <c r="D499" s="3012"/>
      <c r="E499" s="1974"/>
      <c r="F499" s="1974"/>
      <c r="G499" s="1974"/>
      <c r="H499" s="1974"/>
      <c r="I499" s="3020"/>
      <c r="J499" s="3020"/>
      <c r="K499" s="3020"/>
      <c r="L499" s="3020"/>
      <c r="M499" s="3020"/>
      <c r="N499" s="3020"/>
      <c r="O499" s="3020"/>
      <c r="P499" s="3020"/>
      <c r="Q499" s="3020"/>
      <c r="R499" s="3020"/>
      <c r="S499" s="3020"/>
      <c r="T499" s="3020"/>
      <c r="U499" s="3014"/>
    </row>
    <row r="500" spans="1:21">
      <c r="A500" s="45"/>
      <c r="B500" s="3011">
        <f t="shared" ref="B500:C500" si="149">B312</f>
        <v>1</v>
      </c>
      <c r="C500" s="3012" t="str">
        <f t="shared" si="149"/>
        <v>建物外皮の熱負荷抑制</v>
      </c>
      <c r="D500" s="3012"/>
      <c r="E500" s="1974"/>
      <c r="F500" s="1974"/>
      <c r="G500" s="1974"/>
      <c r="H500" s="1974"/>
      <c r="I500" s="3031" t="s">
        <v>3393</v>
      </c>
      <c r="J500" s="3031"/>
      <c r="K500" s="3045">
        <f>計画書!H6</f>
        <v>0.97</v>
      </c>
      <c r="L500" s="3031"/>
      <c r="M500" s="3035" t="s">
        <v>3780</v>
      </c>
      <c r="N500" s="3035"/>
      <c r="O500" s="3046" t="str">
        <f>計画書!H9</f>
        <v>等級2</v>
      </c>
      <c r="P500" s="3034" t="s">
        <v>3779</v>
      </c>
      <c r="Q500" s="3031"/>
      <c r="R500" s="3031"/>
      <c r="S500" s="3035"/>
      <c r="T500" s="3031"/>
      <c r="U500" s="3014"/>
    </row>
    <row r="501" spans="1:21">
      <c r="A501" s="45"/>
      <c r="B501" s="3011">
        <f t="shared" ref="B501:C501" si="150">B313</f>
        <v>2</v>
      </c>
      <c r="C501" s="3012" t="str">
        <f t="shared" si="150"/>
        <v>自然エネルギー利用</v>
      </c>
      <c r="D501" s="3012"/>
      <c r="E501" s="1974"/>
      <c r="F501" s="1974"/>
      <c r="G501" s="1974"/>
      <c r="H501" s="1974"/>
      <c r="I501" s="3031" t="s">
        <v>3590</v>
      </c>
      <c r="J501" s="3031"/>
      <c r="K501" s="3031"/>
      <c r="L501" s="3031">
        <f>採点LR1!H41</f>
        <v>0</v>
      </c>
      <c r="M501" s="3031" t="s">
        <v>3569</v>
      </c>
      <c r="N501" s="3031"/>
      <c r="O501" s="3031"/>
      <c r="P501" s="3035" t="s">
        <v>3580</v>
      </c>
      <c r="Q501" s="3038">
        <f>採点LR1!L41</f>
        <v>0.8</v>
      </c>
      <c r="R501" s="3031"/>
      <c r="S501" s="3035" t="s">
        <v>3394</v>
      </c>
      <c r="T501" s="3038">
        <f>採点LR1!O41</f>
        <v>0.8</v>
      </c>
      <c r="U501" s="3014"/>
    </row>
    <row r="502" spans="1:21">
      <c r="A502" s="45"/>
      <c r="B502" s="3011"/>
      <c r="C502" s="3012"/>
      <c r="D502" s="3012"/>
      <c r="E502" s="1974"/>
      <c r="F502" s="1974"/>
      <c r="G502" s="1974"/>
      <c r="H502" s="1974"/>
      <c r="I502" s="3020"/>
      <c r="J502" s="3020"/>
      <c r="K502" s="3020"/>
      <c r="L502" s="3020"/>
      <c r="M502" s="3020"/>
      <c r="N502" s="3020"/>
      <c r="O502" s="3031"/>
      <c r="P502" s="3035" t="s">
        <v>3588</v>
      </c>
      <c r="Q502" s="3038">
        <f>採点LR1!L42</f>
        <v>0.8</v>
      </c>
      <c r="R502" s="3031"/>
      <c r="S502" s="3035" t="s">
        <v>3589</v>
      </c>
      <c r="T502" s="3038">
        <f>採点LR1!O42</f>
        <v>0.8</v>
      </c>
      <c r="U502" s="3014"/>
    </row>
    <row r="503" spans="1:21" hidden="1">
      <c r="A503" s="45"/>
      <c r="B503" s="3011">
        <f t="shared" ref="B503:C503" si="151">B315</f>
        <v>0</v>
      </c>
      <c r="C503" s="3012">
        <f t="shared" si="151"/>
        <v>0</v>
      </c>
      <c r="D503" s="3012"/>
      <c r="E503" s="1974"/>
      <c r="F503" s="1974"/>
      <c r="G503" s="1974"/>
      <c r="H503" s="1974"/>
      <c r="I503" s="3020"/>
      <c r="J503" s="3020"/>
      <c r="K503" s="3020"/>
      <c r="L503" s="3020"/>
      <c r="M503" s="3020"/>
      <c r="N503" s="3020"/>
      <c r="O503" s="3020"/>
      <c r="P503" s="3020"/>
      <c r="Q503" s="3020"/>
      <c r="R503" s="3020"/>
      <c r="S503" s="3020"/>
      <c r="T503" s="3020"/>
      <c r="U503" s="3014"/>
    </row>
    <row r="504" spans="1:21" hidden="1">
      <c r="A504" s="45"/>
      <c r="B504" s="3011" t="str">
        <f t="shared" ref="B504:C504" si="152">B316</f>
        <v>2.1</v>
      </c>
      <c r="C504" s="3012">
        <f t="shared" si="152"/>
        <v>0</v>
      </c>
      <c r="D504" s="3012"/>
      <c r="E504" s="1974"/>
      <c r="F504" s="1974"/>
      <c r="G504" s="1974"/>
      <c r="H504" s="1974"/>
      <c r="I504" s="3020"/>
      <c r="J504" s="3020"/>
      <c r="K504" s="3020"/>
      <c r="L504" s="3020"/>
      <c r="M504" s="3020"/>
      <c r="N504" s="3020"/>
      <c r="O504" s="3020"/>
      <c r="P504" s="3020"/>
      <c r="Q504" s="3020"/>
      <c r="R504" s="3020"/>
      <c r="S504" s="3020"/>
      <c r="T504" s="3020"/>
      <c r="U504" s="3014"/>
    </row>
    <row r="505" spans="1:21" hidden="1">
      <c r="A505" s="45"/>
      <c r="B505" s="3011" t="str">
        <f t="shared" ref="B505:C505" si="153">B317</f>
        <v>2.2</v>
      </c>
      <c r="C505" s="3012">
        <f t="shared" si="153"/>
        <v>0</v>
      </c>
      <c r="D505" s="3012"/>
      <c r="E505" s="1974"/>
      <c r="F505" s="1974"/>
      <c r="G505" s="1974"/>
      <c r="H505" s="1974"/>
      <c r="I505" s="3020"/>
      <c r="J505" s="3020"/>
      <c r="K505" s="3020"/>
      <c r="L505" s="3020"/>
      <c r="M505" s="3020"/>
      <c r="N505" s="3020"/>
      <c r="O505" s="3020"/>
      <c r="P505" s="3020"/>
      <c r="Q505" s="3020"/>
      <c r="R505" s="3020"/>
      <c r="S505" s="3020"/>
      <c r="T505" s="3020"/>
      <c r="U505" s="3014"/>
    </row>
    <row r="506" spans="1:21">
      <c r="A506" s="45"/>
      <c r="B506" s="3011">
        <f t="shared" ref="B506:C506" si="154">B318</f>
        <v>3</v>
      </c>
      <c r="C506" s="3012" t="str">
        <f t="shared" si="154"/>
        <v>設備システムの高効率化</v>
      </c>
      <c r="D506" s="3012"/>
      <c r="E506" s="1974"/>
      <c r="F506" s="1974"/>
      <c r="G506" s="1974"/>
      <c r="H506" s="1974"/>
      <c r="I506" s="3031" t="s">
        <v>3393</v>
      </c>
      <c r="J506" s="3031"/>
      <c r="K506" s="3035" t="s">
        <v>3782</v>
      </c>
      <c r="L506" s="3047">
        <f>計画書!H27</f>
        <v>0.8</v>
      </c>
      <c r="M506" s="3035" t="s">
        <v>3781</v>
      </c>
      <c r="N506" s="3045">
        <f>採点LR1!G74</f>
        <v>0</v>
      </c>
      <c r="O506" s="3035" t="s">
        <v>3798</v>
      </c>
      <c r="P506" s="3048">
        <f>採点LR1!I74</f>
        <v>0</v>
      </c>
      <c r="Q506" s="3035" t="s">
        <v>3799</v>
      </c>
      <c r="R506" s="3048">
        <f>採点LR1!K74</f>
        <v>0</v>
      </c>
      <c r="S506" s="3035" t="s">
        <v>3395</v>
      </c>
      <c r="T506" s="3048">
        <f>採点LR1!M74</f>
        <v>0</v>
      </c>
      <c r="U506" s="3014"/>
    </row>
    <row r="507" spans="1:21" hidden="1">
      <c r="A507" s="45"/>
      <c r="B507" s="3011" t="str">
        <f t="shared" ref="B507:C507" si="155">B319</f>
        <v>3a.3b</v>
      </c>
      <c r="C507" s="3012" t="str">
        <f t="shared" si="155"/>
        <v>非住宅部分</v>
      </c>
      <c r="D507" s="3012"/>
      <c r="E507" s="1974"/>
      <c r="F507" s="1974"/>
      <c r="G507" s="1974"/>
      <c r="H507" s="1974"/>
      <c r="I507" s="3020"/>
      <c r="J507" s="3020"/>
      <c r="K507" s="3020"/>
      <c r="L507" s="3020"/>
      <c r="M507" s="3020"/>
      <c r="N507" s="3020"/>
      <c r="O507" s="3020"/>
      <c r="P507" s="3020"/>
      <c r="Q507" s="3020"/>
      <c r="R507" s="3020"/>
      <c r="S507" s="3020"/>
      <c r="T507" s="3020"/>
      <c r="U507" s="3014"/>
    </row>
    <row r="508" spans="1:21" hidden="1">
      <c r="A508" s="45"/>
      <c r="B508" s="3011" t="str">
        <f t="shared" ref="B508:C508" si="156">B320</f>
        <v>3b.c</v>
      </c>
      <c r="C508" s="3012" t="str">
        <f t="shared" si="156"/>
        <v>集合住宅の評価</v>
      </c>
      <c r="D508" s="3012"/>
      <c r="E508" s="1974"/>
      <c r="F508" s="1974"/>
      <c r="G508" s="1974"/>
      <c r="H508" s="1974"/>
      <c r="I508" s="3020"/>
      <c r="J508" s="3020"/>
      <c r="K508" s="3020"/>
      <c r="L508" s="3020"/>
      <c r="M508" s="3020"/>
      <c r="N508" s="3020"/>
      <c r="O508" s="3020"/>
      <c r="P508" s="3020"/>
      <c r="Q508" s="3020"/>
      <c r="R508" s="3020"/>
      <c r="S508" s="3020"/>
      <c r="T508" s="3020"/>
      <c r="U508" s="3014"/>
    </row>
    <row r="509" spans="1:21" hidden="1">
      <c r="A509" s="45"/>
      <c r="B509" s="3011">
        <f t="shared" ref="B509:C509" si="157">B321</f>
        <v>3.1</v>
      </c>
      <c r="C509" s="3012" t="str">
        <f t="shared" si="157"/>
        <v>空調設備</v>
      </c>
      <c r="D509" s="3012"/>
      <c r="E509" s="1974"/>
      <c r="F509" s="1974"/>
      <c r="G509" s="1974"/>
      <c r="H509" s="1974"/>
      <c r="I509" s="3020"/>
      <c r="J509" s="3020"/>
      <c r="K509" s="3020"/>
      <c r="L509" s="3020"/>
      <c r="M509" s="3020"/>
      <c r="N509" s="3020"/>
      <c r="O509" s="3020"/>
      <c r="P509" s="3020"/>
      <c r="Q509" s="3020"/>
      <c r="R509" s="3020"/>
      <c r="S509" s="3020"/>
      <c r="T509" s="3020"/>
      <c r="U509" s="3014"/>
    </row>
    <row r="510" spans="1:21" hidden="1">
      <c r="A510" s="45"/>
      <c r="B510" s="3011">
        <f t="shared" ref="B510:C510" si="158">B322</f>
        <v>3.2</v>
      </c>
      <c r="C510" s="3012" t="str">
        <f t="shared" si="158"/>
        <v>換気設備</v>
      </c>
      <c r="D510" s="3012"/>
      <c r="E510" s="1974"/>
      <c r="F510" s="1974"/>
      <c r="G510" s="1974"/>
      <c r="H510" s="1974"/>
      <c r="I510" s="3020"/>
      <c r="J510" s="3020"/>
      <c r="K510" s="3020"/>
      <c r="L510" s="3020"/>
      <c r="M510" s="3020"/>
      <c r="N510" s="3020"/>
      <c r="O510" s="3020"/>
      <c r="P510" s="3020"/>
      <c r="Q510" s="3020"/>
      <c r="R510" s="3020"/>
      <c r="S510" s="3020"/>
      <c r="T510" s="3020"/>
      <c r="U510" s="3014"/>
    </row>
    <row r="511" spans="1:21" hidden="1">
      <c r="A511" s="45"/>
      <c r="B511" s="3011">
        <f t="shared" ref="B511:C511" si="159">B323</f>
        <v>3.3</v>
      </c>
      <c r="C511" s="3012" t="str">
        <f t="shared" si="159"/>
        <v>照明設備</v>
      </c>
      <c r="D511" s="3012"/>
      <c r="E511" s="1974"/>
      <c r="F511" s="1974"/>
      <c r="G511" s="1974"/>
      <c r="H511" s="1974"/>
      <c r="I511" s="3020"/>
      <c r="J511" s="3020"/>
      <c r="K511" s="3020"/>
      <c r="L511" s="3020"/>
      <c r="M511" s="3020"/>
      <c r="N511" s="3020"/>
      <c r="O511" s="3020"/>
      <c r="P511" s="3020"/>
      <c r="Q511" s="3020"/>
      <c r="R511" s="3020"/>
      <c r="S511" s="3020"/>
      <c r="T511" s="3020"/>
      <c r="U511" s="3014"/>
    </row>
    <row r="512" spans="1:21" hidden="1">
      <c r="A512" s="45"/>
      <c r="B512" s="3011">
        <f t="shared" ref="B512:C512" si="160">B324</f>
        <v>3.4</v>
      </c>
      <c r="C512" s="3012" t="str">
        <f t="shared" si="160"/>
        <v>給湯設備</v>
      </c>
      <c r="D512" s="3012"/>
      <c r="E512" s="1974"/>
      <c r="F512" s="1974"/>
      <c r="G512" s="1974"/>
      <c r="H512" s="1974"/>
      <c r="I512" s="3020"/>
      <c r="J512" s="3020"/>
      <c r="K512" s="3020"/>
      <c r="L512" s="3020"/>
      <c r="M512" s="3020"/>
      <c r="N512" s="3020"/>
      <c r="O512" s="3020"/>
      <c r="P512" s="3020"/>
      <c r="Q512" s="3020"/>
      <c r="R512" s="3020"/>
      <c r="S512" s="3020"/>
      <c r="T512" s="3020"/>
      <c r="U512" s="3014"/>
    </row>
    <row r="513" spans="1:21" hidden="1">
      <c r="A513" s="45"/>
      <c r="B513" s="3011">
        <f t="shared" ref="B513:C513" si="161">B325</f>
        <v>3.5</v>
      </c>
      <c r="C513" s="3012" t="str">
        <f t="shared" si="161"/>
        <v>昇降機設備</v>
      </c>
      <c r="D513" s="3012"/>
      <c r="E513" s="1974"/>
      <c r="F513" s="1974"/>
      <c r="G513" s="1974"/>
      <c r="H513" s="1974"/>
      <c r="I513" s="3020"/>
      <c r="J513" s="3020"/>
      <c r="K513" s="3020"/>
      <c r="L513" s="3020"/>
      <c r="M513" s="3020"/>
      <c r="N513" s="3020"/>
      <c r="O513" s="3020"/>
      <c r="P513" s="3020"/>
      <c r="Q513" s="3020"/>
      <c r="R513" s="3020"/>
      <c r="S513" s="3020"/>
      <c r="T513" s="3020"/>
      <c r="U513" s="3014"/>
    </row>
    <row r="514" spans="1:21" hidden="1">
      <c r="A514" s="45"/>
      <c r="B514" s="3011">
        <f t="shared" ref="B514:C514" si="162">B326</f>
        <v>0</v>
      </c>
      <c r="C514" s="3012">
        <f t="shared" si="162"/>
        <v>0</v>
      </c>
      <c r="D514" s="3012"/>
      <c r="E514" s="1974"/>
      <c r="F514" s="1974"/>
      <c r="G514" s="1974"/>
      <c r="H514" s="1974"/>
      <c r="I514" s="3020"/>
      <c r="J514" s="3020"/>
      <c r="K514" s="3020"/>
      <c r="L514" s="3020"/>
      <c r="M514" s="3020"/>
      <c r="N514" s="3020"/>
      <c r="O514" s="3020"/>
      <c r="P514" s="3020"/>
      <c r="Q514" s="3020"/>
      <c r="R514" s="3020"/>
      <c r="S514" s="3020"/>
      <c r="T514" s="3020"/>
      <c r="U514" s="3014"/>
    </row>
    <row r="515" spans="1:21" hidden="1">
      <c r="A515" s="45"/>
      <c r="B515" s="3011">
        <f t="shared" ref="B515:C515" si="163">B327</f>
        <v>4</v>
      </c>
      <c r="C515" s="3012" t="str">
        <f t="shared" si="163"/>
        <v>効率的運用</v>
      </c>
      <c r="D515" s="3012"/>
      <c r="E515" s="1974"/>
      <c r="F515" s="1974"/>
      <c r="G515" s="1974"/>
      <c r="H515" s="1974"/>
      <c r="I515" s="3020"/>
      <c r="J515" s="3020"/>
      <c r="K515" s="3020"/>
      <c r="L515" s="3020"/>
      <c r="M515" s="3020"/>
      <c r="N515" s="3020"/>
      <c r="O515" s="3020"/>
      <c r="P515" s="3020"/>
      <c r="Q515" s="3020"/>
      <c r="R515" s="3020"/>
      <c r="S515" s="3020"/>
      <c r="T515" s="3020"/>
      <c r="U515" s="3014"/>
    </row>
    <row r="516" spans="1:21" hidden="1">
      <c r="A516" s="45"/>
      <c r="B516" s="3011">
        <f t="shared" ref="B516:C516" si="164">B328</f>
        <v>4.0999999999999996</v>
      </c>
      <c r="C516" s="3012" t="str">
        <f t="shared" si="164"/>
        <v>住宅以外の評価</v>
      </c>
      <c r="D516" s="3012"/>
      <c r="E516" s="1974"/>
      <c r="F516" s="1974"/>
      <c r="G516" s="1974"/>
      <c r="H516" s="1974"/>
      <c r="I516" s="3020"/>
      <c r="J516" s="3020"/>
      <c r="K516" s="3020"/>
      <c r="L516" s="3020"/>
      <c r="M516" s="3020"/>
      <c r="N516" s="3020"/>
      <c r="O516" s="3020"/>
      <c r="P516" s="3020"/>
      <c r="Q516" s="3020"/>
      <c r="R516" s="3020"/>
      <c r="S516" s="3020"/>
      <c r="T516" s="3020"/>
      <c r="U516" s="3014"/>
    </row>
    <row r="517" spans="1:21" hidden="1">
      <c r="A517" s="45"/>
      <c r="B517" s="3011" t="str">
        <f t="shared" ref="B517:C517" si="165">B329</f>
        <v>4.1.1</v>
      </c>
      <c r="C517" s="3012" t="str">
        <f t="shared" si="165"/>
        <v>モニタリング</v>
      </c>
      <c r="D517" s="3012"/>
      <c r="E517" s="1974"/>
      <c r="F517" s="1974"/>
      <c r="G517" s="1974"/>
      <c r="H517" s="1974"/>
      <c r="I517" s="3020"/>
      <c r="J517" s="3020"/>
      <c r="K517" s="3020"/>
      <c r="L517" s="3020"/>
      <c r="M517" s="3020"/>
      <c r="N517" s="3020"/>
      <c r="O517" s="3020"/>
      <c r="P517" s="3020"/>
      <c r="Q517" s="3020"/>
      <c r="R517" s="3020"/>
      <c r="S517" s="3020"/>
      <c r="T517" s="3020"/>
      <c r="U517" s="3014"/>
    </row>
    <row r="518" spans="1:21" hidden="1">
      <c r="A518" s="45"/>
      <c r="B518" s="3011" t="str">
        <f t="shared" ref="B518:C518" si="166">B330</f>
        <v>4.1.2</v>
      </c>
      <c r="C518" s="3012" t="str">
        <f t="shared" si="166"/>
        <v>運用管理体制</v>
      </c>
      <c r="D518" s="3012"/>
      <c r="E518" s="1974"/>
      <c r="F518" s="1974"/>
      <c r="G518" s="1974"/>
      <c r="H518" s="1974"/>
      <c r="I518" s="3020"/>
      <c r="J518" s="3020"/>
      <c r="K518" s="3020"/>
      <c r="L518" s="3020"/>
      <c r="M518" s="3020"/>
      <c r="N518" s="3020"/>
      <c r="O518" s="3020"/>
      <c r="P518" s="3020"/>
      <c r="Q518" s="3020"/>
      <c r="R518" s="3020"/>
      <c r="S518" s="3020"/>
      <c r="T518" s="3020"/>
      <c r="U518" s="3014"/>
    </row>
    <row r="519" spans="1:21" hidden="1">
      <c r="A519" s="45"/>
      <c r="B519" s="3011">
        <f t="shared" ref="B519:C519" si="167">B331</f>
        <v>4.2</v>
      </c>
      <c r="C519" s="3012" t="str">
        <f t="shared" si="167"/>
        <v>住宅の評価</v>
      </c>
      <c r="D519" s="3012"/>
      <c r="E519" s="1974"/>
      <c r="F519" s="1974"/>
      <c r="G519" s="1974"/>
      <c r="H519" s="1974"/>
      <c r="I519" s="3020"/>
      <c r="J519" s="3020"/>
      <c r="K519" s="3020"/>
      <c r="L519" s="3020"/>
      <c r="M519" s="3020"/>
      <c r="N519" s="3020"/>
      <c r="O519" s="3020"/>
      <c r="P519" s="3020"/>
      <c r="Q519" s="3020"/>
      <c r="R519" s="3020"/>
      <c r="S519" s="3020"/>
      <c r="T519" s="3020"/>
      <c r="U519" s="3014"/>
    </row>
    <row r="520" spans="1:21" hidden="1">
      <c r="A520" s="45"/>
      <c r="B520" s="3011" t="str">
        <f t="shared" ref="B520:C520" si="168">B332</f>
        <v>4.2.1</v>
      </c>
      <c r="C520" s="3012" t="str">
        <f t="shared" si="168"/>
        <v>モニタリング</v>
      </c>
      <c r="D520" s="3012"/>
      <c r="E520" s="1974"/>
      <c r="F520" s="1974"/>
      <c r="G520" s="1974"/>
      <c r="H520" s="1974"/>
      <c r="I520" s="3020"/>
      <c r="J520" s="3020"/>
      <c r="K520" s="3020"/>
      <c r="L520" s="3020"/>
      <c r="M520" s="3020"/>
      <c r="N520" s="3020"/>
      <c r="O520" s="3020"/>
      <c r="P520" s="3020"/>
      <c r="Q520" s="3020"/>
      <c r="R520" s="3020"/>
      <c r="S520" s="3020"/>
      <c r="T520" s="3020"/>
      <c r="U520" s="3014"/>
    </row>
    <row r="521" spans="1:21" hidden="1">
      <c r="A521" s="45"/>
      <c r="B521" s="3011" t="str">
        <f t="shared" ref="B521:C521" si="169">B333</f>
        <v>4.2.2</v>
      </c>
      <c r="C521" s="3012" t="str">
        <f t="shared" si="169"/>
        <v>運用管理体制</v>
      </c>
      <c r="D521" s="3012"/>
      <c r="E521" s="1974"/>
      <c r="F521" s="1974"/>
      <c r="G521" s="1974"/>
      <c r="H521" s="1974"/>
      <c r="I521" s="3020"/>
      <c r="J521" s="3020"/>
      <c r="K521" s="3020"/>
      <c r="L521" s="3020"/>
      <c r="M521" s="3020"/>
      <c r="N521" s="3020"/>
      <c r="O521" s="3020"/>
      <c r="P521" s="3020"/>
      <c r="Q521" s="3020"/>
      <c r="R521" s="3020"/>
      <c r="S521" s="3020"/>
      <c r="T521" s="3020"/>
      <c r="U521" s="3014"/>
    </row>
    <row r="522" spans="1:21">
      <c r="A522" s="45"/>
      <c r="B522" s="3029" t="str">
        <f t="shared" ref="B522:C522" si="170">B334</f>
        <v>LR2</v>
      </c>
      <c r="C522" s="3030" t="str">
        <f t="shared" si="170"/>
        <v>資源・マテリアル</v>
      </c>
      <c r="D522" s="3012"/>
      <c r="E522" s="1974"/>
      <c r="F522" s="1974"/>
      <c r="G522" s="1974"/>
      <c r="H522" s="1974"/>
      <c r="I522" s="3020"/>
      <c r="J522" s="3020"/>
      <c r="K522" s="3020"/>
      <c r="L522" s="3020"/>
      <c r="M522" s="3020"/>
      <c r="N522" s="3020"/>
      <c r="O522" s="3020"/>
      <c r="P522" s="3020"/>
      <c r="Q522" s="3020"/>
      <c r="R522" s="3020"/>
      <c r="S522" s="3020"/>
      <c r="T522" s="3020"/>
      <c r="U522" s="3014"/>
    </row>
    <row r="523" spans="1:21" hidden="1">
      <c r="A523" s="45"/>
      <c r="B523" s="3011">
        <f t="shared" ref="B523:C523" si="171">B335</f>
        <v>1</v>
      </c>
      <c r="C523" s="3012" t="str">
        <f t="shared" si="171"/>
        <v>水資源保護</v>
      </c>
      <c r="D523" s="3012"/>
      <c r="E523" s="1974"/>
      <c r="F523" s="1974"/>
      <c r="G523" s="1974"/>
      <c r="H523" s="1974"/>
      <c r="I523" s="3020"/>
      <c r="J523" s="3020"/>
      <c r="K523" s="3020"/>
      <c r="L523" s="3020"/>
      <c r="M523" s="3020"/>
      <c r="N523" s="3020"/>
      <c r="O523" s="3020"/>
      <c r="P523" s="3020"/>
      <c r="Q523" s="3020"/>
      <c r="R523" s="3020"/>
      <c r="S523" s="3020"/>
      <c r="T523" s="3020"/>
      <c r="U523" s="3014"/>
    </row>
    <row r="524" spans="1:21" hidden="1">
      <c r="A524" s="45"/>
      <c r="B524" s="3011">
        <f t="shared" ref="B524:C524" si="172">B336</f>
        <v>1.1000000000000001</v>
      </c>
      <c r="C524" s="3012" t="str">
        <f t="shared" si="172"/>
        <v>節水</v>
      </c>
      <c r="D524" s="3012"/>
      <c r="E524" s="1974"/>
      <c r="F524" s="1974"/>
      <c r="G524" s="1974"/>
      <c r="H524" s="1974"/>
      <c r="I524" s="3020"/>
      <c r="J524" s="3020"/>
      <c r="K524" s="3020"/>
      <c r="L524" s="3020"/>
      <c r="M524" s="3020"/>
      <c r="N524" s="3020"/>
      <c r="O524" s="3020"/>
      <c r="P524" s="3020"/>
      <c r="Q524" s="3020"/>
      <c r="R524" s="3020"/>
      <c r="S524" s="3020"/>
      <c r="T524" s="3020"/>
      <c r="U524" s="3014"/>
    </row>
    <row r="525" spans="1:21" hidden="1">
      <c r="A525" s="45"/>
      <c r="B525" s="3011">
        <f t="shared" ref="B525:C525" si="173">B337</f>
        <v>1.2</v>
      </c>
      <c r="C525" s="3012" t="str">
        <f t="shared" si="173"/>
        <v>雨水利用・雑排水再利用</v>
      </c>
      <c r="D525" s="3012"/>
      <c r="E525" s="1974"/>
      <c r="F525" s="1974"/>
      <c r="G525" s="1974"/>
      <c r="H525" s="1974"/>
      <c r="I525" s="3020"/>
      <c r="J525" s="3020"/>
      <c r="K525" s="3020"/>
      <c r="L525" s="3020"/>
      <c r="M525" s="3020"/>
      <c r="N525" s="3020"/>
      <c r="O525" s="3020"/>
      <c r="P525" s="3020"/>
      <c r="Q525" s="3020"/>
      <c r="R525" s="3020"/>
      <c r="S525" s="3020"/>
      <c r="T525" s="3020"/>
      <c r="U525" s="3014"/>
    </row>
    <row r="526" spans="1:21">
      <c r="A526" s="45"/>
      <c r="B526" s="3011" t="str">
        <f t="shared" ref="B526:C526" si="174">B338</f>
        <v>1.2.1</v>
      </c>
      <c r="C526" s="3012" t="str">
        <f t="shared" si="174"/>
        <v>雨水利用システム導入の有無</v>
      </c>
      <c r="D526" s="3012"/>
      <c r="E526" s="1974"/>
      <c r="F526" s="1974"/>
      <c r="G526" s="1974"/>
      <c r="H526" s="1974"/>
      <c r="I526" s="3031" t="s">
        <v>3396</v>
      </c>
      <c r="J526" s="3031"/>
      <c r="K526" s="3038">
        <f>採点LR2!G32</f>
        <v>0</v>
      </c>
      <c r="L526" s="3020"/>
      <c r="M526" s="3020"/>
      <c r="N526" s="3020"/>
      <c r="O526" s="3020"/>
      <c r="P526" s="3020"/>
      <c r="Q526" s="3020"/>
      <c r="R526" s="3020"/>
      <c r="S526" s="3020"/>
      <c r="T526" s="3020"/>
      <c r="U526" s="3014"/>
    </row>
    <row r="527" spans="1:21" hidden="1">
      <c r="A527" s="45"/>
      <c r="B527" s="3011" t="str">
        <f t="shared" ref="B527:C527" si="175">B339</f>
        <v>1.2.2</v>
      </c>
      <c r="C527" s="3012" t="str">
        <f t="shared" si="175"/>
        <v>雑排水等再利用システム導入の有無</v>
      </c>
      <c r="D527" s="3012"/>
      <c r="E527" s="1974"/>
      <c r="F527" s="1974"/>
      <c r="G527" s="1974"/>
      <c r="H527" s="1974"/>
      <c r="I527" s="3049"/>
      <c r="J527" s="3049"/>
      <c r="K527" s="3020"/>
      <c r="L527" s="3020"/>
      <c r="M527" s="3020"/>
      <c r="N527" s="3020"/>
      <c r="O527" s="3020"/>
      <c r="P527" s="3020"/>
      <c r="Q527" s="3020"/>
      <c r="R527" s="3020"/>
      <c r="S527" s="3020"/>
      <c r="T527" s="3020"/>
      <c r="U527" s="3014"/>
    </row>
    <row r="528" spans="1:21" hidden="1">
      <c r="A528" s="45"/>
      <c r="B528" s="3011">
        <f t="shared" ref="B528:C528" si="176">B340</f>
        <v>2</v>
      </c>
      <c r="C528" s="3012" t="str">
        <f t="shared" si="176"/>
        <v>非再生性資源の使用量削減</v>
      </c>
      <c r="D528" s="3012"/>
      <c r="E528" s="1974"/>
      <c r="F528" s="1974"/>
      <c r="G528" s="1974"/>
      <c r="H528" s="1974"/>
      <c r="I528" s="3020"/>
      <c r="J528" s="3020"/>
      <c r="K528" s="3020"/>
      <c r="L528" s="3020"/>
      <c r="M528" s="3020"/>
      <c r="N528" s="3020"/>
      <c r="O528" s="3020"/>
      <c r="P528" s="3020"/>
      <c r="Q528" s="3020"/>
      <c r="R528" s="3020"/>
      <c r="S528" s="3020"/>
      <c r="T528" s="3020"/>
      <c r="U528" s="3014"/>
    </row>
    <row r="529" spans="1:21" hidden="1">
      <c r="A529" s="45"/>
      <c r="B529" s="3011" t="str">
        <f t="shared" ref="B529:C529" si="177">B341</f>
        <v>2.1</v>
      </c>
      <c r="C529" s="3012" t="str">
        <f t="shared" si="177"/>
        <v>材料使用量の削減</v>
      </c>
      <c r="D529" s="3012"/>
      <c r="E529" s="1974"/>
      <c r="F529" s="1974"/>
      <c r="G529" s="1974"/>
      <c r="H529" s="1974"/>
      <c r="I529" s="3020"/>
      <c r="J529" s="3020"/>
      <c r="K529" s="3020"/>
      <c r="L529" s="3020"/>
      <c r="M529" s="3020"/>
      <c r="N529" s="3020"/>
      <c r="O529" s="3020"/>
      <c r="P529" s="3020"/>
      <c r="Q529" s="3020"/>
      <c r="R529" s="3020"/>
      <c r="S529" s="3020"/>
      <c r="T529" s="3020"/>
      <c r="U529" s="3014"/>
    </row>
    <row r="530" spans="1:21" hidden="1">
      <c r="A530" s="45"/>
      <c r="B530" s="3011" t="str">
        <f t="shared" ref="B530:C530" si="178">B342</f>
        <v>2.2</v>
      </c>
      <c r="C530" s="3012" t="str">
        <f t="shared" si="178"/>
        <v>既存建築躯体等の継続使用</v>
      </c>
      <c r="D530" s="3012"/>
      <c r="E530" s="1974"/>
      <c r="F530" s="1974"/>
      <c r="G530" s="1974"/>
      <c r="H530" s="1974"/>
      <c r="I530" s="3020"/>
      <c r="J530" s="3020"/>
      <c r="K530" s="3020"/>
      <c r="L530" s="3020"/>
      <c r="M530" s="3020"/>
      <c r="N530" s="3020"/>
      <c r="O530" s="3020"/>
      <c r="P530" s="3020"/>
      <c r="Q530" s="3020"/>
      <c r="R530" s="3020"/>
      <c r="S530" s="3020"/>
      <c r="T530" s="3020"/>
      <c r="U530" s="3014"/>
    </row>
    <row r="531" spans="1:21" hidden="1">
      <c r="A531" s="45"/>
      <c r="B531" s="3011" t="str">
        <f t="shared" ref="B531:C531" si="179">B343</f>
        <v>2.3</v>
      </c>
      <c r="C531" s="3012" t="str">
        <f t="shared" si="179"/>
        <v>躯体材料におけるリサイクル材の使用</v>
      </c>
      <c r="D531" s="3012"/>
      <c r="E531" s="1974"/>
      <c r="F531" s="1974"/>
      <c r="G531" s="1974"/>
      <c r="H531" s="1974"/>
      <c r="I531" s="3020"/>
      <c r="J531" s="3020"/>
      <c r="K531" s="3020"/>
      <c r="L531" s="3020"/>
      <c r="M531" s="3020"/>
      <c r="N531" s="3020"/>
      <c r="O531" s="3020"/>
      <c r="P531" s="3020"/>
      <c r="Q531" s="3020"/>
      <c r="R531" s="3020"/>
      <c r="S531" s="3020"/>
      <c r="T531" s="3020"/>
      <c r="U531" s="3014"/>
    </row>
    <row r="532" spans="1:21">
      <c r="A532" s="45"/>
      <c r="B532" s="3011" t="str">
        <f t="shared" ref="B532:C532" si="180">B344</f>
        <v>2.4</v>
      </c>
      <c r="C532" s="3012" t="str">
        <f t="shared" si="180"/>
        <v>躯体材料以外におけるリサイクル材の使用</v>
      </c>
      <c r="D532" s="3012"/>
      <c r="E532" s="1974"/>
      <c r="F532" s="1974"/>
      <c r="G532" s="1974"/>
      <c r="H532" s="1974"/>
      <c r="I532" s="3031" t="s">
        <v>3408</v>
      </c>
      <c r="J532" s="3031"/>
      <c r="K532" s="3045">
        <f>採点LR2!I95</f>
        <v>0</v>
      </c>
      <c r="L532" s="3031"/>
      <c r="M532" s="3031" t="s">
        <v>3409</v>
      </c>
      <c r="N532" s="3031"/>
      <c r="O532" s="3045">
        <f>採点LR2!I96</f>
        <v>0</v>
      </c>
      <c r="P532" s="3031"/>
      <c r="Q532" s="3031"/>
      <c r="R532" s="3035" t="s">
        <v>3762</v>
      </c>
      <c r="S532" s="3045">
        <f>採点LR2!I97</f>
        <v>0</v>
      </c>
      <c r="T532" s="3031"/>
      <c r="U532" s="3014"/>
    </row>
    <row r="533" spans="1:21">
      <c r="A533" s="45"/>
      <c r="B533" s="3011" t="str">
        <f t="shared" ref="B533:C533" si="181">B345</f>
        <v>2.5</v>
      </c>
      <c r="C533" s="3012" t="str">
        <f t="shared" si="181"/>
        <v>持続可能な森林から産出された木材</v>
      </c>
      <c r="D533" s="3012"/>
      <c r="E533" s="1974"/>
      <c r="F533" s="1974"/>
      <c r="G533" s="1974"/>
      <c r="H533" s="1974"/>
      <c r="I533" s="3038" t="s">
        <v>3397</v>
      </c>
      <c r="J533" s="3038"/>
      <c r="K533" s="3038">
        <f>採点LR2!G108</f>
        <v>0.05</v>
      </c>
      <c r="L533" s="3020"/>
      <c r="M533" s="3020"/>
      <c r="N533" s="3020"/>
      <c r="O533" s="3020"/>
      <c r="P533" s="3020"/>
      <c r="Q533" s="3020"/>
      <c r="R533" s="3020"/>
      <c r="S533" s="3020"/>
      <c r="T533" s="3020"/>
      <c r="U533" s="3014"/>
    </row>
    <row r="534" spans="1:21" hidden="1">
      <c r="A534" s="45"/>
      <c r="B534" s="3011" t="str">
        <f t="shared" ref="B534:C534" si="182">B346</f>
        <v>2.6</v>
      </c>
      <c r="C534" s="3012" t="str">
        <f t="shared" si="182"/>
        <v>部材の再利用可能性向上への取組み</v>
      </c>
      <c r="D534" s="3012"/>
      <c r="E534" s="1974"/>
      <c r="F534" s="1974"/>
      <c r="G534" s="1974"/>
      <c r="H534" s="1974"/>
      <c r="I534" s="3020"/>
      <c r="J534" s="3020"/>
      <c r="K534" s="3020"/>
      <c r="L534" s="3020"/>
      <c r="M534" s="3020"/>
      <c r="N534" s="3020"/>
      <c r="O534" s="3020"/>
      <c r="P534" s="3020"/>
      <c r="Q534" s="3020"/>
      <c r="R534" s="3020"/>
      <c r="S534" s="3020"/>
      <c r="T534" s="3020"/>
      <c r="U534" s="3014"/>
    </row>
    <row r="535" spans="1:21" hidden="1">
      <c r="A535" s="45"/>
      <c r="B535" s="3011" t="str">
        <f t="shared" ref="B535:C535" si="183">B347</f>
        <v>2.6</v>
      </c>
      <c r="C535" s="3012">
        <f t="shared" si="183"/>
        <v>0</v>
      </c>
      <c r="D535" s="3012"/>
      <c r="E535" s="1974"/>
      <c r="F535" s="1974"/>
      <c r="G535" s="1974"/>
      <c r="H535" s="1974"/>
      <c r="I535" s="3020"/>
      <c r="J535" s="3020"/>
      <c r="K535" s="3020"/>
      <c r="L535" s="3020"/>
      <c r="M535" s="3020"/>
      <c r="N535" s="3020"/>
      <c r="O535" s="3020"/>
      <c r="P535" s="3020"/>
      <c r="Q535" s="3020"/>
      <c r="R535" s="3020"/>
      <c r="S535" s="3020"/>
      <c r="T535" s="3020"/>
      <c r="U535" s="3014"/>
    </row>
    <row r="536" spans="1:21" hidden="1">
      <c r="A536" s="45"/>
      <c r="B536" s="3011" t="str">
        <f t="shared" ref="B536:C536" si="184">B348</f>
        <v>2.6.1</v>
      </c>
      <c r="C536" s="3012">
        <f t="shared" si="184"/>
        <v>0</v>
      </c>
      <c r="D536" s="3012"/>
      <c r="E536" s="1974"/>
      <c r="F536" s="1974"/>
      <c r="G536" s="1974"/>
      <c r="H536" s="1974"/>
      <c r="I536" s="3020"/>
      <c r="J536" s="3020"/>
      <c r="K536" s="3020"/>
      <c r="L536" s="3020"/>
      <c r="M536" s="3020"/>
      <c r="N536" s="3020"/>
      <c r="O536" s="3020"/>
      <c r="P536" s="3020"/>
      <c r="Q536" s="3020"/>
      <c r="R536" s="3020"/>
      <c r="S536" s="3020"/>
      <c r="T536" s="3020"/>
      <c r="U536" s="3014"/>
    </row>
    <row r="537" spans="1:21" hidden="1">
      <c r="A537" s="45"/>
      <c r="B537" s="3011" t="str">
        <f t="shared" ref="B537:C537" si="185">B349</f>
        <v>2.6.2</v>
      </c>
      <c r="C537" s="3012">
        <f t="shared" si="185"/>
        <v>0</v>
      </c>
      <c r="D537" s="3012"/>
      <c r="E537" s="1974"/>
      <c r="F537" s="1974"/>
      <c r="G537" s="1974"/>
      <c r="H537" s="1974"/>
      <c r="I537" s="3020"/>
      <c r="J537" s="3020"/>
      <c r="K537" s="3020"/>
      <c r="L537" s="3020"/>
      <c r="M537" s="3020"/>
      <c r="N537" s="3020"/>
      <c r="O537" s="3020"/>
      <c r="P537" s="3020"/>
      <c r="Q537" s="3020"/>
      <c r="R537" s="3020"/>
      <c r="S537" s="3020"/>
      <c r="T537" s="3020"/>
      <c r="U537" s="3014"/>
    </row>
    <row r="538" spans="1:21" hidden="1">
      <c r="A538" s="45"/>
      <c r="B538" s="3011" t="str">
        <f t="shared" ref="B538:C538" si="186">B350</f>
        <v>2.6.3</v>
      </c>
      <c r="C538" s="3012">
        <f t="shared" si="186"/>
        <v>0</v>
      </c>
      <c r="D538" s="3012"/>
      <c r="E538" s="1974"/>
      <c r="F538" s="1974"/>
      <c r="G538" s="1974"/>
      <c r="H538" s="1974"/>
      <c r="I538" s="3020"/>
      <c r="J538" s="3020"/>
      <c r="K538" s="3020"/>
      <c r="L538" s="3020"/>
      <c r="M538" s="3020"/>
      <c r="N538" s="3020"/>
      <c r="O538" s="3020"/>
      <c r="P538" s="3020"/>
      <c r="Q538" s="3020"/>
      <c r="R538" s="3020"/>
      <c r="S538" s="3020"/>
      <c r="T538" s="3020"/>
      <c r="U538" s="3014"/>
    </row>
    <row r="539" spans="1:21" hidden="1">
      <c r="A539" s="45"/>
      <c r="B539" s="3011" t="str">
        <f t="shared" ref="B539:C539" si="187">B351</f>
        <v>2.6.4</v>
      </c>
      <c r="C539" s="3012">
        <f t="shared" si="187"/>
        <v>0</v>
      </c>
      <c r="D539" s="3012"/>
      <c r="E539" s="1974"/>
      <c r="F539" s="1974"/>
      <c r="G539" s="1974"/>
      <c r="H539" s="1974"/>
      <c r="I539" s="3020"/>
      <c r="J539" s="3020"/>
      <c r="K539" s="3020"/>
      <c r="L539" s="3020"/>
      <c r="M539" s="3020"/>
      <c r="N539" s="3020"/>
      <c r="O539" s="3020"/>
      <c r="P539" s="3020"/>
      <c r="Q539" s="3020"/>
      <c r="R539" s="3020"/>
      <c r="S539" s="3020"/>
      <c r="T539" s="3020"/>
      <c r="U539" s="3014"/>
    </row>
    <row r="540" spans="1:21" hidden="1">
      <c r="A540" s="45"/>
      <c r="B540" s="3011" t="str">
        <f t="shared" ref="B540:C540" si="188">B352</f>
        <v>2.6.5</v>
      </c>
      <c r="C540" s="3012">
        <f t="shared" si="188"/>
        <v>0</v>
      </c>
      <c r="D540" s="3012"/>
      <c r="E540" s="1974"/>
      <c r="F540" s="1974"/>
      <c r="G540" s="1974"/>
      <c r="H540" s="1974"/>
      <c r="I540" s="3020"/>
      <c r="J540" s="3020"/>
      <c r="K540" s="3020"/>
      <c r="L540" s="3020"/>
      <c r="M540" s="3020"/>
      <c r="N540" s="3020"/>
      <c r="O540" s="3020"/>
      <c r="P540" s="3020"/>
      <c r="Q540" s="3020"/>
      <c r="R540" s="3020"/>
      <c r="S540" s="3020"/>
      <c r="T540" s="3020"/>
      <c r="U540" s="3014"/>
    </row>
    <row r="541" spans="1:21" hidden="1">
      <c r="A541" s="45"/>
      <c r="B541" s="3011" t="str">
        <f t="shared" ref="B541:C541" si="189">B353</f>
        <v>2.6.6</v>
      </c>
      <c r="C541" s="3012">
        <f t="shared" si="189"/>
        <v>0</v>
      </c>
      <c r="D541" s="3012"/>
      <c r="E541" s="1974"/>
      <c r="F541" s="1974"/>
      <c r="G541" s="1974"/>
      <c r="H541" s="1974"/>
      <c r="I541" s="3020"/>
      <c r="J541" s="3020"/>
      <c r="K541" s="3020"/>
      <c r="L541" s="3020"/>
      <c r="M541" s="3020"/>
      <c r="N541" s="3020"/>
      <c r="O541" s="3020"/>
      <c r="P541" s="3020"/>
      <c r="Q541" s="3020"/>
      <c r="R541" s="3020"/>
      <c r="S541" s="3020"/>
      <c r="T541" s="3020"/>
      <c r="U541" s="3014"/>
    </row>
    <row r="542" spans="1:21" hidden="1">
      <c r="A542" s="45"/>
      <c r="B542" s="3011">
        <f t="shared" ref="B542:C542" si="190">B354</f>
        <v>2.7</v>
      </c>
      <c r="C542" s="3012">
        <f t="shared" si="190"/>
        <v>0</v>
      </c>
      <c r="D542" s="3012"/>
      <c r="E542" s="1974"/>
      <c r="F542" s="1974"/>
      <c r="G542" s="1974"/>
      <c r="H542" s="1974"/>
      <c r="I542" s="3020"/>
      <c r="J542" s="3020"/>
      <c r="K542" s="3020"/>
      <c r="L542" s="3020"/>
      <c r="M542" s="3020"/>
      <c r="N542" s="3020"/>
      <c r="O542" s="3020"/>
      <c r="P542" s="3020"/>
      <c r="Q542" s="3020"/>
      <c r="R542" s="3020"/>
      <c r="S542" s="3020"/>
      <c r="T542" s="3020"/>
      <c r="U542" s="3014"/>
    </row>
    <row r="543" spans="1:21" hidden="1">
      <c r="A543" s="45"/>
      <c r="B543" s="3011">
        <f>B355</f>
        <v>3</v>
      </c>
      <c r="C543" s="3012" t="str">
        <f t="shared" ref="C543" si="191">C355</f>
        <v>汚染物質含有材料の使用回避</v>
      </c>
      <c r="D543" s="3012"/>
      <c r="E543" s="1974"/>
      <c r="F543" s="1974"/>
      <c r="G543" s="1974"/>
      <c r="H543" s="1974"/>
      <c r="I543" s="3020"/>
      <c r="J543" s="3020"/>
      <c r="K543" s="3020"/>
      <c r="L543" s="3020"/>
      <c r="M543" s="3020"/>
      <c r="N543" s="3020"/>
      <c r="O543" s="3020"/>
      <c r="P543" s="3020"/>
      <c r="Q543" s="3020"/>
      <c r="R543" s="3020"/>
      <c r="S543" s="3020"/>
      <c r="T543" s="3020"/>
      <c r="U543" s="3014"/>
    </row>
    <row r="544" spans="1:21" hidden="1">
      <c r="A544" s="45"/>
      <c r="B544" s="3011" t="str">
        <f t="shared" ref="B544:C544" si="192">B356</f>
        <v>3.1</v>
      </c>
      <c r="C544" s="3012" t="str">
        <f t="shared" si="192"/>
        <v>有害物質を含まない材料の使用</v>
      </c>
      <c r="D544" s="3012"/>
      <c r="E544" s="1974"/>
      <c r="F544" s="1974"/>
      <c r="G544" s="1974"/>
      <c r="H544" s="1974"/>
      <c r="I544" s="3020"/>
      <c r="J544" s="3020"/>
      <c r="K544" s="3020"/>
      <c r="L544" s="3020"/>
      <c r="M544" s="3020"/>
      <c r="N544" s="3020"/>
      <c r="O544" s="3020"/>
      <c r="P544" s="3020"/>
      <c r="Q544" s="3020"/>
      <c r="R544" s="3020"/>
      <c r="S544" s="3020"/>
      <c r="T544" s="3020"/>
      <c r="U544" s="3014"/>
    </row>
    <row r="545" spans="1:21" hidden="1">
      <c r="A545" s="45"/>
      <c r="B545" s="3011" t="str">
        <f t="shared" ref="B545:C545" si="193">B357</f>
        <v>3.2</v>
      </c>
      <c r="C545" s="3012" t="str">
        <f t="shared" si="193"/>
        <v>フロン・ハロンの回避</v>
      </c>
      <c r="D545" s="3012"/>
      <c r="E545" s="1974"/>
      <c r="F545" s="1974"/>
      <c r="G545" s="1974"/>
      <c r="H545" s="1974"/>
      <c r="I545" s="3020"/>
      <c r="J545" s="3020"/>
      <c r="K545" s="3020"/>
      <c r="L545" s="3020"/>
      <c r="M545" s="3020"/>
      <c r="N545" s="3020"/>
      <c r="O545" s="3020"/>
      <c r="P545" s="3020"/>
      <c r="Q545" s="3020"/>
      <c r="R545" s="3020"/>
      <c r="S545" s="3020"/>
      <c r="T545" s="3020"/>
      <c r="U545" s="3014"/>
    </row>
    <row r="546" spans="1:21">
      <c r="A546" s="45"/>
      <c r="B546" s="3011" t="str">
        <f t="shared" ref="B546:C546" si="194">B358</f>
        <v>3.2.1</v>
      </c>
      <c r="C546" s="3012" t="str">
        <f t="shared" si="194"/>
        <v>消火剤</v>
      </c>
      <c r="D546" s="3012"/>
      <c r="E546" s="1974"/>
      <c r="F546" s="1974"/>
      <c r="G546" s="1974"/>
      <c r="H546" s="1974"/>
      <c r="I546" s="3031" t="s">
        <v>3398</v>
      </c>
      <c r="J546" s="3035"/>
      <c r="K546" s="3031"/>
      <c r="L546" s="3031" t="str">
        <f>IF(採点LR2!G219="","",採点LR2!G219)</f>
        <v/>
      </c>
      <c r="M546" s="3031"/>
      <c r="N546" s="3031"/>
      <c r="O546" s="3035" t="s">
        <v>3399</v>
      </c>
      <c r="P546" s="3031" t="str">
        <f>IF(採点LR2!I219="","",採点LR2!I219)</f>
        <v/>
      </c>
      <c r="Q546" s="3050"/>
      <c r="R546" s="3020"/>
      <c r="S546" s="3020"/>
      <c r="T546" s="3020"/>
      <c r="U546" s="3014"/>
    </row>
    <row r="547" spans="1:21">
      <c r="A547" s="45"/>
      <c r="B547" s="3011" t="str">
        <f t="shared" ref="B547:C547" si="195">B359</f>
        <v>3.2.2</v>
      </c>
      <c r="C547" s="3012" t="str">
        <f t="shared" si="195"/>
        <v>発泡剤（断熱材等）</v>
      </c>
      <c r="D547" s="3012"/>
      <c r="E547" s="1974"/>
      <c r="F547" s="1974"/>
      <c r="G547" s="1974"/>
      <c r="H547" s="1974"/>
      <c r="I547" s="3051" t="s">
        <v>3398</v>
      </c>
      <c r="J547" s="3052"/>
      <c r="K547" s="3051"/>
      <c r="L547" s="3051">
        <f>IF(採点LR2!G230="","",採点LR2!G230)</f>
        <v>0</v>
      </c>
      <c r="M547" s="3051"/>
      <c r="N547" s="3051"/>
      <c r="O547" s="3052" t="s">
        <v>3399</v>
      </c>
      <c r="P547" s="3051">
        <f>IF(採点LR2!I230="","",採点LR2!I230)</f>
        <v>1430</v>
      </c>
      <c r="Q547" s="3050"/>
      <c r="R547" s="3020"/>
      <c r="S547" s="3020"/>
      <c r="T547" s="3020"/>
      <c r="U547" s="3014"/>
    </row>
    <row r="548" spans="1:21">
      <c r="A548" s="45"/>
      <c r="B548" s="3011" t="str">
        <f t="shared" ref="B548:C548" si="196">B360</f>
        <v>3.2.3</v>
      </c>
      <c r="C548" s="3012" t="str">
        <f t="shared" si="196"/>
        <v>冷媒</v>
      </c>
      <c r="D548" s="3012"/>
      <c r="E548" s="1974"/>
      <c r="F548" s="1974"/>
      <c r="G548" s="1974"/>
      <c r="H548" s="1974"/>
      <c r="I548" s="3031" t="s">
        <v>3398</v>
      </c>
      <c r="J548" s="3035"/>
      <c r="K548" s="3031"/>
      <c r="L548" s="3031">
        <f>IF(採点LR2!G296="","",採点LR2!G296)</f>
        <v>0</v>
      </c>
      <c r="M548" s="3031"/>
      <c r="N548" s="3031"/>
      <c r="O548" s="3035" t="s">
        <v>3399</v>
      </c>
      <c r="P548" s="3031">
        <f>IF(採点LR2!I296="","",採点LR2!I296)</f>
        <v>8</v>
      </c>
      <c r="Q548" s="3050"/>
      <c r="R548" s="3020"/>
      <c r="S548" s="3020"/>
      <c r="T548" s="3020"/>
      <c r="U548" s="3014"/>
    </row>
    <row r="549" spans="1:21">
      <c r="A549" s="45"/>
      <c r="B549" s="3029" t="str">
        <f t="shared" ref="B549:C549" si="197">B361</f>
        <v>LR3</v>
      </c>
      <c r="C549" s="3030" t="str">
        <f t="shared" si="197"/>
        <v>敷地外環境</v>
      </c>
      <c r="D549" s="3012"/>
      <c r="E549" s="1974"/>
      <c r="F549" s="1974"/>
      <c r="G549" s="1974"/>
      <c r="H549" s="1974"/>
      <c r="I549" s="3020"/>
      <c r="J549" s="3020"/>
      <c r="K549" s="3020"/>
      <c r="L549" s="3020"/>
      <c r="M549" s="3020"/>
      <c r="N549" s="3020"/>
      <c r="O549" s="3020"/>
      <c r="P549" s="3020"/>
      <c r="Q549" s="3050"/>
      <c r="R549" s="3020"/>
      <c r="S549" s="3020"/>
      <c r="T549" s="3020"/>
      <c r="U549" s="3014"/>
    </row>
    <row r="550" spans="1:21" hidden="1">
      <c r="A550" s="45"/>
      <c r="B550" s="3011">
        <f>B362</f>
        <v>1</v>
      </c>
      <c r="C550" s="3012" t="str">
        <f t="shared" ref="C550" si="198">C362</f>
        <v>地球温暖化への配慮</v>
      </c>
      <c r="D550" s="3012"/>
      <c r="E550" s="1974"/>
      <c r="F550" s="1974"/>
      <c r="G550" s="1974"/>
      <c r="H550" s="1974"/>
      <c r="I550" s="3020"/>
      <c r="J550" s="3020"/>
      <c r="K550" s="3020"/>
      <c r="L550" s="3020"/>
      <c r="M550" s="3020"/>
      <c r="N550" s="3020"/>
      <c r="O550" s="3020"/>
      <c r="P550" s="3020"/>
      <c r="Q550" s="3020"/>
      <c r="R550" s="3020"/>
      <c r="S550" s="3020"/>
      <c r="T550" s="3020"/>
      <c r="U550" s="3014"/>
    </row>
    <row r="551" spans="1:21" hidden="1">
      <c r="A551" s="45"/>
      <c r="B551" s="3011">
        <f t="shared" ref="B551:C551" si="199">B363</f>
        <v>2</v>
      </c>
      <c r="C551" s="3012" t="str">
        <f t="shared" si="199"/>
        <v>地域環境への配慮</v>
      </c>
      <c r="D551" s="3012"/>
      <c r="E551" s="1974"/>
      <c r="F551" s="1974"/>
      <c r="G551" s="1974"/>
      <c r="H551" s="1974"/>
      <c r="I551" s="3020"/>
      <c r="J551" s="3020"/>
      <c r="K551" s="3020"/>
      <c r="L551" s="3020"/>
      <c r="M551" s="3020"/>
      <c r="N551" s="3020"/>
      <c r="O551" s="3020"/>
      <c r="P551" s="3020"/>
      <c r="Q551" s="3020"/>
      <c r="R551" s="3020"/>
      <c r="S551" s="3020"/>
      <c r="T551" s="3020"/>
      <c r="U551" s="3014"/>
    </row>
    <row r="552" spans="1:21" hidden="1">
      <c r="A552" s="45"/>
      <c r="B552" s="3011" t="str">
        <f t="shared" ref="B552:C552" si="200">B364</f>
        <v>2.1</v>
      </c>
      <c r="C552" s="3012" t="str">
        <f t="shared" si="200"/>
        <v>大気汚染防止</v>
      </c>
      <c r="D552" s="3012"/>
      <c r="E552" s="1974"/>
      <c r="F552" s="1974"/>
      <c r="G552" s="1974"/>
      <c r="H552" s="1974"/>
      <c r="I552" s="3020"/>
      <c r="J552" s="3020"/>
      <c r="K552" s="3020"/>
      <c r="L552" s="3020"/>
      <c r="M552" s="3020"/>
      <c r="N552" s="3020"/>
      <c r="O552" s="3020"/>
      <c r="P552" s="3020"/>
      <c r="Q552" s="3020"/>
      <c r="R552" s="3020"/>
      <c r="S552" s="3020"/>
      <c r="T552" s="3020"/>
      <c r="U552" s="3014"/>
    </row>
    <row r="553" spans="1:21">
      <c r="A553" s="45"/>
      <c r="B553" s="3011" t="str">
        <f t="shared" ref="B553:C553" si="201">B365</f>
        <v>2.2</v>
      </c>
      <c r="C553" s="3012" t="str">
        <f t="shared" si="201"/>
        <v>温熱環境悪化の改善</v>
      </c>
      <c r="D553" s="3012"/>
      <c r="E553" s="1974"/>
      <c r="F553" s="1974"/>
      <c r="G553" s="1974"/>
      <c r="H553" s="1974"/>
      <c r="I553" s="3034" t="s">
        <v>3366</v>
      </c>
      <c r="J553" s="3031"/>
      <c r="K553" s="3053">
        <f>採点LR3!H45</f>
        <v>0.44</v>
      </c>
      <c r="L553" s="3031"/>
      <c r="M553" s="3035" t="s">
        <v>3367</v>
      </c>
      <c r="N553" s="3054">
        <f>採点LR3!H46</f>
        <v>0.4</v>
      </c>
      <c r="O553" s="3020"/>
      <c r="P553" s="3020"/>
      <c r="Q553" s="3020"/>
      <c r="R553" s="3020"/>
      <c r="S553" s="3020"/>
      <c r="T553" s="3020"/>
      <c r="U553" s="3014"/>
    </row>
    <row r="554" spans="1:21" hidden="1">
      <c r="B554" s="3011" t="str">
        <f t="shared" ref="B554:C554" si="202">B366</f>
        <v>2.3</v>
      </c>
      <c r="C554" s="3012" t="str">
        <f t="shared" si="202"/>
        <v>地域インフラへの負荷抑制</v>
      </c>
      <c r="D554" s="3012"/>
      <c r="E554" s="1974"/>
      <c r="F554" s="1974"/>
      <c r="G554" s="1974"/>
      <c r="H554" s="1974"/>
      <c r="I554" s="3020"/>
      <c r="J554" s="3020"/>
      <c r="K554" s="3020"/>
      <c r="L554" s="3020"/>
      <c r="M554" s="3020"/>
      <c r="N554" s="3020"/>
      <c r="O554" s="3020"/>
      <c r="P554" s="3020"/>
      <c r="Q554" s="3020"/>
      <c r="R554" s="3020"/>
      <c r="S554" s="3020"/>
      <c r="T554" s="3020"/>
      <c r="U554" s="3014"/>
    </row>
    <row r="555" spans="1:21" hidden="1">
      <c r="B555" s="3011" t="str">
        <f t="shared" ref="B555:C555" si="203">B367</f>
        <v>2.3.1</v>
      </c>
      <c r="C555" s="3012" t="str">
        <f t="shared" si="203"/>
        <v>雨水排水負荷低減</v>
      </c>
      <c r="D555" s="3012"/>
      <c r="E555" s="1974"/>
      <c r="F555" s="1974"/>
      <c r="G555" s="1974"/>
      <c r="H555" s="1974"/>
      <c r="I555" s="3020"/>
      <c r="J555" s="3020"/>
      <c r="K555" s="3020"/>
      <c r="L555" s="3020"/>
      <c r="M555" s="3020"/>
      <c r="N555" s="3020"/>
      <c r="O555" s="3020"/>
      <c r="P555" s="3020"/>
      <c r="Q555" s="3020"/>
      <c r="R555" s="3020"/>
      <c r="S555" s="3020"/>
      <c r="T555" s="3020"/>
      <c r="U555" s="3014"/>
    </row>
    <row r="556" spans="1:21" hidden="1">
      <c r="B556" s="3011" t="str">
        <f t="shared" ref="B556:C556" si="204">B368</f>
        <v>2.3.2</v>
      </c>
      <c r="C556" s="3012" t="str">
        <f t="shared" si="204"/>
        <v>汚水処理負荷抑制</v>
      </c>
      <c r="D556" s="3012"/>
      <c r="E556" s="1974"/>
      <c r="F556" s="1974"/>
      <c r="G556" s="1974"/>
      <c r="H556" s="1974"/>
      <c r="I556" s="3020"/>
      <c r="J556" s="3020"/>
      <c r="K556" s="3020"/>
      <c r="L556" s="3020"/>
      <c r="M556" s="3020"/>
      <c r="N556" s="3020"/>
      <c r="O556" s="3020"/>
      <c r="P556" s="3020"/>
      <c r="Q556" s="3020"/>
      <c r="R556" s="3020"/>
      <c r="S556" s="3020"/>
      <c r="T556" s="3020"/>
      <c r="U556" s="3014"/>
    </row>
    <row r="557" spans="1:21" hidden="1">
      <c r="B557" s="3011" t="str">
        <f t="shared" ref="B557:C557" si="205">B369</f>
        <v>2.3.3</v>
      </c>
      <c r="C557" s="3012" t="str">
        <f t="shared" si="205"/>
        <v>交通負荷抑制</v>
      </c>
      <c r="D557" s="3012"/>
      <c r="E557" s="1974"/>
      <c r="F557" s="1974"/>
      <c r="G557" s="1974"/>
      <c r="H557" s="1974"/>
      <c r="I557" s="3020"/>
      <c r="J557" s="3020"/>
      <c r="K557" s="3020"/>
      <c r="L557" s="3020"/>
      <c r="M557" s="3020"/>
      <c r="N557" s="3020"/>
      <c r="O557" s="3020"/>
      <c r="P557" s="3020"/>
      <c r="Q557" s="3020"/>
      <c r="R557" s="3020"/>
      <c r="S557" s="3020"/>
      <c r="T557" s="3020"/>
      <c r="U557" s="3014"/>
    </row>
    <row r="558" spans="1:21" hidden="1">
      <c r="B558" s="3011" t="str">
        <f t="shared" ref="B558:C558" si="206">B370</f>
        <v>2.3.4</v>
      </c>
      <c r="C558" s="3012" t="str">
        <f t="shared" si="206"/>
        <v>廃棄物処理負荷抑制</v>
      </c>
      <c r="D558" s="3012"/>
      <c r="E558" s="1974"/>
      <c r="F558" s="1974"/>
      <c r="G558" s="1974"/>
      <c r="H558" s="1974"/>
      <c r="I558" s="3020"/>
      <c r="J558" s="3020"/>
      <c r="K558" s="3020"/>
      <c r="L558" s="3020"/>
      <c r="M558" s="3020"/>
      <c r="N558" s="3020"/>
      <c r="O558" s="3020"/>
      <c r="P558" s="3020"/>
      <c r="Q558" s="3020"/>
      <c r="R558" s="3020"/>
      <c r="S558" s="3020"/>
      <c r="T558" s="3020"/>
      <c r="U558" s="3014"/>
    </row>
    <row r="559" spans="1:21" hidden="1">
      <c r="B559" s="3011">
        <f t="shared" ref="B559:C559" si="207">B371</f>
        <v>0</v>
      </c>
      <c r="C559" s="3012">
        <f t="shared" si="207"/>
        <v>0</v>
      </c>
      <c r="D559" s="3012"/>
      <c r="E559" s="1974"/>
      <c r="F559" s="1974"/>
      <c r="G559" s="1974"/>
      <c r="H559" s="1974"/>
      <c r="I559" s="3020"/>
      <c r="J559" s="3020"/>
      <c r="K559" s="3020"/>
      <c r="L559" s="3020"/>
      <c r="M559" s="3020"/>
      <c r="N559" s="3020"/>
      <c r="O559" s="3020"/>
      <c r="P559" s="3020"/>
      <c r="Q559" s="3020"/>
      <c r="R559" s="3020"/>
      <c r="S559" s="3020"/>
      <c r="T559" s="3020"/>
      <c r="U559" s="3014"/>
    </row>
    <row r="560" spans="1:21" hidden="1">
      <c r="B560" s="3011">
        <f>B372</f>
        <v>3</v>
      </c>
      <c r="C560" s="3012" t="str">
        <f t="shared" ref="C560" si="208">C372</f>
        <v>周辺環境への配慮</v>
      </c>
      <c r="D560" s="3012"/>
      <c r="E560" s="1974"/>
      <c r="F560" s="1974"/>
      <c r="G560" s="1974"/>
      <c r="H560" s="1974"/>
      <c r="I560" s="3020"/>
      <c r="J560" s="3020"/>
      <c r="K560" s="3020"/>
      <c r="L560" s="3020"/>
      <c r="M560" s="3020"/>
      <c r="N560" s="3020"/>
      <c r="O560" s="3020"/>
      <c r="P560" s="3020"/>
      <c r="Q560" s="3020"/>
      <c r="R560" s="3020"/>
      <c r="S560" s="3020"/>
      <c r="T560" s="3020"/>
      <c r="U560" s="3014"/>
    </row>
    <row r="561" spans="2:21" hidden="1">
      <c r="B561" s="3011" t="str">
        <f t="shared" ref="B561:C561" si="209">B373</f>
        <v>3.1</v>
      </c>
      <c r="C561" s="3012" t="str">
        <f t="shared" si="209"/>
        <v>騒音・振動・悪臭の防止</v>
      </c>
      <c r="D561" s="3012"/>
      <c r="E561" s="1974"/>
      <c r="F561" s="1974"/>
      <c r="G561" s="1974"/>
      <c r="H561" s="1974"/>
      <c r="I561" s="3020"/>
      <c r="J561" s="3020"/>
      <c r="K561" s="3020"/>
      <c r="L561" s="3020"/>
      <c r="M561" s="3020"/>
      <c r="N561" s="3020"/>
      <c r="O561" s="3020"/>
      <c r="P561" s="3020"/>
      <c r="Q561" s="3020"/>
      <c r="R561" s="3020"/>
      <c r="S561" s="3020"/>
      <c r="T561" s="3020"/>
      <c r="U561" s="3014"/>
    </row>
    <row r="562" spans="2:21" hidden="1">
      <c r="B562" s="3011" t="str">
        <f t="shared" ref="B562:C562" si="210">B374</f>
        <v>3.1.1</v>
      </c>
      <c r="C562" s="3012" t="str">
        <f t="shared" si="210"/>
        <v>騒音</v>
      </c>
      <c r="D562" s="3012"/>
      <c r="E562" s="1974"/>
      <c r="F562" s="1974"/>
      <c r="G562" s="1974"/>
      <c r="H562" s="1974"/>
      <c r="I562" s="3020"/>
      <c r="J562" s="3020"/>
      <c r="K562" s="3020"/>
      <c r="L562" s="3020"/>
      <c r="M562" s="3020"/>
      <c r="N562" s="3020"/>
      <c r="O562" s="3020"/>
      <c r="P562" s="3020"/>
      <c r="Q562" s="3020"/>
      <c r="R562" s="3020"/>
      <c r="S562" s="3020"/>
      <c r="T562" s="3020"/>
      <c r="U562" s="3014"/>
    </row>
    <row r="563" spans="2:21" hidden="1">
      <c r="B563" s="3011" t="str">
        <f t="shared" ref="B563:C563" si="211">B375</f>
        <v>3.1.2</v>
      </c>
      <c r="C563" s="3012" t="str">
        <f t="shared" si="211"/>
        <v>振動</v>
      </c>
      <c r="D563" s="3012"/>
      <c r="E563" s="1974"/>
      <c r="F563" s="1974"/>
      <c r="G563" s="1974"/>
      <c r="H563" s="1974"/>
      <c r="I563" s="3020"/>
      <c r="J563" s="3020"/>
      <c r="K563" s="3020"/>
      <c r="L563" s="3020"/>
      <c r="M563" s="3020"/>
      <c r="N563" s="3020"/>
      <c r="O563" s="3020"/>
      <c r="P563" s="3020"/>
      <c r="Q563" s="3020"/>
      <c r="R563" s="3020"/>
      <c r="S563" s="3020"/>
      <c r="T563" s="3020"/>
      <c r="U563" s="3014"/>
    </row>
    <row r="564" spans="2:21" hidden="1">
      <c r="B564" s="3011" t="str">
        <f t="shared" ref="B564:C564" si="212">B376</f>
        <v>3.1.3</v>
      </c>
      <c r="C564" s="3012" t="str">
        <f t="shared" si="212"/>
        <v>悪臭</v>
      </c>
      <c r="D564" s="3012"/>
      <c r="E564" s="1974"/>
      <c r="F564" s="1974"/>
      <c r="G564" s="1974"/>
      <c r="H564" s="1974"/>
      <c r="I564" s="3020"/>
      <c r="J564" s="3020"/>
      <c r="K564" s="3020"/>
      <c r="L564" s="3020"/>
      <c r="M564" s="3020"/>
      <c r="N564" s="3020"/>
      <c r="O564" s="3020"/>
      <c r="P564" s="3020"/>
      <c r="Q564" s="3020"/>
      <c r="R564" s="3020"/>
      <c r="S564" s="3020"/>
      <c r="T564" s="3020"/>
      <c r="U564" s="3014"/>
    </row>
    <row r="565" spans="2:21" hidden="1">
      <c r="B565" s="3011" t="str">
        <f t="shared" ref="B565:C565" si="213">B377</f>
        <v>3.2</v>
      </c>
      <c r="C565" s="3012" t="str">
        <f t="shared" si="213"/>
        <v>風害・砂塵、日照阻害の抑制</v>
      </c>
      <c r="D565" s="3012"/>
      <c r="E565" s="1974"/>
      <c r="F565" s="1974"/>
      <c r="G565" s="1974"/>
      <c r="H565" s="1974"/>
      <c r="I565" s="3020"/>
      <c r="J565" s="3020"/>
      <c r="K565" s="3020"/>
      <c r="L565" s="3020"/>
      <c r="M565" s="3020"/>
      <c r="N565" s="3020"/>
      <c r="O565" s="3020"/>
      <c r="P565" s="3020"/>
      <c r="Q565" s="3020"/>
      <c r="R565" s="3020"/>
      <c r="S565" s="3020"/>
      <c r="T565" s="3020"/>
      <c r="U565" s="3014"/>
    </row>
    <row r="566" spans="2:21" hidden="1">
      <c r="B566" s="3011" t="str">
        <f t="shared" ref="B566:C566" si="214">B378</f>
        <v>3.2.1</v>
      </c>
      <c r="C566" s="3012" t="str">
        <f t="shared" si="214"/>
        <v>風害の抑制</v>
      </c>
      <c r="D566" s="3012"/>
      <c r="E566" s="1974"/>
      <c r="F566" s="1974"/>
      <c r="G566" s="1974"/>
      <c r="H566" s="1974"/>
      <c r="I566" s="3020"/>
      <c r="J566" s="3020"/>
      <c r="K566" s="3020"/>
      <c r="L566" s="3020"/>
      <c r="M566" s="3020"/>
      <c r="N566" s="3020"/>
      <c r="O566" s="3020"/>
      <c r="P566" s="3020"/>
      <c r="Q566" s="3020"/>
      <c r="R566" s="3020"/>
      <c r="S566" s="3020"/>
      <c r="T566" s="3020"/>
      <c r="U566" s="3014"/>
    </row>
    <row r="567" spans="2:21" hidden="1">
      <c r="B567" s="3011" t="str">
        <f t="shared" ref="B567:C567" si="215">B379</f>
        <v>3.2.2</v>
      </c>
      <c r="C567" s="3012" t="str">
        <f t="shared" si="215"/>
        <v>砂塵の抑制</v>
      </c>
      <c r="D567" s="3012"/>
      <c r="E567" s="1974"/>
      <c r="F567" s="1974"/>
      <c r="G567" s="1974"/>
      <c r="H567" s="1974"/>
      <c r="I567" s="3020"/>
      <c r="J567" s="3020"/>
      <c r="K567" s="3020"/>
      <c r="L567" s="3020"/>
      <c r="M567" s="3020"/>
      <c r="N567" s="3020"/>
      <c r="O567" s="3020"/>
      <c r="P567" s="3020"/>
      <c r="Q567" s="3020"/>
      <c r="R567" s="3020"/>
      <c r="S567" s="3020"/>
      <c r="T567" s="3020"/>
      <c r="U567" s="3014"/>
    </row>
    <row r="568" spans="2:21" hidden="1">
      <c r="B568" s="3011" t="str">
        <f t="shared" ref="B568:C568" si="216">B380</f>
        <v>3.2.3</v>
      </c>
      <c r="C568" s="3012" t="str">
        <f t="shared" si="216"/>
        <v>日照阻害の抑制</v>
      </c>
      <c r="D568" s="3012"/>
      <c r="E568" s="1974"/>
      <c r="F568" s="1974"/>
      <c r="G568" s="1974"/>
      <c r="H568" s="1974"/>
      <c r="I568" s="3020"/>
      <c r="J568" s="3020"/>
      <c r="K568" s="3020"/>
      <c r="L568" s="3020"/>
      <c r="M568" s="3020"/>
      <c r="N568" s="3020"/>
      <c r="O568" s="3020"/>
      <c r="P568" s="3020"/>
      <c r="Q568" s="3020"/>
      <c r="R568" s="3020"/>
      <c r="S568" s="3020"/>
      <c r="T568" s="3020"/>
      <c r="U568" s="3014"/>
    </row>
    <row r="569" spans="2:21" hidden="1">
      <c r="B569" s="3011" t="str">
        <f t="shared" ref="B569:C569" si="217">B381</f>
        <v>3.3</v>
      </c>
      <c r="C569" s="3012" t="str">
        <f t="shared" si="217"/>
        <v>光害の抑制</v>
      </c>
      <c r="D569" s="3012"/>
      <c r="E569" s="1974"/>
      <c r="F569" s="1974"/>
      <c r="G569" s="1974"/>
      <c r="H569" s="1974"/>
      <c r="I569" s="3020"/>
      <c r="J569" s="3020"/>
      <c r="K569" s="3020"/>
      <c r="L569" s="3020"/>
      <c r="M569" s="3020"/>
      <c r="N569" s="3020"/>
      <c r="O569" s="3020"/>
      <c r="P569" s="3020"/>
      <c r="Q569" s="3020"/>
      <c r="R569" s="3020"/>
      <c r="S569" s="3020"/>
      <c r="T569" s="3020"/>
      <c r="U569" s="3014"/>
    </row>
    <row r="570" spans="2:21" hidden="1">
      <c r="B570" s="3011" t="str">
        <f t="shared" ref="B570:C570" si="218">B382</f>
        <v>3.3.1</v>
      </c>
      <c r="C570" s="3012" t="str">
        <f t="shared" si="218"/>
        <v>屋外照明及び屋内照明のうち外に漏れる光への対策</v>
      </c>
      <c r="D570" s="3012"/>
      <c r="E570" s="1974"/>
      <c r="F570" s="1974"/>
      <c r="G570" s="1974"/>
      <c r="H570" s="1974"/>
      <c r="I570" s="3020"/>
      <c r="J570" s="3020"/>
      <c r="K570" s="3020"/>
      <c r="L570" s="3020"/>
      <c r="M570" s="3020"/>
      <c r="N570" s="3020"/>
      <c r="O570" s="3020"/>
      <c r="P570" s="3020"/>
      <c r="Q570" s="3020"/>
      <c r="R570" s="3020"/>
      <c r="S570" s="3020"/>
      <c r="T570" s="3020"/>
      <c r="U570" s="3014"/>
    </row>
    <row r="571" spans="2:21" hidden="1">
      <c r="B571" s="3011" t="str">
        <f t="shared" ref="B571:C571" si="219">B383</f>
        <v>3.3.2</v>
      </c>
      <c r="C571" s="3012" t="str">
        <f t="shared" si="219"/>
        <v>昼光の建物外壁による反射光（グレア）への対策</v>
      </c>
      <c r="D571" s="3012"/>
      <c r="E571" s="1974"/>
      <c r="F571" s="1974"/>
      <c r="G571" s="1974"/>
      <c r="H571" s="1974"/>
      <c r="I571" s="3020"/>
      <c r="J571" s="3020"/>
      <c r="K571" s="3020"/>
      <c r="L571" s="3020"/>
      <c r="M571" s="3020"/>
      <c r="N571" s="3020"/>
      <c r="O571" s="3020"/>
      <c r="P571" s="3020"/>
      <c r="Q571" s="3020"/>
      <c r="R571" s="3020"/>
      <c r="S571" s="3020"/>
      <c r="T571" s="3020"/>
      <c r="U571" s="3014"/>
    </row>
    <row r="572" spans="2:21">
      <c r="B572" s="3011"/>
      <c r="C572" s="3012"/>
      <c r="D572" s="3012"/>
      <c r="E572" s="1974"/>
      <c r="F572" s="1974"/>
      <c r="G572" s="1974"/>
      <c r="H572" s="1974"/>
      <c r="I572" s="3034" t="s">
        <v>3363</v>
      </c>
      <c r="J572" s="3031"/>
      <c r="K572" s="3031"/>
      <c r="L572" s="3055">
        <f>採点LR3!H48</f>
        <v>0.26</v>
      </c>
      <c r="M572" s="3031"/>
      <c r="N572" s="3031"/>
      <c r="O572" s="3035" t="s">
        <v>3364</v>
      </c>
      <c r="P572" s="3055">
        <f>採点LR3!H49</f>
        <v>0.16</v>
      </c>
      <c r="Q572" s="3031"/>
      <c r="R572" s="3035" t="s">
        <v>3365</v>
      </c>
      <c r="S572" s="3055">
        <f>採点LR3!H50</f>
        <v>0</v>
      </c>
      <c r="T572" s="3020"/>
      <c r="U572" s="3014"/>
    </row>
    <row r="573" spans="2:21">
      <c r="B573" s="3011"/>
      <c r="C573" s="3012"/>
      <c r="D573" s="3012"/>
      <c r="E573" s="1974"/>
      <c r="F573" s="1974"/>
      <c r="G573" s="1974"/>
      <c r="H573" s="1974"/>
      <c r="I573" s="3051" t="s">
        <v>3575</v>
      </c>
      <c r="J573" s="3051"/>
      <c r="K573" s="3066">
        <f>採点LR3!J45</f>
        <v>40000</v>
      </c>
      <c r="L573" s="3051"/>
      <c r="M573" s="3051"/>
      <c r="N573" s="3051"/>
      <c r="O573" s="3052" t="s">
        <v>3460</v>
      </c>
      <c r="P573" s="3051">
        <f>採点LR3!M45</f>
        <v>200</v>
      </c>
      <c r="Q573" s="3051" t="s">
        <v>3564</v>
      </c>
      <c r="R573" s="3052" t="s">
        <v>3459</v>
      </c>
      <c r="S573" s="3051">
        <f>採点LR3!O45</f>
        <v>450</v>
      </c>
      <c r="T573" s="3031" t="s">
        <v>3585</v>
      </c>
      <c r="U573" s="3014"/>
    </row>
    <row r="574" spans="2:21">
      <c r="B574" s="3011"/>
      <c r="C574" s="3012"/>
      <c r="D574" s="3012"/>
      <c r="E574" s="1974"/>
      <c r="F574" s="1974"/>
      <c r="G574" s="1974"/>
      <c r="H574" s="1974"/>
      <c r="I574" s="3056" t="s">
        <v>3579</v>
      </c>
      <c r="J574" s="3057">
        <f>採点LR3!J55</f>
        <v>430</v>
      </c>
      <c r="K574" s="3052" t="s">
        <v>3576</v>
      </c>
      <c r="L574" s="3057">
        <f>採点LR3!K55</f>
        <v>0</v>
      </c>
      <c r="M574" s="3051"/>
      <c r="N574" s="3052" t="s">
        <v>3577</v>
      </c>
      <c r="O574" s="3058">
        <f>採点LR3!L55</f>
        <v>300</v>
      </c>
      <c r="P574" s="3059" t="s">
        <v>3578</v>
      </c>
      <c r="Q574" s="3058">
        <f>採点LR3!N55</f>
        <v>200</v>
      </c>
      <c r="R574" s="3051"/>
      <c r="S574" s="3052" t="s">
        <v>3582</v>
      </c>
      <c r="T574" s="3058">
        <f>採点LR3!O55</f>
        <v>300</v>
      </c>
      <c r="U574" s="3014"/>
    </row>
    <row r="575" spans="2:21" ht="5.25" customHeight="1" thickBot="1">
      <c r="B575" s="3021"/>
      <c r="C575" s="3023"/>
      <c r="D575" s="3023"/>
      <c r="E575" s="3060"/>
      <c r="F575" s="3060"/>
      <c r="G575" s="3060"/>
      <c r="H575" s="3060"/>
      <c r="I575" s="3060"/>
      <c r="J575" s="3060"/>
      <c r="K575" s="3060"/>
      <c r="L575" s="3060"/>
      <c r="M575" s="3060"/>
      <c r="N575" s="3060"/>
      <c r="O575" s="3060"/>
      <c r="P575" s="3060"/>
      <c r="Q575" s="3060"/>
      <c r="R575" s="3060"/>
      <c r="S575" s="3060"/>
      <c r="T575" s="3060"/>
      <c r="U575" s="3061"/>
    </row>
    <row r="576" spans="2:21"/>
  </sheetData>
  <sheetProtection password="F1D9" sheet="1" objects="1" scenarios="1" formatRows="0"/>
  <mergeCells count="148">
    <mergeCell ref="I129:P129"/>
    <mergeCell ref="I182:P182"/>
    <mergeCell ref="I70:P70"/>
    <mergeCell ref="I73:P73"/>
    <mergeCell ref="I99:P99"/>
    <mergeCell ref="I115:P115"/>
    <mergeCell ref="I162:P162"/>
    <mergeCell ref="I163:P163"/>
    <mergeCell ref="I164:P164"/>
    <mergeCell ref="I165:P165"/>
    <mergeCell ref="I147:P147"/>
    <mergeCell ref="I149:P149"/>
    <mergeCell ref="I107:P107"/>
    <mergeCell ref="I108:P108"/>
    <mergeCell ref="I109:P109"/>
    <mergeCell ref="I110:P110"/>
    <mergeCell ref="I120:P120"/>
    <mergeCell ref="I90:P90"/>
    <mergeCell ref="I91:P91"/>
    <mergeCell ref="I92:P92"/>
    <mergeCell ref="I86:P86"/>
    <mergeCell ref="I102:P102"/>
    <mergeCell ref="I103:P103"/>
    <mergeCell ref="I104:P104"/>
    <mergeCell ref="B3:H3"/>
    <mergeCell ref="I135:P135"/>
    <mergeCell ref="I136:P136"/>
    <mergeCell ref="I137:P137"/>
    <mergeCell ref="I144:P144"/>
    <mergeCell ref="I111:P111"/>
    <mergeCell ref="I113:P113"/>
    <mergeCell ref="I116:P116"/>
    <mergeCell ref="I118:P118"/>
    <mergeCell ref="I119:P119"/>
    <mergeCell ref="I123:P123"/>
    <mergeCell ref="I127:P127"/>
    <mergeCell ref="I128:P128"/>
    <mergeCell ref="I125:P125"/>
    <mergeCell ref="I126:P126"/>
    <mergeCell ref="I130:P130"/>
    <mergeCell ref="I131:P131"/>
    <mergeCell ref="I140:P140"/>
    <mergeCell ref="I141:P141"/>
    <mergeCell ref="I143:P143"/>
    <mergeCell ref="I132:P132"/>
    <mergeCell ref="I133:P133"/>
    <mergeCell ref="I134:P134"/>
    <mergeCell ref="I124:P124"/>
    <mergeCell ref="I185:P185"/>
    <mergeCell ref="I176:P176"/>
    <mergeCell ref="I178:P178"/>
    <mergeCell ref="I179:P179"/>
    <mergeCell ref="I180:P180"/>
    <mergeCell ref="E150:H150"/>
    <mergeCell ref="D155:H155"/>
    <mergeCell ref="I181:P181"/>
    <mergeCell ref="I170:P170"/>
    <mergeCell ref="I171:P171"/>
    <mergeCell ref="I154:P154"/>
    <mergeCell ref="I155:P155"/>
    <mergeCell ref="I173:P173"/>
    <mergeCell ref="I175:P175"/>
    <mergeCell ref="I156:P156"/>
    <mergeCell ref="I157:P157"/>
    <mergeCell ref="I167:P167"/>
    <mergeCell ref="I169:P169"/>
    <mergeCell ref="I150:P150"/>
    <mergeCell ref="I152:P152"/>
    <mergeCell ref="I153:P153"/>
    <mergeCell ref="I159:P159"/>
    <mergeCell ref="I160:P160"/>
    <mergeCell ref="I161:P161"/>
    <mergeCell ref="I186:P186"/>
    <mergeCell ref="E194:H194"/>
    <mergeCell ref="I194:P194"/>
    <mergeCell ref="I187:P187"/>
    <mergeCell ref="I189:P189"/>
    <mergeCell ref="I191:P191"/>
    <mergeCell ref="E193:H193"/>
    <mergeCell ref="I193:P193"/>
    <mergeCell ref="I190:P190"/>
    <mergeCell ref="I106:P106"/>
    <mergeCell ref="I95:P95"/>
    <mergeCell ref="I96:P96"/>
    <mergeCell ref="I97:P97"/>
    <mergeCell ref="I98:P98"/>
    <mergeCell ref="I94:P94"/>
    <mergeCell ref="E87:H87"/>
    <mergeCell ref="I87:P87"/>
    <mergeCell ref="I88:P88"/>
    <mergeCell ref="I81:P81"/>
    <mergeCell ref="I83:P83"/>
    <mergeCell ref="I84:P84"/>
    <mergeCell ref="E85:H85"/>
    <mergeCell ref="I85:P85"/>
    <mergeCell ref="I50:P50"/>
    <mergeCell ref="I51:P51"/>
    <mergeCell ref="I52:P52"/>
    <mergeCell ref="I53:P53"/>
    <mergeCell ref="I67:P67"/>
    <mergeCell ref="I69:P69"/>
    <mergeCell ref="I71:P71"/>
    <mergeCell ref="I72:P72"/>
    <mergeCell ref="I65:P65"/>
    <mergeCell ref="I66:P66"/>
    <mergeCell ref="I75:P75"/>
    <mergeCell ref="I76:P76"/>
    <mergeCell ref="I77:P77"/>
    <mergeCell ref="I80:P80"/>
    <mergeCell ref="E5:H5"/>
    <mergeCell ref="W5:X6"/>
    <mergeCell ref="I12:P12"/>
    <mergeCell ref="I13:P13"/>
    <mergeCell ref="I15:P15"/>
    <mergeCell ref="I16:P16"/>
    <mergeCell ref="I31:P31"/>
    <mergeCell ref="I33:P33"/>
    <mergeCell ref="I34:P34"/>
    <mergeCell ref="I23:P23"/>
    <mergeCell ref="I24:P24"/>
    <mergeCell ref="I25:P25"/>
    <mergeCell ref="I26:P26"/>
    <mergeCell ref="I17:P17"/>
    <mergeCell ref="I18:P18"/>
    <mergeCell ref="I19:P19"/>
    <mergeCell ref="I22:P22"/>
    <mergeCell ref="I11:P11"/>
    <mergeCell ref="I37:P37"/>
    <mergeCell ref="I27:P27"/>
    <mergeCell ref="I28:P28"/>
    <mergeCell ref="I29:P29"/>
    <mergeCell ref="I30:P30"/>
    <mergeCell ref="I61:P61"/>
    <mergeCell ref="D47:E47"/>
    <mergeCell ref="I47:P47"/>
    <mergeCell ref="I38:P38"/>
    <mergeCell ref="I39:P39"/>
    <mergeCell ref="I41:P41"/>
    <mergeCell ref="I42:P42"/>
    <mergeCell ref="I45:P45"/>
    <mergeCell ref="I46:P46"/>
    <mergeCell ref="I60:P60"/>
    <mergeCell ref="I44:P44"/>
    <mergeCell ref="I43:P43"/>
    <mergeCell ref="I55:P55"/>
    <mergeCell ref="I56:P56"/>
    <mergeCell ref="I57:P57"/>
    <mergeCell ref="I58:P58"/>
  </mergeCells>
  <phoneticPr fontId="34" type="noConversion"/>
  <conditionalFormatting sqref="I11:P13">
    <cfRule type="expression" dxfId="110" priority="5">
      <formula>OR($Z11&gt;3,$AB11&gt;3)</formula>
    </cfRule>
  </conditionalFormatting>
  <conditionalFormatting sqref="I15:P19 I22:P31 I33:P34 I37:P39 I41:P47 I50:P53 I55:P58 I60:P62 I65:P67 I69:P73 I75:P77 I80:P81 I83:P88 I90:P92 I94:P99 I102:P104 I106:P113 I115:P137 I140:P141 I143:P145 I147:P147 I149:P150 I152:P157 I159:P165 I167:P167 I169:P173 I175:P176 I178:P182 I185:P187 I189:P191 I193:P194">
    <cfRule type="expression" dxfId="109" priority="30">
      <formula>OR($Z15&gt;3,$AB15&gt;3)</formula>
    </cfRule>
  </conditionalFormatting>
  <conditionalFormatting sqref="Q10">
    <cfRule type="expression" dxfId="108" priority="311" stopIfTrue="1">
      <formula>AND(AF10=0)</formula>
    </cfRule>
  </conditionalFormatting>
  <conditionalFormatting sqref="Q10:Q61">
    <cfRule type="expression" dxfId="107" priority="35" stopIfTrue="1">
      <formula>AND(AF10&gt;0,Q10="")</formula>
    </cfRule>
  </conditionalFormatting>
  <conditionalFormatting sqref="Q11:Q61">
    <cfRule type="expression" dxfId="106" priority="36" stopIfTrue="1">
      <formula>(AF11=0)</formula>
    </cfRule>
  </conditionalFormatting>
  <conditionalFormatting sqref="Q63:Q111">
    <cfRule type="expression" dxfId="105" priority="27" stopIfTrue="1">
      <formula>AND(AF63&gt;0,Q63="")</formula>
    </cfRule>
    <cfRule type="expression" dxfId="104" priority="28" stopIfTrue="1">
      <formula>(AF63=0)</formula>
    </cfRule>
  </conditionalFormatting>
  <conditionalFormatting sqref="Q113:Q120">
    <cfRule type="expression" dxfId="103" priority="51" stopIfTrue="1">
      <formula>(AF113=0)</formula>
    </cfRule>
    <cfRule type="expression" dxfId="102" priority="50" stopIfTrue="1">
      <formula>AND(AF113&gt;0,Q113="")</formula>
    </cfRule>
  </conditionalFormatting>
  <conditionalFormatting sqref="Q173:Q194">
    <cfRule type="expression" dxfId="101" priority="2" stopIfTrue="1">
      <formula>(AF173=0)</formula>
    </cfRule>
    <cfRule type="expression" dxfId="100" priority="1" stopIfTrue="1">
      <formula>AND(AF173&gt;0,Q173="")</formula>
    </cfRule>
  </conditionalFormatting>
  <conditionalFormatting sqref="S10:S61">
    <cfRule type="expression" dxfId="99" priority="33" stopIfTrue="1">
      <formula>AND(AH10&gt;0,S10="")</formula>
    </cfRule>
  </conditionalFormatting>
  <conditionalFormatting sqref="S21:S34">
    <cfRule type="expression" dxfId="98" priority="34" stopIfTrue="1">
      <formula>(AH21=0)</formula>
    </cfRule>
  </conditionalFormatting>
  <conditionalFormatting sqref="S63 S78 S100 S10 S20 S35 S48">
    <cfRule type="expression" dxfId="97" priority="97" stopIfTrue="1">
      <formula>AND(AH10=0)</formula>
    </cfRule>
  </conditionalFormatting>
  <conditionalFormatting sqref="S63:S111 Q123:Q144 S123:S144 Q146:Q171">
    <cfRule type="expression" dxfId="96" priority="94" stopIfTrue="1">
      <formula>AND(AF63&gt;0,Q63="")</formula>
    </cfRule>
  </conditionalFormatting>
  <conditionalFormatting sqref="S64:S77 S79:S99 S101:S111 Q123:Q144 S123:S144 Q146:Q171 S11:S19 S36:S47 S49:S61">
    <cfRule type="expression" dxfId="95" priority="95" stopIfTrue="1">
      <formula>(AF11=0)</formula>
    </cfRule>
  </conditionalFormatting>
  <conditionalFormatting sqref="S113:S120">
    <cfRule type="expression" dxfId="94" priority="48" stopIfTrue="1">
      <formula>AND(AH113&gt;0,S113="")</formula>
    </cfRule>
    <cfRule type="expression" dxfId="93" priority="49" stopIfTrue="1">
      <formula>(AH113=0)</formula>
    </cfRule>
  </conditionalFormatting>
  <conditionalFormatting sqref="S146:S171">
    <cfRule type="expression" dxfId="92" priority="77" stopIfTrue="1">
      <formula>AND(AH146&gt;0,S146="")</formula>
    </cfRule>
    <cfRule type="expression" dxfId="91" priority="78" stopIfTrue="1">
      <formula>(AH146=0)</formula>
    </cfRule>
  </conditionalFormatting>
  <conditionalFormatting sqref="S173:S194">
    <cfRule type="expression" dxfId="90" priority="41" stopIfTrue="1">
      <formula>AND(AH173&gt;0,S173="")</formula>
    </cfRule>
    <cfRule type="expression" dxfId="89" priority="42" stopIfTrue="1">
      <formula>(AH173=0)</formula>
    </cfRule>
  </conditionalFormatting>
  <dataValidations xWindow="895" yWindow="482" count="1">
    <dataValidation allowBlank="1" showErrorMessage="1" sqref="Z192 AB192 Z166 AB166 Z148 Z183:Z184 Z168 AB168 Z188 AB188 AB32 Z174 AB183:AB184 Z177 AB100:AB101 Z10:AB10 AB93 AB78:AB79 AB105 AB138:AB139 AB146 AB148 Z93 Z100:Z101 Z105 Z117:AB117 AB177 Z138:Z139 Z146 AB14 AB74 Z74 Z142 Z82 Z78:Z79 Z68 Z63:Z64 Z59 Z54 Z48:Z49 Z40 Z35:Z36 Z20:Z21 Z14 Z158 AB82 AB63:AB64 AB59 AB54 AB48:AB49 AB20:AB21 AB40 AB35:AB36 Z89 AB89 AB142 AB68 Z151 AB158 Z114:AB114 AA118:AA194 AB174 Z32 AA115:AA116 AA11:AA113 AB151 Q10:S194" xr:uid="{00000000-0002-0000-0700-000000000000}"/>
  </dataValidations>
  <printOptions horizontalCentered="1"/>
  <pageMargins left="0.59055118110236227" right="0.59055118110236227" top="0.78740157480314965" bottom="0.59055118110236227" header="0.51181102362204722" footer="0.51181102362204722"/>
  <pageSetup paperSize="9" scale="72" fitToHeight="0" orientation="portrait" verticalDpi="4294967293" r:id="rId1"/>
  <headerFooter alignWithMargins="0">
    <oddHeader>&amp;L&amp;F&amp;R&amp;A</oddHeader>
    <oddFooter>&amp;C&amp;P/&amp;N</oddFooter>
  </headerFooter>
  <rowBreaks count="2" manualBreakCount="2">
    <brk id="99" max="21" man="1"/>
    <brk id="195"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AA503"/>
  <sheetViews>
    <sheetView showGridLines="0" zoomScaleNormal="100" workbookViewId="0"/>
  </sheetViews>
  <sheetFormatPr defaultColWidth="0" defaultRowHeight="13.5" zeroHeight="1"/>
  <cols>
    <col min="1" max="1" width="2.625" customWidth="1"/>
    <col min="2" max="3" width="6" hidden="1" customWidth="1"/>
    <col min="4" max="4" width="5" style="1474" customWidth="1"/>
    <col min="5" max="5" width="1.375" style="44" customWidth="1"/>
    <col min="6" max="15" width="10.625" style="44" customWidth="1"/>
    <col min="16" max="16" width="2.5" customWidth="1"/>
    <col min="17" max="17" width="9.75" hidden="1" customWidth="1"/>
    <col min="18" max="18" width="16.25" hidden="1" customWidth="1"/>
    <col min="19" max="19" width="3.375" hidden="1" customWidth="1"/>
    <col min="20" max="20" width="10.25" hidden="1" customWidth="1"/>
    <col min="21" max="21" width="13" hidden="1" customWidth="1"/>
    <col min="22" max="22" width="9.75" hidden="1" customWidth="1"/>
    <col min="23" max="23" width="13.75" hidden="1" customWidth="1"/>
    <col min="24" max="26" width="9" hidden="1" customWidth="1"/>
    <col min="27" max="27" width="10.125" hidden="1" customWidth="1"/>
    <col min="28" max="16384" width="9" hidden="1"/>
  </cols>
  <sheetData>
    <row r="1" spans="2:15" ht="15.75">
      <c r="D1" s="542"/>
      <c r="E1" s="543"/>
      <c r="F1" s="543"/>
      <c r="G1" s="543"/>
      <c r="H1" s="543"/>
      <c r="I1" s="543"/>
      <c r="J1" s="543"/>
      <c r="K1" s="543"/>
      <c r="L1" s="543"/>
      <c r="M1" s="544" t="s">
        <v>2279</v>
      </c>
      <c r="N1" s="545" t="str">
        <f>メイン!C11</f>
        <v>○○ビル</v>
      </c>
      <c r="O1" s="545"/>
    </row>
    <row r="2" spans="2:15" ht="16.5" hidden="1" customHeight="1">
      <c r="D2" s="546"/>
      <c r="E2" s="433"/>
      <c r="F2">
        <v>1</v>
      </c>
      <c r="G2" t="s">
        <v>1815</v>
      </c>
      <c r="H2" t="s">
        <v>1816</v>
      </c>
      <c r="I2" s="433"/>
      <c r="J2" s="433"/>
      <c r="K2" s="433"/>
      <c r="L2" s="433"/>
      <c r="M2" s="433"/>
      <c r="N2" s="433"/>
      <c r="O2" s="433"/>
    </row>
    <row r="3" spans="2:15" ht="18.75" hidden="1" customHeight="1">
      <c r="D3" s="546"/>
      <c r="E3" s="433"/>
      <c r="F3">
        <v>2</v>
      </c>
      <c r="G3" t="s">
        <v>1113</v>
      </c>
      <c r="H3" t="s">
        <v>1114</v>
      </c>
      <c r="I3" s="433"/>
      <c r="J3" s="433"/>
      <c r="K3" t="s">
        <v>1112</v>
      </c>
      <c r="L3" t="s">
        <v>1138</v>
      </c>
      <c r="M3"/>
      <c r="N3" t="s">
        <v>2841</v>
      </c>
      <c r="O3" t="str">
        <f>メイン!I37</f>
        <v>基本設計段階</v>
      </c>
    </row>
    <row r="4" spans="2:15" ht="18.75" hidden="1" customHeight="1">
      <c r="D4" s="546"/>
      <c r="E4" s="433"/>
      <c r="F4">
        <v>3</v>
      </c>
      <c r="G4" t="s">
        <v>1119</v>
      </c>
      <c r="H4" t="s">
        <v>1120</v>
      </c>
      <c r="I4" s="433"/>
      <c r="J4" s="433"/>
      <c r="K4" s="433"/>
      <c r="L4"/>
      <c r="M4" t="s">
        <v>1634</v>
      </c>
      <c r="N4" t="s">
        <v>1635</v>
      </c>
      <c r="O4" t="str">
        <f>メイン!I38</f>
        <v>実施設計段階</v>
      </c>
    </row>
    <row r="5" spans="2:15" ht="18.75" hidden="1" customHeight="1">
      <c r="D5" s="546"/>
      <c r="E5" s="433"/>
      <c r="F5">
        <v>4</v>
      </c>
      <c r="G5" t="s">
        <v>1015</v>
      </c>
      <c r="H5" t="s">
        <v>1016</v>
      </c>
      <c r="I5" s="433"/>
      <c r="J5" s="433"/>
      <c r="K5" s="433"/>
      <c r="L5"/>
      <c r="M5"/>
      <c r="N5"/>
      <c r="O5" t="str">
        <f>メイン!I39</f>
        <v>竣工段階</v>
      </c>
    </row>
    <row r="6" spans="2:15" ht="18.75" hidden="1" customHeight="1">
      <c r="D6" s="546"/>
      <c r="E6" s="433"/>
      <c r="F6">
        <v>5</v>
      </c>
      <c r="G6" t="s">
        <v>1022</v>
      </c>
      <c r="H6" t="s">
        <v>1023</v>
      </c>
      <c r="I6" s="433"/>
      <c r="J6" s="433"/>
      <c r="K6" s="433"/>
      <c r="L6"/>
      <c r="M6"/>
      <c r="N6"/>
      <c r="O6">
        <f>メイン!Q42</f>
        <v>0</v>
      </c>
    </row>
    <row r="7" spans="2:15" ht="18.75" hidden="1" customHeight="1">
      <c r="D7" s="546"/>
      <c r="E7" s="433"/>
      <c r="F7">
        <v>0</v>
      </c>
      <c r="G7" t="s">
        <v>1441</v>
      </c>
      <c r="H7" t="s">
        <v>1441</v>
      </c>
      <c r="I7" s="433"/>
      <c r="J7" s="433"/>
      <c r="K7" s="433"/>
      <c r="L7" s="433"/>
      <c r="M7" s="433"/>
      <c r="N7" s="433"/>
      <c r="O7" s="433"/>
    </row>
    <row r="8" spans="2:15" ht="16.5" thickBot="1">
      <c r="D8" s="546"/>
      <c r="E8" s="433"/>
      <c r="F8"/>
      <c r="G8"/>
      <c r="H8"/>
      <c r="I8" s="433"/>
      <c r="J8" s="433"/>
      <c r="K8" s="433"/>
      <c r="L8" s="433"/>
      <c r="M8" s="433"/>
      <c r="N8" s="433"/>
      <c r="O8" s="433"/>
    </row>
    <row r="9" spans="2:15" ht="18.75" thickBot="1">
      <c r="D9" s="834" t="s">
        <v>1633</v>
      </c>
      <c r="E9" s="547"/>
      <c r="F9" s="433"/>
      <c r="G9" s="433"/>
      <c r="H9" s="433"/>
      <c r="I9" s="548"/>
      <c r="J9" s="549" t="s">
        <v>3711</v>
      </c>
      <c r="K9" s="63"/>
      <c r="L9" s="63"/>
      <c r="M9" s="433"/>
      <c r="N9" s="433"/>
      <c r="O9" s="550" t="str">
        <f>IF(メイン!E39=0,"",メイン!E39)</f>
        <v/>
      </c>
    </row>
    <row r="10" spans="2:15" ht="17.25">
      <c r="D10" s="546"/>
      <c r="E10" s="547"/>
      <c r="F10" s="433"/>
      <c r="G10" s="433"/>
      <c r="H10" s="433"/>
      <c r="I10" s="433"/>
      <c r="J10" s="2743" t="s">
        <v>3778</v>
      </c>
      <c r="K10" s="433"/>
      <c r="L10" s="433"/>
      <c r="M10" s="433"/>
      <c r="N10" s="433"/>
      <c r="O10" s="433"/>
    </row>
    <row r="11" spans="2:15" ht="15.75">
      <c r="D11" s="542">
        <v>1</v>
      </c>
      <c r="E11" s="551" t="s">
        <v>1139</v>
      </c>
      <c r="F11" s="551"/>
      <c r="G11" s="551"/>
      <c r="H11" s="552"/>
      <c r="I11" s="552"/>
      <c r="J11" s="552"/>
      <c r="K11" s="552"/>
      <c r="L11" s="552"/>
      <c r="M11" s="552"/>
      <c r="N11" s="552"/>
      <c r="O11" s="552"/>
    </row>
    <row r="12" spans="2:15" ht="15.75">
      <c r="D12" s="542">
        <v>1.1000000000000001</v>
      </c>
      <c r="E12" s="553" t="s">
        <v>797</v>
      </c>
      <c r="F12" s="551"/>
      <c r="G12" s="551"/>
      <c r="H12" s="552"/>
      <c r="I12"/>
      <c r="J12" t="str">
        <f>IF(OR(F14=0,AND(J13=0,O13=0)),$L$3,"")</f>
        <v/>
      </c>
      <c r="K12"/>
      <c r="L12" s="552"/>
      <c r="M12" s="552"/>
      <c r="N12" s="552"/>
      <c r="O12" s="557" t="s">
        <v>1636</v>
      </c>
    </row>
    <row r="13" spans="2:15" ht="15.75" customHeight="1" thickBot="1">
      <c r="E13" s="63"/>
      <c r="F13" s="558" t="s">
        <v>1637</v>
      </c>
      <c r="G13" s="559"/>
      <c r="H13" s="560"/>
      <c r="I13" s="561" t="s">
        <v>1141</v>
      </c>
      <c r="J13" s="562">
        <f>重み!M11</f>
        <v>0.4</v>
      </c>
      <c r="K13" s="563"/>
      <c r="L13" s="558" t="s">
        <v>1638</v>
      </c>
      <c r="M13" s="559"/>
      <c r="N13" s="561" t="s">
        <v>1141</v>
      </c>
      <c r="O13" s="564">
        <f>重み!N11</f>
        <v>0</v>
      </c>
    </row>
    <row r="14" spans="2:15" ht="27" customHeight="1" thickBot="1">
      <c r="E14" s="63"/>
      <c r="F14" s="565">
        <v>3</v>
      </c>
      <c r="G14" s="2566" t="s">
        <v>3598</v>
      </c>
      <c r="H14" s="1554" t="s">
        <v>2594</v>
      </c>
      <c r="I14" s="568" t="s">
        <v>2595</v>
      </c>
      <c r="J14" s="567" t="s">
        <v>3599</v>
      </c>
      <c r="K14" s="566" t="s">
        <v>1142</v>
      </c>
      <c r="L14" s="565">
        <v>3</v>
      </c>
      <c r="M14" s="569" t="s">
        <v>1143</v>
      </c>
      <c r="N14" s="570"/>
      <c r="O14" s="571"/>
    </row>
    <row r="15" spans="2:15" ht="27" customHeight="1">
      <c r="B15" s="1">
        <v>1</v>
      </c>
      <c r="C15" s="1">
        <v>1</v>
      </c>
      <c r="E15" s="63"/>
      <c r="F15" s="572" t="str">
        <f>IF(F14=$F$7,$G$2,IF(ROUNDDOWN(F14,0)=$F$2,$H$2,$G$2))</f>
        <v>　レベル　1</v>
      </c>
      <c r="G15" s="573" t="s">
        <v>1144</v>
      </c>
      <c r="H15" s="573" t="s">
        <v>1145</v>
      </c>
      <c r="I15" s="573" t="s">
        <v>1146</v>
      </c>
      <c r="J15" s="573" t="s">
        <v>1147</v>
      </c>
      <c r="K15" s="573" t="s">
        <v>1813</v>
      </c>
      <c r="L15" s="572" t="str">
        <f>IF(L14=$F$7,$G$2,IF(ROUNDDOWN(L14,0)=$F$2,$H$2,$G$2))</f>
        <v>　レベル　1</v>
      </c>
      <c r="M15" s="574" t="s">
        <v>1814</v>
      </c>
      <c r="N15" s="575"/>
      <c r="O15" s="576"/>
    </row>
    <row r="16" spans="2:15" ht="27" customHeight="1">
      <c r="B16" s="1">
        <v>2</v>
      </c>
      <c r="C16" s="1" t="s">
        <v>1817</v>
      </c>
      <c r="E16" s="63"/>
      <c r="F16" s="577" t="str">
        <f>IF(F14=$F$7,$G$3,IF(ROUNDDOWN(F14,0)=$F$3,$H$3,$G$3))</f>
        <v>　レベル　2</v>
      </c>
      <c r="G16" s="585" t="s">
        <v>1818</v>
      </c>
      <c r="H16" s="585" t="s">
        <v>1818</v>
      </c>
      <c r="I16" s="586" t="s">
        <v>1818</v>
      </c>
      <c r="J16" s="586" t="s">
        <v>1818</v>
      </c>
      <c r="K16" s="579" t="s">
        <v>1819</v>
      </c>
      <c r="L16" s="577" t="str">
        <f>IF(L14=$F$7,$G$3,IF(ROUNDDOWN(L14,0)=$F$3,$H$3,$G$3))</f>
        <v>　レベル　2</v>
      </c>
      <c r="M16" s="580" t="s">
        <v>1818</v>
      </c>
      <c r="N16" s="581"/>
      <c r="O16" s="582"/>
    </row>
    <row r="17" spans="2:15" ht="27" customHeight="1">
      <c r="B17" s="1">
        <v>3</v>
      </c>
      <c r="C17" s="1">
        <v>3</v>
      </c>
      <c r="E17" s="63"/>
      <c r="F17" s="577" t="str">
        <f>IF(F14=$F$7,$G$4,IF(ROUNDDOWN(F14,0)=$F$4,$H$4,$G$4))</f>
        <v>■レベル　3</v>
      </c>
      <c r="G17" s="579" t="s">
        <v>1115</v>
      </c>
      <c r="H17" s="579" t="s">
        <v>1116</v>
      </c>
      <c r="I17" s="579" t="s">
        <v>1117</v>
      </c>
      <c r="J17" s="583" t="s">
        <v>1118</v>
      </c>
      <c r="K17" s="579" t="s">
        <v>1115</v>
      </c>
      <c r="L17" s="577" t="str">
        <f>IF(L14=$F$7,$G$4,IF(ROUNDDOWN(L14,0)=$F$4,$H$4,$G$4))</f>
        <v>■レベル　3</v>
      </c>
      <c r="M17" s="580" t="s">
        <v>1116</v>
      </c>
      <c r="N17" s="581"/>
      <c r="O17" s="582"/>
    </row>
    <row r="18" spans="2:15" ht="27" customHeight="1">
      <c r="B18" s="1">
        <v>4</v>
      </c>
      <c r="C18" s="1">
        <v>4</v>
      </c>
      <c r="E18" s="63"/>
      <c r="F18" s="577" t="str">
        <f>IF(F14=$F$7,$G$5,IF(ROUNDDOWN(F14,0)=$F$5,$H$5,$G$5))</f>
        <v>　レベル　4</v>
      </c>
      <c r="G18" s="584" t="s">
        <v>1116</v>
      </c>
      <c r="H18" s="585" t="s">
        <v>1118</v>
      </c>
      <c r="I18" s="586" t="s">
        <v>1115</v>
      </c>
      <c r="J18" s="586" t="s">
        <v>1121</v>
      </c>
      <c r="K18" s="584" t="s">
        <v>1122</v>
      </c>
      <c r="L18" s="577" t="str">
        <f>IF(L14=$F$7,$G$5,IF(ROUNDDOWN(L14,0)=$F$5,$H$5,$G$5))</f>
        <v>　レベル　4</v>
      </c>
      <c r="M18" s="580" t="s">
        <v>1014</v>
      </c>
      <c r="N18" s="581"/>
      <c r="O18" s="582"/>
    </row>
    <row r="19" spans="2:15" ht="27" customHeight="1">
      <c r="B19" s="1">
        <v>5</v>
      </c>
      <c r="C19" s="1">
        <v>5</v>
      </c>
      <c r="E19" s="63"/>
      <c r="F19" s="587" t="str">
        <f>IF(F14=$F$7,$G$6,IF(ROUNDDOWN(F14,0)=$F$6,$H$6,$G$6))</f>
        <v>　レベル　5</v>
      </c>
      <c r="G19" s="588" t="s">
        <v>1017</v>
      </c>
      <c r="H19" s="589" t="s">
        <v>1018</v>
      </c>
      <c r="I19" s="590" t="s">
        <v>1019</v>
      </c>
      <c r="J19" s="590" t="s">
        <v>1020</v>
      </c>
      <c r="K19" s="588" t="s">
        <v>1021</v>
      </c>
      <c r="L19" s="587" t="str">
        <f>IF(L14=$F$7,$G$6,IF(ROUNDDOWN(L14,0)=$F$6,$H$6,$G$6))</f>
        <v>　レベル　5</v>
      </c>
      <c r="M19" s="591" t="s">
        <v>1021</v>
      </c>
      <c r="N19" s="592"/>
      <c r="O19" s="593"/>
    </row>
    <row r="20" spans="2:15">
      <c r="B20" s="594">
        <v>0</v>
      </c>
      <c r="C20" s="594">
        <v>0</v>
      </c>
      <c r="E20" s="63"/>
      <c r="F20" s="887" t="s">
        <v>3402</v>
      </c>
      <c r="G20" s="2423"/>
      <c r="H20" s="2396"/>
      <c r="I20" s="2396"/>
      <c r="J20" s="2397"/>
      <c r="K20" s="2400"/>
      <c r="L20" s="1281"/>
      <c r="M20"/>
      <c r="N20"/>
      <c r="O20"/>
    </row>
    <row r="21" spans="2:15" hidden="1">
      <c r="B21" s="918"/>
      <c r="C21" s="918"/>
      <c r="E21" s="63"/>
      <c r="F21" t="s">
        <v>1024</v>
      </c>
      <c r="G21"/>
      <c r="H21"/>
      <c r="I21"/>
      <c r="J21"/>
      <c r="K21"/>
      <c r="L21"/>
      <c r="M21"/>
      <c r="N21"/>
      <c r="O21"/>
    </row>
    <row r="22" spans="2:15" hidden="1">
      <c r="E22" s="63"/>
      <c r="F22" s="596" t="s">
        <v>2592</v>
      </c>
      <c r="G22" s="597" t="s">
        <v>1442</v>
      </c>
      <c r="H22" s="597" t="s">
        <v>1443</v>
      </c>
      <c r="I22" s="597" t="s">
        <v>1444</v>
      </c>
      <c r="J22" s="597" t="s">
        <v>1445</v>
      </c>
      <c r="K22" s="597" t="s">
        <v>1446</v>
      </c>
      <c r="L22" s="597" t="s">
        <v>1442</v>
      </c>
      <c r="M22" s="597" t="s">
        <v>1443</v>
      </c>
      <c r="N22" s="597" t="s">
        <v>1444</v>
      </c>
      <c r="O22" s="597" t="s">
        <v>1445</v>
      </c>
    </row>
    <row r="23" spans="2:15" hidden="1">
      <c r="E23" s="63"/>
      <c r="F23" s="596" t="s">
        <v>1447</v>
      </c>
      <c r="G23" s="598" t="s">
        <v>1448</v>
      </c>
      <c r="H23" s="598" t="s">
        <v>1449</v>
      </c>
      <c r="I23" s="598" t="s">
        <v>1450</v>
      </c>
      <c r="J23" s="598" t="s">
        <v>908</v>
      </c>
      <c r="K23" s="598" t="s">
        <v>909</v>
      </c>
      <c r="L23" s="598" t="s">
        <v>1448</v>
      </c>
      <c r="M23" s="598" t="s">
        <v>1449</v>
      </c>
      <c r="N23" s="598" t="s">
        <v>1450</v>
      </c>
      <c r="O23" s="598" t="s">
        <v>908</v>
      </c>
    </row>
    <row r="24" spans="2:15" hidden="1">
      <c r="E24" s="63"/>
      <c r="F24" s="599" t="s">
        <v>910</v>
      </c>
      <c r="G24" s="600" t="s">
        <v>1025</v>
      </c>
      <c r="H24" s="601" t="s">
        <v>1026</v>
      </c>
      <c r="I24" s="601"/>
      <c r="J24" s="601"/>
      <c r="K24" s="601" t="s">
        <v>1027</v>
      </c>
      <c r="L24" s="600" t="s">
        <v>1025</v>
      </c>
      <c r="M24" s="601" t="s">
        <v>1026</v>
      </c>
      <c r="N24" s="601"/>
      <c r="O24" s="601"/>
    </row>
    <row r="25" spans="2:15" hidden="1">
      <c r="E25" s="63"/>
      <c r="F25" s="3147" t="s">
        <v>1028</v>
      </c>
      <c r="G25" s="602"/>
      <c r="H25" s="603"/>
      <c r="I25" s="604" t="s">
        <v>1029</v>
      </c>
      <c r="J25" s="604"/>
      <c r="K25" s="605" t="s">
        <v>1030</v>
      </c>
      <c r="L25" s="602"/>
      <c r="M25" s="603"/>
      <c r="N25" s="604" t="s">
        <v>1029</v>
      </c>
      <c r="O25" s="604"/>
    </row>
    <row r="26" spans="2:15" hidden="1">
      <c r="E26" s="63"/>
      <c r="F26" s="3148"/>
      <c r="G26" s="606"/>
      <c r="H26" s="607"/>
      <c r="I26" s="608" t="s">
        <v>911</v>
      </c>
      <c r="J26" s="607"/>
      <c r="K26" s="609" t="s">
        <v>912</v>
      </c>
      <c r="L26" s="606"/>
      <c r="M26" s="607"/>
      <c r="N26" s="608" t="s">
        <v>911</v>
      </c>
      <c r="O26" s="607"/>
    </row>
    <row r="27" spans="2:15" hidden="1">
      <c r="E27" s="63"/>
      <c r="F27" s="610" t="s">
        <v>913</v>
      </c>
      <c r="G27" s="603" t="s">
        <v>147</v>
      </c>
      <c r="H27" s="603" t="s">
        <v>914</v>
      </c>
      <c r="I27" s="603" t="s">
        <v>915</v>
      </c>
      <c r="J27" s="603" t="s">
        <v>916</v>
      </c>
      <c r="K27" s="603" t="s">
        <v>148</v>
      </c>
      <c r="L27" s="603" t="s">
        <v>147</v>
      </c>
      <c r="M27" s="603" t="s">
        <v>914</v>
      </c>
      <c r="N27" s="603" t="s">
        <v>915</v>
      </c>
      <c r="O27" s="603" t="s">
        <v>916</v>
      </c>
    </row>
    <row r="28" spans="2:15" hidden="1">
      <c r="E28" s="63"/>
      <c r="F28" s="611" t="s">
        <v>150</v>
      </c>
      <c r="G28" s="612"/>
      <c r="H28" s="612" t="s">
        <v>151</v>
      </c>
      <c r="I28" s="612" t="s">
        <v>152</v>
      </c>
      <c r="J28" s="612" t="s">
        <v>153</v>
      </c>
      <c r="K28" s="613" t="s">
        <v>154</v>
      </c>
      <c r="L28" s="612"/>
      <c r="M28" s="612" t="s">
        <v>151</v>
      </c>
      <c r="N28" s="612" t="s">
        <v>152</v>
      </c>
      <c r="O28" s="612" t="s">
        <v>153</v>
      </c>
    </row>
    <row r="29" spans="2:15" hidden="1">
      <c r="E29" s="63"/>
      <c r="F29" s="611" t="s">
        <v>1644</v>
      </c>
      <c r="G29" s="612"/>
      <c r="H29" s="612" t="s">
        <v>155</v>
      </c>
      <c r="I29" s="612" t="s">
        <v>156</v>
      </c>
      <c r="J29" s="612" t="s">
        <v>875</v>
      </c>
      <c r="K29" s="612" t="s">
        <v>1555</v>
      </c>
      <c r="L29" s="612"/>
      <c r="M29" s="612" t="s">
        <v>155</v>
      </c>
      <c r="N29" s="612" t="s">
        <v>156</v>
      </c>
      <c r="O29" s="612" t="s">
        <v>875</v>
      </c>
    </row>
    <row r="30" spans="2:15" hidden="1">
      <c r="E30" s="63"/>
      <c r="F30" s="611" t="s">
        <v>1003</v>
      </c>
      <c r="G30" s="612"/>
      <c r="H30" s="612"/>
      <c r="I30" s="612"/>
      <c r="J30" s="612" t="s">
        <v>1004</v>
      </c>
      <c r="K30" s="612" t="s">
        <v>1005</v>
      </c>
      <c r="L30" s="612"/>
      <c r="M30" s="612"/>
      <c r="N30" s="612"/>
      <c r="O30" s="612" t="s">
        <v>1004</v>
      </c>
    </row>
    <row r="31" spans="2:15" hidden="1">
      <c r="E31" s="63"/>
      <c r="F31" s="611" t="s">
        <v>149</v>
      </c>
      <c r="G31" s="612"/>
      <c r="H31" s="612"/>
      <c r="I31" s="612"/>
      <c r="J31" s="613" t="s">
        <v>1805</v>
      </c>
      <c r="K31" s="612" t="s">
        <v>1806</v>
      </c>
      <c r="L31" s="612"/>
      <c r="M31" s="612"/>
      <c r="N31" s="612"/>
      <c r="O31" s="613" t="s">
        <v>1805</v>
      </c>
    </row>
    <row r="32" spans="2:15" hidden="1">
      <c r="E32" s="63"/>
      <c r="F32" s="611" t="s">
        <v>1829</v>
      </c>
      <c r="G32" s="612"/>
      <c r="H32" s="612"/>
      <c r="I32" s="612"/>
      <c r="J32" s="612" t="s">
        <v>1830</v>
      </c>
      <c r="K32" s="612" t="s">
        <v>1831</v>
      </c>
      <c r="L32" s="612"/>
      <c r="M32" s="612"/>
      <c r="N32" s="612"/>
      <c r="O32" s="612" t="s">
        <v>1830</v>
      </c>
    </row>
    <row r="33" spans="5:15" hidden="1">
      <c r="E33" s="63"/>
      <c r="F33" s="611" t="s">
        <v>1832</v>
      </c>
      <c r="G33" s="612"/>
      <c r="H33" s="612"/>
      <c r="I33" s="612"/>
      <c r="J33" s="612" t="s">
        <v>1833</v>
      </c>
      <c r="K33" s="612" t="s">
        <v>676</v>
      </c>
      <c r="L33" s="612"/>
      <c r="M33" s="612"/>
      <c r="N33" s="612"/>
      <c r="O33" s="612" t="s">
        <v>1833</v>
      </c>
    </row>
    <row r="34" spans="5:15" hidden="1">
      <c r="E34" s="63"/>
      <c r="F34" s="3149" t="s">
        <v>1827</v>
      </c>
      <c r="G34" s="612"/>
      <c r="H34" s="612"/>
      <c r="I34" s="612"/>
      <c r="J34" s="612"/>
      <c r="K34" s="614" t="s">
        <v>1828</v>
      </c>
      <c r="L34" s="612"/>
      <c r="M34" s="612"/>
      <c r="N34" s="612"/>
      <c r="O34" s="612"/>
    </row>
    <row r="35" spans="5:15" ht="21" hidden="1">
      <c r="E35" s="63"/>
      <c r="F35" s="3150"/>
      <c r="G35" s="607"/>
      <c r="H35" s="607"/>
      <c r="I35" s="607"/>
      <c r="J35" s="607"/>
      <c r="K35" s="615" t="s">
        <v>917</v>
      </c>
      <c r="L35" s="607"/>
      <c r="M35" s="607"/>
      <c r="N35" s="607"/>
      <c r="O35" s="607"/>
    </row>
    <row r="36" spans="5:15" hidden="1">
      <c r="E36" s="63"/>
      <c r="F36" s="433"/>
      <c r="G36" s="616"/>
      <c r="H36" s="616"/>
      <c r="I36" s="616"/>
      <c r="J36" s="616"/>
      <c r="K36" s="616"/>
      <c r="L36" s="616"/>
      <c r="M36" s="616"/>
      <c r="N36" s="616"/>
      <c r="O36" s="616"/>
    </row>
    <row r="37" spans="5:15" hidden="1">
      <c r="E37" s="63"/>
      <c r="F37" s="433"/>
      <c r="G37" s="617"/>
      <c r="H37" s="617"/>
      <c r="I37" s="617"/>
      <c r="J37" s="617"/>
      <c r="K37" s="617"/>
      <c r="L37" s="617"/>
      <c r="M37" s="617"/>
      <c r="N37" s="617"/>
      <c r="O37" s="617"/>
    </row>
    <row r="38" spans="5:15" ht="14.25" hidden="1">
      <c r="E38" s="63"/>
      <c r="F38" s="1437" t="s">
        <v>2082</v>
      </c>
      <c r="G38" s="618"/>
      <c r="H38" s="619"/>
      <c r="I38" s="620"/>
      <c r="J38" s="621" t="str">
        <f>IF(OR(F40=0,AND(J39=0,O39=0)),$L$3,"")</f>
        <v>&lt;評価しない&gt;</v>
      </c>
      <c r="K38" s="620"/>
      <c r="L38" s="618"/>
      <c r="M38" s="619"/>
      <c r="N38" s="620"/>
      <c r="O38" s="621"/>
    </row>
    <row r="39" spans="5:15" ht="14.25" hidden="1" thickBot="1">
      <c r="E39" s="63"/>
      <c r="F39" s="558" t="s">
        <v>918</v>
      </c>
      <c r="G39" s="559"/>
      <c r="H39" s="560"/>
      <c r="I39" s="561" t="s">
        <v>1141</v>
      </c>
      <c r="J39" s="564">
        <f>重み!M13</f>
        <v>0</v>
      </c>
      <c r="K39" s="558" t="s">
        <v>1638</v>
      </c>
      <c r="L39" s="559"/>
      <c r="M39" s="560"/>
      <c r="N39" s="561" t="s">
        <v>1141</v>
      </c>
      <c r="O39" s="564">
        <f>重み!N13</f>
        <v>0</v>
      </c>
    </row>
    <row r="40" spans="5:15" ht="14.25" hidden="1" thickBot="1">
      <c r="E40" s="63"/>
      <c r="F40" s="622">
        <f>IF(J39=0,0,F51)</f>
        <v>0</v>
      </c>
      <c r="G40" s="570" t="s">
        <v>919</v>
      </c>
      <c r="H40" s="570"/>
      <c r="I40" s="3160" t="s">
        <v>920</v>
      </c>
      <c r="J40" s="3161"/>
      <c r="K40" s="622">
        <f>IF(O39=0,0,IF(O51+K63=0,0,ROUND(G51*O51/(O51+K63)+G63*K63/(O51+K63),0)))</f>
        <v>0</v>
      </c>
      <c r="L40" s="623" t="s">
        <v>921</v>
      </c>
      <c r="M40" s="624" t="s">
        <v>922</v>
      </c>
      <c r="N40" s="3151" t="s">
        <v>2084</v>
      </c>
      <c r="O40" s="3152"/>
    </row>
    <row r="41" spans="5:15" ht="56.25" hidden="1">
      <c r="E41" s="63"/>
      <c r="F41" s="577" t="str">
        <f>IF(F40=$F$7,$G$2,IF(ROUNDDOWN(F40,0)=$F$2,$H$2,$G$2))</f>
        <v>　レベル　1</v>
      </c>
      <c r="G41" s="3153" t="s">
        <v>2085</v>
      </c>
      <c r="H41" s="3154"/>
      <c r="I41" s="3153" t="s">
        <v>2085</v>
      </c>
      <c r="J41" s="3154"/>
      <c r="K41" s="577" t="str">
        <f>IF(K40=$F$7,$G$2,IF(ROUNDDOWN(K40,0)=$F$2,$H$2,$G$2))</f>
        <v>　レベル　1</v>
      </c>
      <c r="L41" s="625" t="s">
        <v>2085</v>
      </c>
      <c r="M41" s="625" t="s">
        <v>2085</v>
      </c>
      <c r="N41" s="3153" t="s">
        <v>2085</v>
      </c>
      <c r="O41" s="3159"/>
    </row>
    <row r="42" spans="5:15" ht="56.25" hidden="1">
      <c r="E42" s="63"/>
      <c r="F42" s="577" t="str">
        <f>IF(F40=$F$7,$G$3,IF(ROUNDDOWN(F40,0)=$F$3,$H$3,$G$3))</f>
        <v>　レベル　2</v>
      </c>
      <c r="G42" s="3157" t="s">
        <v>1391</v>
      </c>
      <c r="H42" s="3163"/>
      <c r="I42" s="3157" t="s">
        <v>923</v>
      </c>
      <c r="J42" s="3163"/>
      <c r="K42" s="577" t="str">
        <f>IF(K40=$F$7,$G$3,IF(ROUNDDOWN(K40,0)=$F$3,$H$3,$G$3))</f>
        <v>　レベル　2</v>
      </c>
      <c r="L42" s="584" t="s">
        <v>1391</v>
      </c>
      <c r="M42" s="584" t="s">
        <v>923</v>
      </c>
      <c r="N42" s="3157"/>
      <c r="O42" s="3158"/>
    </row>
    <row r="43" spans="5:15" ht="56.25" hidden="1">
      <c r="E43" s="63"/>
      <c r="F43" s="577" t="str">
        <f>IF(F40=$F$7,$G$4,IF(ROUNDDOWN(F40,0)=$F$4,$H$4,$G$4))</f>
        <v>　レベル　3</v>
      </c>
      <c r="G43" s="3157" t="s">
        <v>1392</v>
      </c>
      <c r="H43" s="3163"/>
      <c r="I43" s="3157" t="s">
        <v>158</v>
      </c>
      <c r="J43" s="3163"/>
      <c r="K43" s="577" t="str">
        <f>IF(K40=$F$7,$G$4,IF(ROUNDDOWN(K40,0)=$F$4,$H$4,$G$4))</f>
        <v>　レベル　3</v>
      </c>
      <c r="L43" s="584" t="s">
        <v>1392</v>
      </c>
      <c r="M43" s="584" t="s">
        <v>158</v>
      </c>
      <c r="N43" s="3157" t="s">
        <v>1393</v>
      </c>
      <c r="O43" s="3158"/>
    </row>
    <row r="44" spans="5:15" ht="56.25" hidden="1">
      <c r="E44" s="63"/>
      <c r="F44" s="577" t="str">
        <f>IF(F40=$F$7,$G$5,IF(ROUNDDOWN(F40,0)=$F$5,$H$5,$G$5))</f>
        <v>　レベル　4</v>
      </c>
      <c r="G44" s="3157" t="s">
        <v>1394</v>
      </c>
      <c r="H44" s="3163"/>
      <c r="I44" s="3157" t="s">
        <v>569</v>
      </c>
      <c r="J44" s="3163"/>
      <c r="K44" s="577" t="str">
        <f>IF(K40=$F$7,$G$5,IF(ROUNDDOWN(K40,0)=$F$5,$H$5,$G$5))</f>
        <v>　レベル　4</v>
      </c>
      <c r="L44" s="584" t="s">
        <v>1394</v>
      </c>
      <c r="M44" s="584" t="s">
        <v>569</v>
      </c>
      <c r="N44" s="3157"/>
      <c r="O44" s="3158"/>
    </row>
    <row r="45" spans="5:15" ht="56.25" hidden="1">
      <c r="E45" s="543"/>
      <c r="F45" s="587" t="str">
        <f>IF(F40=$F$7,$G$6,IF(ROUNDDOWN(F40,0)=$F$6,$H$6,$G$6))</f>
        <v>　レベル　5</v>
      </c>
      <c r="G45" s="3155" t="s">
        <v>1395</v>
      </c>
      <c r="H45" s="3162"/>
      <c r="I45" s="3155" t="s">
        <v>1395</v>
      </c>
      <c r="J45" s="3162"/>
      <c r="K45" s="587" t="str">
        <f>IF(K40=$F$7,$G$6,IF(ROUNDDOWN(K40,0)=$F$6,$H$6,$G$6))</f>
        <v>　レベル　5</v>
      </c>
      <c r="L45" s="588" t="s">
        <v>1395</v>
      </c>
      <c r="M45" s="588" t="s">
        <v>1395</v>
      </c>
      <c r="N45" s="3155" t="s">
        <v>1395</v>
      </c>
      <c r="O45" s="3156"/>
    </row>
    <row r="46" spans="5:15" ht="14.25" hidden="1" thickBot="1">
      <c r="E46" s="626"/>
      <c r="F46" s="56" t="s">
        <v>1396</v>
      </c>
      <c r="G46" s="627"/>
      <c r="H46" s="627"/>
      <c r="I46" s="627"/>
      <c r="J46" s="627"/>
      <c r="K46" s="628"/>
      <c r="L46" s="628"/>
      <c r="M46" s="627"/>
      <c r="N46" s="627"/>
      <c r="O46" s="627"/>
    </row>
    <row r="47" spans="5:15" ht="14.25" hidden="1" thickBot="1">
      <c r="E47" s="626"/>
      <c r="F47" s="629"/>
      <c r="G47" s="628" t="s">
        <v>1397</v>
      </c>
      <c r="H47" s="628"/>
      <c r="I47" s="630"/>
      <c r="J47" s="628"/>
      <c r="K47" s="628"/>
      <c r="L47" s="628"/>
      <c r="M47" s="628"/>
      <c r="N47" s="628"/>
      <c r="O47" s="628"/>
    </row>
    <row r="48" spans="5:15" ht="15.75" hidden="1">
      <c r="E48" s="631"/>
      <c r="F48" s="631"/>
      <c r="G48" s="632"/>
      <c r="H48" s="632"/>
      <c r="I48" s="632"/>
      <c r="J48" s="627"/>
      <c r="K48" s="628"/>
      <c r="L48" s="628"/>
      <c r="M48" s="628"/>
      <c r="N48" s="628"/>
      <c r="O48" s="628"/>
    </row>
    <row r="49" spans="2:15" ht="14.25" hidden="1" thickBot="1">
      <c r="E49" s="626"/>
      <c r="F49" s="633" t="s">
        <v>570</v>
      </c>
      <c r="G49" s="634" t="s">
        <v>571</v>
      </c>
      <c r="H49" s="628"/>
      <c r="I49" s="628"/>
      <c r="J49" s="627"/>
      <c r="K49" s="628"/>
      <c r="L49" s="628"/>
      <c r="M49" s="628"/>
      <c r="N49" s="628"/>
      <c r="O49" s="628"/>
    </row>
    <row r="50" spans="2:15" ht="14.25" hidden="1" thickBot="1">
      <c r="E50" s="626"/>
      <c r="F50" s="565">
        <v>0</v>
      </c>
      <c r="G50" s="565">
        <v>0</v>
      </c>
      <c r="H50" s="635" t="s">
        <v>2251</v>
      </c>
      <c r="I50" s="636" t="s">
        <v>2471</v>
      </c>
      <c r="J50" s="628"/>
      <c r="K50" s="627"/>
      <c r="L50" s="628"/>
      <c r="M50" s="628"/>
      <c r="N50" s="628"/>
      <c r="O50" s="628"/>
    </row>
    <row r="51" spans="2:15" ht="14.25" hidden="1" thickBot="1">
      <c r="B51" s="1">
        <v>1</v>
      </c>
      <c r="C51" s="1">
        <v>1</v>
      </c>
      <c r="E51" s="626"/>
      <c r="F51" s="567">
        <f>IF(I50=N4,F50,IF(AND(M51&lt;2000,F47=M4),IF($F$60&lt;1,1,IF($F$60&lt;2,2,IF($F$60&lt;3,3,IF($F$60&lt;4,4,5)))),IF($F$60&lt;2,1,IF($F$60&lt;4,2,IF($F$60&lt;6,3,IF($F$60&lt;8,4,5))))))</f>
        <v>0</v>
      </c>
      <c r="G51" s="567">
        <f>IF(I50=N4,G50,IF(AND(M51&lt;2000,F47=M4),IF($G$60&lt;1,1,IF($G$60&lt;2,2,IF($G$60&lt;3,3,IF($G$60&lt;4,4,5)))),IF($G$60&lt;2,1,IF($G$60&lt;4,2,IF($G$60&lt;6,3,IF($G$60&lt;8,4,5))))))</f>
        <v>0</v>
      </c>
      <c r="H51" s="570" t="s">
        <v>572</v>
      </c>
      <c r="I51" s="560"/>
      <c r="J51" s="637" t="s">
        <v>573</v>
      </c>
      <c r="K51" s="638"/>
      <c r="L51" s="639" t="s">
        <v>2252</v>
      </c>
      <c r="M51" s="640">
        <f>メイン!C19</f>
        <v>5000</v>
      </c>
      <c r="N51" s="641" t="s">
        <v>2173</v>
      </c>
      <c r="O51" s="642">
        <f>メイン!L66-メイン!L64</f>
        <v>0</v>
      </c>
    </row>
    <row r="52" spans="2:15" hidden="1">
      <c r="B52" s="1">
        <v>2</v>
      </c>
      <c r="C52" s="1">
        <v>2</v>
      </c>
      <c r="E52" s="63"/>
      <c r="F52" s="643" t="s">
        <v>2253</v>
      </c>
      <c r="G52" s="643" t="s">
        <v>2253</v>
      </c>
      <c r="H52" s="3168" t="s">
        <v>2254</v>
      </c>
      <c r="I52" s="3169"/>
      <c r="J52" s="3164" t="s">
        <v>2255</v>
      </c>
      <c r="K52" s="3165"/>
      <c r="L52" s="644"/>
      <c r="M52" s="644"/>
      <c r="N52" s="644"/>
      <c r="O52" s="644"/>
    </row>
    <row r="53" spans="2:15" hidden="1">
      <c r="B53" s="1">
        <v>3</v>
      </c>
      <c r="C53" s="1">
        <v>3</v>
      </c>
      <c r="E53" s="63"/>
      <c r="F53" s="645" t="s">
        <v>2256</v>
      </c>
      <c r="G53" s="645" t="s">
        <v>2256</v>
      </c>
      <c r="H53" s="646" t="s">
        <v>1378</v>
      </c>
      <c r="I53" s="647"/>
      <c r="J53" s="648" t="s">
        <v>1379</v>
      </c>
      <c r="K53" s="647"/>
      <c r="L53" s="644"/>
      <c r="M53" s="644"/>
      <c r="N53" s="644"/>
      <c r="O53" s="644"/>
    </row>
    <row r="54" spans="2:15" hidden="1">
      <c r="B54" s="1">
        <v>4</v>
      </c>
      <c r="C54" s="1">
        <v>4</v>
      </c>
      <c r="E54" s="63"/>
      <c r="F54" s="645" t="s">
        <v>2253</v>
      </c>
      <c r="G54" s="645" t="s">
        <v>2256</v>
      </c>
      <c r="H54" s="646" t="s">
        <v>883</v>
      </c>
      <c r="I54" s="647"/>
      <c r="J54" s="648" t="s">
        <v>574</v>
      </c>
      <c r="K54" s="647"/>
      <c r="L54" s="560" t="s">
        <v>884</v>
      </c>
      <c r="M54" s="560"/>
      <c r="N54" s="560"/>
      <c r="O54" s="649"/>
    </row>
    <row r="55" spans="2:15" hidden="1">
      <c r="B55" s="1">
        <v>5</v>
      </c>
      <c r="C55" s="1">
        <v>5</v>
      </c>
      <c r="E55" s="63"/>
      <c r="F55" s="645" t="s">
        <v>2256</v>
      </c>
      <c r="G55" s="645" t="s">
        <v>2253</v>
      </c>
      <c r="H55" s="646" t="s">
        <v>885</v>
      </c>
      <c r="I55" s="647"/>
      <c r="J55" s="648" t="s">
        <v>886</v>
      </c>
      <c r="K55" s="647"/>
      <c r="L55" s="570" t="s">
        <v>575</v>
      </c>
      <c r="M55" s="571"/>
      <c r="N55" s="650" t="s">
        <v>576</v>
      </c>
      <c r="O55" s="638"/>
    </row>
    <row r="56" spans="2:15" hidden="1">
      <c r="B56" s="594">
        <v>0</v>
      </c>
      <c r="C56" s="594">
        <v>0</v>
      </c>
      <c r="E56" s="63"/>
      <c r="F56" s="645" t="s">
        <v>2256</v>
      </c>
      <c r="G56" s="645" t="s">
        <v>2253</v>
      </c>
      <c r="H56" s="646" t="s">
        <v>887</v>
      </c>
      <c r="I56" s="647"/>
      <c r="J56" s="3164" t="s">
        <v>888</v>
      </c>
      <c r="K56" s="3169"/>
      <c r="L56" s="3166" t="s">
        <v>2072</v>
      </c>
      <c r="M56" s="3169"/>
      <c r="N56" s="3164" t="s">
        <v>2086</v>
      </c>
      <c r="O56" s="3165"/>
    </row>
    <row r="57" spans="2:15" hidden="1">
      <c r="E57" s="63"/>
      <c r="F57" s="645" t="s">
        <v>2256</v>
      </c>
      <c r="G57" s="645" t="s">
        <v>2253</v>
      </c>
      <c r="H57" s="646" t="s">
        <v>885</v>
      </c>
      <c r="I57" s="647"/>
      <c r="J57" s="3164" t="s">
        <v>2087</v>
      </c>
      <c r="K57" s="3167"/>
      <c r="L57" s="3166" t="s">
        <v>2088</v>
      </c>
      <c r="M57" s="3165"/>
      <c r="N57" s="3164" t="s">
        <v>2089</v>
      </c>
      <c r="O57" s="3165"/>
    </row>
    <row r="58" spans="2:15" hidden="1">
      <c r="E58" s="63"/>
      <c r="F58" s="645" t="s">
        <v>2253</v>
      </c>
      <c r="G58" s="645" t="s">
        <v>2256</v>
      </c>
      <c r="H58" s="646" t="s">
        <v>577</v>
      </c>
      <c r="I58" s="647"/>
      <c r="J58" s="648" t="s">
        <v>2090</v>
      </c>
      <c r="K58" s="647"/>
      <c r="L58" s="3166" t="s">
        <v>2091</v>
      </c>
      <c r="M58" s="3165"/>
      <c r="N58" s="3164" t="s">
        <v>2092</v>
      </c>
      <c r="O58" s="3165"/>
    </row>
    <row r="59" spans="2:15" ht="14.25" hidden="1" thickBot="1">
      <c r="E59" s="63"/>
      <c r="F59" s="651" t="s">
        <v>2256</v>
      </c>
      <c r="G59" s="651" t="s">
        <v>2256</v>
      </c>
      <c r="H59" s="646" t="s">
        <v>969</v>
      </c>
      <c r="I59" s="647"/>
      <c r="J59" s="648" t="s">
        <v>2093</v>
      </c>
      <c r="K59" s="647"/>
      <c r="L59" s="3166" t="s">
        <v>1799</v>
      </c>
      <c r="M59" s="3165"/>
      <c r="N59" s="3164" t="s">
        <v>1800</v>
      </c>
      <c r="O59" s="3165"/>
    </row>
    <row r="60" spans="2:15" hidden="1">
      <c r="E60" s="63"/>
      <c r="F60" s="652">
        <f>IF(F47=M4,COUNTIF(F56:F59,M4),COUNTIF(F52:F59,M4))</f>
        <v>5</v>
      </c>
      <c r="G60" s="653">
        <f>IF(F47=M4,COUNTIF(G56:G59,M4),COUNTIF(G52:G59,M4))</f>
        <v>4</v>
      </c>
      <c r="H60" s="644" t="s">
        <v>1801</v>
      </c>
      <c r="I60" s="654"/>
      <c r="J60" s="654"/>
      <c r="K60" s="654"/>
      <c r="L60" s="628"/>
      <c r="M60" s="628"/>
      <c r="N60" s="628"/>
      <c r="O60" s="628"/>
    </row>
    <row r="61" spans="2:15" ht="14.25" hidden="1" thickBot="1">
      <c r="E61" s="63"/>
      <c r="F61" s="543"/>
      <c r="G61" s="655" t="s">
        <v>1802</v>
      </c>
      <c r="H61" s="644"/>
      <c r="I61" s="654"/>
      <c r="J61" s="654"/>
      <c r="K61" s="628"/>
      <c r="L61" s="628"/>
      <c r="M61" s="628"/>
      <c r="N61" s="628"/>
      <c r="O61" s="628"/>
    </row>
    <row r="62" spans="2:15" ht="16.5" hidden="1" thickBot="1">
      <c r="E62" s="546"/>
      <c r="F62" s="543"/>
      <c r="G62" s="565">
        <v>0</v>
      </c>
      <c r="H62" s="635" t="s">
        <v>2251</v>
      </c>
      <c r="I62" s="636" t="s">
        <v>2471</v>
      </c>
      <c r="J62" s="628"/>
      <c r="K62" s="628"/>
      <c r="L62" s="644"/>
      <c r="M62" s="644"/>
      <c r="N62" s="644"/>
      <c r="O62" s="644"/>
    </row>
    <row r="63" spans="2:15" ht="15.75" hidden="1">
      <c r="B63" s="1">
        <v>1</v>
      </c>
      <c r="C63" s="1">
        <v>1</v>
      </c>
      <c r="E63" s="546"/>
      <c r="F63" s="656"/>
      <c r="G63" s="3172">
        <f>IF(I62=N4,G62,IF($G$70&lt;2,1,IF($G$70&lt;2,2,IF($G$70&lt;4,3,IF($G$70&lt;5,4,5)))))</f>
        <v>0</v>
      </c>
      <c r="H63" s="657" t="s">
        <v>1803</v>
      </c>
      <c r="I63" s="657"/>
      <c r="J63" s="657" t="s">
        <v>2173</v>
      </c>
      <c r="K63" s="642">
        <f>メイン!L64</f>
        <v>0</v>
      </c>
      <c r="L63" s="628"/>
      <c r="M63" s="628"/>
      <c r="N63" s="628"/>
      <c r="O63" s="628"/>
    </row>
    <row r="64" spans="2:15" ht="16.5" hidden="1" thickBot="1">
      <c r="B64" s="1">
        <v>2</v>
      </c>
      <c r="C64" s="1">
        <v>2</v>
      </c>
      <c r="E64" s="546"/>
      <c r="F64" s="656"/>
      <c r="G64" s="3172"/>
      <c r="H64" s="570" t="s">
        <v>572</v>
      </c>
      <c r="I64" s="570"/>
      <c r="J64" s="650" t="s">
        <v>573</v>
      </c>
      <c r="K64" s="638"/>
      <c r="L64" s="628"/>
      <c r="M64" s="628"/>
      <c r="N64" s="628"/>
      <c r="O64" s="628"/>
    </row>
    <row r="65" spans="2:15" ht="15.75" hidden="1">
      <c r="B65" s="1">
        <v>3</v>
      </c>
      <c r="C65" s="1">
        <v>3</v>
      </c>
      <c r="E65" s="546"/>
      <c r="F65" s="543"/>
      <c r="G65" s="643" t="s">
        <v>2256</v>
      </c>
      <c r="H65" s="3168" t="s">
        <v>1804</v>
      </c>
      <c r="I65" s="3165"/>
      <c r="J65" s="3164" t="s">
        <v>2393</v>
      </c>
      <c r="K65" s="3165"/>
      <c r="L65" s="644"/>
      <c r="M65" s="644"/>
      <c r="N65" s="644"/>
      <c r="O65" s="644"/>
    </row>
    <row r="66" spans="2:15" ht="15.75" hidden="1">
      <c r="B66" s="1">
        <v>4</v>
      </c>
      <c r="C66" s="1">
        <v>4</v>
      </c>
      <c r="E66" s="546"/>
      <c r="F66" s="543"/>
      <c r="G66" s="645" t="s">
        <v>2256</v>
      </c>
      <c r="H66" s="646" t="s">
        <v>2394</v>
      </c>
      <c r="I66" s="647"/>
      <c r="J66" s="3164" t="s">
        <v>2395</v>
      </c>
      <c r="K66" s="3165"/>
      <c r="L66" s="644"/>
      <c r="M66" s="644"/>
      <c r="N66" s="644"/>
      <c r="O66" s="644"/>
    </row>
    <row r="67" spans="2:15" ht="15.75" hidden="1">
      <c r="B67" s="1">
        <v>5</v>
      </c>
      <c r="C67" s="1">
        <v>5</v>
      </c>
      <c r="E67" s="546"/>
      <c r="F67" s="543"/>
      <c r="G67" s="645"/>
      <c r="H67" s="646" t="s">
        <v>2396</v>
      </c>
      <c r="I67" s="647"/>
      <c r="J67" s="3164" t="s">
        <v>2397</v>
      </c>
      <c r="K67" s="3165"/>
      <c r="L67" s="644"/>
      <c r="M67" s="644"/>
      <c r="N67" s="644"/>
      <c r="O67" s="644"/>
    </row>
    <row r="68" spans="2:15" ht="15.75" hidden="1">
      <c r="B68" s="594">
        <v>0</v>
      </c>
      <c r="C68" s="594">
        <v>0</v>
      </c>
      <c r="E68" s="546"/>
      <c r="F68" s="543"/>
      <c r="G68" s="645" t="s">
        <v>2253</v>
      </c>
      <c r="H68" s="646" t="s">
        <v>2398</v>
      </c>
      <c r="I68" s="647"/>
      <c r="J68" s="3164" t="s">
        <v>2399</v>
      </c>
      <c r="K68" s="3165"/>
      <c r="L68" s="644"/>
      <c r="M68" s="644"/>
      <c r="N68" s="644"/>
      <c r="O68" s="644"/>
    </row>
    <row r="69" spans="2:15" ht="16.5" hidden="1" thickBot="1">
      <c r="E69" s="546"/>
      <c r="F69" s="543"/>
      <c r="G69" s="651" t="s">
        <v>2256</v>
      </c>
      <c r="H69" s="646" t="s">
        <v>2400</v>
      </c>
      <c r="I69" s="647"/>
      <c r="J69" s="3164" t="s">
        <v>2397</v>
      </c>
      <c r="K69" s="3165"/>
      <c r="L69" s="644"/>
      <c r="M69" s="644"/>
      <c r="N69" s="644"/>
      <c r="O69" s="644"/>
    </row>
    <row r="70" spans="2:15" ht="15.75" hidden="1">
      <c r="E70" s="546"/>
      <c r="F70" s="543"/>
      <c r="G70" s="653">
        <f>COUNTIF(G65:G69,M4)</f>
        <v>3</v>
      </c>
      <c r="H70" s="644" t="s">
        <v>1801</v>
      </c>
      <c r="I70" s="658"/>
      <c r="J70" s="644"/>
      <c r="K70" s="644"/>
      <c r="L70" s="644"/>
      <c r="M70" s="644"/>
      <c r="N70" s="644"/>
      <c r="O70" s="644"/>
    </row>
    <row r="71" spans="2:15" ht="15.75">
      <c r="E71" s="546"/>
      <c r="F71"/>
      <c r="G71"/>
      <c r="H71"/>
      <c r="I71"/>
      <c r="J71"/>
      <c r="K71"/>
      <c r="L71"/>
      <c r="M71"/>
      <c r="N71"/>
      <c r="O71"/>
    </row>
    <row r="72" spans="2:15" ht="15.75">
      <c r="D72" s="542">
        <v>1.2</v>
      </c>
      <c r="E72" s="553" t="s">
        <v>2401</v>
      </c>
      <c r="F72"/>
      <c r="G72"/>
      <c r="H72"/>
      <c r="I72"/>
      <c r="J72"/>
      <c r="K72"/>
      <c r="L72"/>
      <c r="M72"/>
      <c r="N72"/>
      <c r="O72"/>
    </row>
    <row r="73" spans="2:15" ht="15.75">
      <c r="D73" s="542"/>
      <c r="E73" s="543"/>
      <c r="F73" s="554" t="s">
        <v>2402</v>
      </c>
      <c r="G73"/>
      <c r="H73"/>
      <c r="I73"/>
      <c r="J73"/>
      <c r="K73"/>
      <c r="L73"/>
      <c r="M73"/>
      <c r="N73"/>
      <c r="O73"/>
    </row>
    <row r="74" spans="2:15" ht="17.25" customHeight="1" thickBot="1">
      <c r="D74" s="546"/>
      <c r="E74" s="433"/>
      <c r="F74" s="558" t="s">
        <v>970</v>
      </c>
      <c r="G74" s="559"/>
      <c r="H74" s="560"/>
      <c r="I74" s="561" t="s">
        <v>1141</v>
      </c>
      <c r="J74" s="564">
        <f>重み!M15</f>
        <v>0.6</v>
      </c>
      <c r="K74" s="558" t="s">
        <v>1638</v>
      </c>
      <c r="L74" s="559"/>
      <c r="M74" s="560"/>
      <c r="N74" s="561" t="s">
        <v>1141</v>
      </c>
      <c r="O74" s="564">
        <f>重み!N15</f>
        <v>0</v>
      </c>
    </row>
    <row r="75" spans="2:15" ht="27" customHeight="1" thickBot="1">
      <c r="D75" s="546"/>
      <c r="E75" s="433"/>
      <c r="F75" s="565">
        <v>3</v>
      </c>
      <c r="G75" s="661" t="s">
        <v>2404</v>
      </c>
      <c r="H75" s="570"/>
      <c r="I75" s="570"/>
      <c r="J75" s="571"/>
      <c r="K75" s="565">
        <v>3</v>
      </c>
      <c r="L75" s="661" t="s">
        <v>971</v>
      </c>
      <c r="M75" s="570"/>
      <c r="N75" s="570"/>
      <c r="O75" s="571"/>
    </row>
    <row r="76" spans="2:15" ht="15.75" hidden="1">
      <c r="B76" s="1">
        <v>1</v>
      </c>
      <c r="C76" s="1">
        <v>1</v>
      </c>
      <c r="D76" s="546"/>
      <c r="E76" s="433"/>
      <c r="F76" s="662"/>
      <c r="G76" s="661" t="s">
        <v>1054</v>
      </c>
      <c r="H76" s="570"/>
      <c r="I76" s="570"/>
      <c r="J76" s="571"/>
      <c r="K76" s="662"/>
      <c r="L76" s="661" t="s">
        <v>1054</v>
      </c>
      <c r="M76" s="570"/>
      <c r="N76" s="570"/>
      <c r="O76" s="571"/>
    </row>
    <row r="77" spans="2:15" ht="15.75" hidden="1">
      <c r="B77" s="1" t="s">
        <v>2472</v>
      </c>
      <c r="C77" s="1" t="s">
        <v>2472</v>
      </c>
      <c r="D77" s="546"/>
      <c r="E77" s="433"/>
      <c r="F77" s="577" t="str">
        <f>IF(F75=$F$7,$G$2,IF(AND($O$9=$O$3,ROUNDDOWN(F75,0)=$F$2),$H$2,$G$2))</f>
        <v>　レベル　1</v>
      </c>
      <c r="G77" s="574" t="s">
        <v>972</v>
      </c>
      <c r="H77" s="575"/>
      <c r="I77" s="575"/>
      <c r="J77" s="576"/>
      <c r="K77" s="577" t="str">
        <f>IF(K75=$F$7,$G$2,IF(AND($O$9=$O$3,ROUNDDOWN(K75,0)=$F$2),$H$2,$G$2))</f>
        <v>　レベル　1</v>
      </c>
      <c r="L77" s="574" t="s">
        <v>2405</v>
      </c>
      <c r="M77" s="575"/>
      <c r="N77" s="575"/>
      <c r="O77" s="576"/>
    </row>
    <row r="78" spans="2:15" ht="15.75" hidden="1">
      <c r="B78" s="1">
        <v>3</v>
      </c>
      <c r="C78" s="1">
        <v>3</v>
      </c>
      <c r="D78" s="546"/>
      <c r="E78" s="433"/>
      <c r="F78" s="577" t="str">
        <f>IF(F75=$F$7,$G$3,IF(AND($O$9=$O$3,ROUNDDOWN(F75,0)=$F$3),$H$3,$G$3))</f>
        <v>　レベル　2</v>
      </c>
      <c r="G78" s="580"/>
      <c r="H78" s="581"/>
      <c r="I78" s="581"/>
      <c r="J78" s="582"/>
      <c r="K78" s="577" t="str">
        <f>IF(K75=$F$7,$G$3,IF(AND($O$9=$O$3,ROUNDDOWN(K75,0)=$F$3),$H$3,$G$3))</f>
        <v>　レベル　2</v>
      </c>
      <c r="L78" s="580"/>
      <c r="M78" s="581"/>
      <c r="N78" s="581"/>
      <c r="O78" s="582"/>
    </row>
    <row r="79" spans="2:15" ht="15.75" hidden="1">
      <c r="B79" s="1" t="s">
        <v>2472</v>
      </c>
      <c r="C79" s="1" t="s">
        <v>2472</v>
      </c>
      <c r="D79" s="546"/>
      <c r="E79" s="433"/>
      <c r="F79" s="577" t="str">
        <f>IF(F75=$F$7,$G$4,IF(AND($O$9=$O$3,ROUNDDOWN(F75,0)=$F$4),$H$4,$G$4))</f>
        <v>　レベル　3</v>
      </c>
      <c r="G79" s="580" t="s">
        <v>973</v>
      </c>
      <c r="H79" s="581"/>
      <c r="I79" s="581"/>
      <c r="J79" s="582"/>
      <c r="K79" s="577" t="str">
        <f>IF(K75=$F$7,$G$4,IF(AND($O$9=$O$3,ROUNDDOWN(K75,0)=$F$4),$H$4,$G$4))</f>
        <v>　レベル　3</v>
      </c>
      <c r="L79" s="580" t="s">
        <v>2406</v>
      </c>
      <c r="M79" s="581"/>
      <c r="N79" s="581"/>
      <c r="O79" s="582"/>
    </row>
    <row r="80" spans="2:15" ht="15.75" hidden="1">
      <c r="B80" s="1">
        <v>5</v>
      </c>
      <c r="C80" s="1">
        <v>5</v>
      </c>
      <c r="D80" s="546"/>
      <c r="E80" s="433"/>
      <c r="F80" s="577" t="str">
        <f>IF(F75=$F$7,$G$5,IF(AND($O$9=$O$3,ROUNDDOWN(F75,0)=$F$5),$H$5,$G$5))</f>
        <v>　レベル　4</v>
      </c>
      <c r="G80" s="580"/>
      <c r="H80" s="581"/>
      <c r="I80" s="581"/>
      <c r="J80" s="582"/>
      <c r="K80" s="577" t="str">
        <f>IF(K75=$F$7,$G$5,IF(AND($O$9=$O$3,ROUNDDOWN(K75,0)=$F$5),$H$5,$G$5))</f>
        <v>　レベル　4</v>
      </c>
      <c r="L80" s="580"/>
      <c r="M80" s="581"/>
      <c r="N80" s="581"/>
      <c r="O80" s="582"/>
    </row>
    <row r="81" spans="2:15" ht="15.75" hidden="1">
      <c r="B81" s="594">
        <v>0</v>
      </c>
      <c r="C81" s="594">
        <v>0</v>
      </c>
      <c r="D81" s="546"/>
      <c r="E81" s="433"/>
      <c r="F81" s="587" t="str">
        <f>IF(F75=$F$7,$G$6,IF(AND($O$9=$O$3,ROUNDDOWN(F75,0)=$F$6),$H$6,$G$6))</f>
        <v>　レベル　5</v>
      </c>
      <c r="G81" s="591" t="s">
        <v>2407</v>
      </c>
      <c r="H81" s="592"/>
      <c r="I81" s="592"/>
      <c r="J81" s="593"/>
      <c r="K81" s="587" t="str">
        <f>IF(K75=$F$7,$G$6,IF(AND($O$9=$O$3,ROUNDDOWN(K75,0)=$F$6),$H$6,$G$6))</f>
        <v>　レベル　5</v>
      </c>
      <c r="L81" s="591" t="s">
        <v>2408</v>
      </c>
      <c r="M81" s="592"/>
      <c r="N81" s="592"/>
      <c r="O81" s="593"/>
    </row>
    <row r="82" spans="2:15" ht="15.75" hidden="1">
      <c r="D82" s="546"/>
      <c r="E82" s="63"/>
      <c r="F82" s="661"/>
      <c r="G82" s="661" t="s">
        <v>1053</v>
      </c>
      <c r="H82" s="570"/>
      <c r="I82" s="570"/>
      <c r="J82" s="571"/>
      <c r="K82" s="663"/>
      <c r="L82" s="661" t="s">
        <v>1053</v>
      </c>
      <c r="M82" s="570"/>
      <c r="N82" s="570"/>
      <c r="O82" s="571"/>
    </row>
    <row r="83" spans="2:15" ht="15.75">
      <c r="D83" s="546"/>
      <c r="E83" s="63"/>
      <c r="F83" s="664" t="str">
        <f>IF(F75=$F$7,$G$2,IF(AND($O$9&lt;&gt;$O$3,ROUNDDOWN(F75,0)=$F$2),$H$2,$G$2))</f>
        <v>　レベル　1</v>
      </c>
      <c r="G83" s="574" t="s">
        <v>974</v>
      </c>
      <c r="H83" s="575"/>
      <c r="I83" s="575"/>
      <c r="J83" s="576"/>
      <c r="K83" s="664" t="str">
        <f>IF(K75=$F$7,$G$2,IF(AND($O$9&lt;&gt;$O$3,ROUNDDOWN(K75,0)=$F$2),$H$2,$G$2))</f>
        <v>　レベル　1</v>
      </c>
      <c r="L83" s="574" t="s">
        <v>974</v>
      </c>
      <c r="M83" s="575"/>
      <c r="N83" s="575"/>
      <c r="O83" s="576"/>
    </row>
    <row r="84" spans="2:15" ht="15.75">
      <c r="D84" s="546"/>
      <c r="E84" s="63"/>
      <c r="F84" s="577" t="str">
        <f>IF(F75=$F$7,$G$3,IF(AND($O$9&lt;&gt;$O$3,ROUNDDOWN(F75,0)=$F$3),$H$3,$G$3))</f>
        <v>　レベル　2</v>
      </c>
      <c r="G84" s="580" t="s">
        <v>1818</v>
      </c>
      <c r="H84" s="581"/>
      <c r="I84" s="581"/>
      <c r="J84" s="582"/>
      <c r="K84" s="577" t="str">
        <f>IF(K75=$F$7,$G$3,IF(AND($O$9&lt;&gt;$O$3,ROUNDDOWN(K75,0)=$F$3),$H$3,$G$3))</f>
        <v>　レベル　2</v>
      </c>
      <c r="L84" s="580" t="s">
        <v>1818</v>
      </c>
      <c r="M84" s="581"/>
      <c r="N84" s="581"/>
      <c r="O84" s="582"/>
    </row>
    <row r="85" spans="2:15" ht="15.75">
      <c r="D85" s="546"/>
      <c r="E85" s="63"/>
      <c r="F85" s="577" t="str">
        <f>IF(F75=$F$7,$G$4,IF(AND($O$9&lt;&gt;$O$3,ROUNDDOWN(F75,0)=$F$4),$H$4,$G$4))</f>
        <v>■レベル　3</v>
      </c>
      <c r="G85" s="580" t="s">
        <v>975</v>
      </c>
      <c r="H85" s="581"/>
      <c r="I85" s="581"/>
      <c r="J85" s="582"/>
      <c r="K85" s="577" t="str">
        <f>IF(K75=$F$7,$G$4,IF(AND($O$9&lt;&gt;$O$3,ROUNDDOWN(K75,0)=$F$4),$H$4,$G$4))</f>
        <v>■レベル　3</v>
      </c>
      <c r="L85" s="580" t="s">
        <v>975</v>
      </c>
      <c r="M85" s="581"/>
      <c r="N85" s="581"/>
      <c r="O85" s="582"/>
    </row>
    <row r="86" spans="2:15" ht="15.75">
      <c r="D86" s="546"/>
      <c r="E86" s="63"/>
      <c r="F86" s="577" t="str">
        <f>IF(F75=$F$7,$G$5,IF(AND($O$9&lt;&gt;$O$3,ROUNDDOWN(F75,0)=$F$5),$H$5,$G$5))</f>
        <v>　レベル　4</v>
      </c>
      <c r="G86" s="580" t="s">
        <v>1818</v>
      </c>
      <c r="H86" s="581"/>
      <c r="I86" s="581"/>
      <c r="J86" s="582"/>
      <c r="K86" s="577" t="str">
        <f>IF(K75=$F$7,$G$5,IF(AND($O$9&lt;&gt;$O$3,ROUNDDOWN(K75,0)=$F$5),$H$5,$G$5))</f>
        <v>　レベル　4</v>
      </c>
      <c r="L86" s="580" t="s">
        <v>1818</v>
      </c>
      <c r="M86" s="581"/>
      <c r="N86" s="581"/>
      <c r="O86" s="582"/>
    </row>
    <row r="87" spans="2:15" ht="15.75">
      <c r="D87" s="546"/>
      <c r="E87" s="63"/>
      <c r="F87" s="587" t="str">
        <f>IF(F75=$F$7,$G$6,IF(AND($O$9&lt;&gt;$O$3,ROUNDDOWN(F75,0)=$F$6),$H$6,$G$6))</f>
        <v>　レベル　5</v>
      </c>
      <c r="G87" s="591" t="s">
        <v>976</v>
      </c>
      <c r="H87" s="592"/>
      <c r="I87" s="592"/>
      <c r="J87" s="593"/>
      <c r="K87" s="587" t="str">
        <f>IF(K75=$F$7,$G$6,IF(AND($O$9&lt;&gt;$O$3,ROUNDDOWN(K75,0)=$F$6),$H$6,$G$6))</f>
        <v>　レベル　5</v>
      </c>
      <c r="L87" s="591" t="s">
        <v>976</v>
      </c>
      <c r="M87" s="592"/>
      <c r="N87" s="592"/>
      <c r="O87" s="593"/>
    </row>
    <row r="88" spans="2:15" ht="15.75">
      <c r="D88" s="546"/>
      <c r="E88" s="63"/>
      <c r="F88" s="887" t="s">
        <v>3402</v>
      </c>
      <c r="G88" s="2423"/>
      <c r="H88" s="2399"/>
      <c r="I88" s="2396"/>
      <c r="J88" s="2397"/>
      <c r="K88" s="2400"/>
      <c r="L88" s="1281"/>
      <c r="M88"/>
      <c r="N88"/>
      <c r="O88"/>
    </row>
    <row r="89" spans="2:15">
      <c r="D89"/>
      <c r="E89"/>
      <c r="F89"/>
      <c r="G89"/>
      <c r="H89"/>
      <c r="I89"/>
      <c r="J89"/>
      <c r="K89"/>
      <c r="L89"/>
      <c r="M89"/>
      <c r="N89"/>
      <c r="O89"/>
    </row>
    <row r="90" spans="2:15" ht="15.75">
      <c r="D90" s="542"/>
      <c r="E90" s="543"/>
      <c r="F90" s="554" t="s">
        <v>977</v>
      </c>
      <c r="G90"/>
      <c r="H90"/>
      <c r="I90"/>
      <c r="J90"/>
      <c r="K90"/>
      <c r="L90"/>
      <c r="M90"/>
      <c r="N90"/>
      <c r="O90"/>
    </row>
    <row r="91" spans="2:15" ht="15.75" customHeight="1" thickBot="1">
      <c r="D91" s="546"/>
      <c r="E91" s="433"/>
      <c r="F91" s="558" t="s">
        <v>1543</v>
      </c>
      <c r="G91" s="559"/>
      <c r="H91" s="560"/>
      <c r="I91" s="561" t="s">
        <v>1141</v>
      </c>
      <c r="J91" s="564">
        <f>重み!M16</f>
        <v>0.4</v>
      </c>
      <c r="K91" s="558" t="s">
        <v>1638</v>
      </c>
      <c r="L91" s="559"/>
      <c r="M91" s="560"/>
      <c r="N91" s="561" t="s">
        <v>1141</v>
      </c>
      <c r="O91" s="564">
        <f>重み!N16</f>
        <v>0</v>
      </c>
    </row>
    <row r="92" spans="2:15" ht="27" customHeight="1" thickBot="1">
      <c r="D92" s="546"/>
      <c r="E92" s="433"/>
      <c r="F92" s="565">
        <v>3</v>
      </c>
      <c r="G92" s="570" t="s">
        <v>894</v>
      </c>
      <c r="H92" s="570"/>
      <c r="I92" s="661" t="s">
        <v>895</v>
      </c>
      <c r="J92" s="571"/>
      <c r="K92" s="565">
        <v>3</v>
      </c>
      <c r="L92" s="661" t="s">
        <v>1143</v>
      </c>
      <c r="M92" s="571"/>
      <c r="N92" s="661"/>
      <c r="O92" s="666"/>
    </row>
    <row r="93" spans="2:15" ht="15.75" hidden="1">
      <c r="B93" s="1">
        <v>1</v>
      </c>
      <c r="C93" s="1">
        <v>1</v>
      </c>
      <c r="D93" s="546"/>
      <c r="E93" s="433"/>
      <c r="F93" s="662"/>
      <c r="G93" s="570" t="s">
        <v>1054</v>
      </c>
      <c r="H93" s="570"/>
      <c r="I93" s="570"/>
      <c r="J93" s="571"/>
      <c r="K93" s="662"/>
      <c r="L93" s="570" t="s">
        <v>1054</v>
      </c>
      <c r="M93" s="570"/>
      <c r="N93" s="570"/>
      <c r="O93" s="571"/>
    </row>
    <row r="94" spans="2:15" ht="30" hidden="1" customHeight="1">
      <c r="B94" s="1">
        <v>2</v>
      </c>
      <c r="C94" s="1">
        <v>2</v>
      </c>
      <c r="D94" s="546"/>
      <c r="E94" s="433"/>
      <c r="F94" s="577" t="str">
        <f>IF(F92=$F$7,$G$2,IF(AND($O$9=$O$3,ROUNDDOWN(F92,0)=$F$2),$H$2,$G$2))</f>
        <v>　レベル　1</v>
      </c>
      <c r="G94" s="667" t="s">
        <v>979</v>
      </c>
      <c r="H94" s="668"/>
      <c r="I94" s="667" t="s">
        <v>2236</v>
      </c>
      <c r="J94" s="668"/>
      <c r="K94" s="577" t="str">
        <f>IF(K92=$F$7,$G$2,IF(AND($O$9=$O$3,ROUNDDOWN(K92,0)=$F$2),$H$2,$G$2))</f>
        <v>　レベル　1</v>
      </c>
      <c r="L94" s="3170" t="s">
        <v>258</v>
      </c>
      <c r="M94" s="3171"/>
      <c r="N94" s="3153" t="s">
        <v>259</v>
      </c>
      <c r="O94" s="3159"/>
    </row>
    <row r="95" spans="2:15" ht="30" hidden="1" customHeight="1">
      <c r="B95" s="1">
        <v>3</v>
      </c>
      <c r="C95" s="1">
        <v>3</v>
      </c>
      <c r="D95" s="546"/>
      <c r="E95" s="433"/>
      <c r="F95" s="577" t="str">
        <f>IF(F92=$F$7,$G$3,IF(AND($O$9=$O$3,ROUNDDOWN(F92,0)=$F$3),$H$3,$G$3))</f>
        <v>　レベル　2</v>
      </c>
      <c r="G95" s="580"/>
      <c r="H95" s="581"/>
      <c r="I95" s="580"/>
      <c r="J95" s="581"/>
      <c r="K95" s="577" t="str">
        <f>IF(K92=$F$7,$G$3,IF(AND($O$9=$O$3,ROUNDDOWN(K92,0)=$F$3),$H$3,$G$3))</f>
        <v>　レベル　2</v>
      </c>
      <c r="L95" s="579"/>
      <c r="M95" s="669"/>
      <c r="N95" s="584"/>
      <c r="O95" s="669"/>
    </row>
    <row r="96" spans="2:15" ht="30" hidden="1" customHeight="1">
      <c r="B96" s="1">
        <v>4</v>
      </c>
      <c r="C96" s="1">
        <v>4</v>
      </c>
      <c r="D96" s="546"/>
      <c r="E96" s="433"/>
      <c r="F96" s="577" t="str">
        <f>IF(F92=$F$7,$G$4,IF(AND($O$9=$O$3,ROUNDDOWN(F92,0)=$F$4),$H$4,$G$4))</f>
        <v>　レベル　3</v>
      </c>
      <c r="G96" s="580" t="s">
        <v>260</v>
      </c>
      <c r="H96" s="581"/>
      <c r="I96" s="580" t="s">
        <v>261</v>
      </c>
      <c r="J96" s="581"/>
      <c r="K96" s="577" t="str">
        <f>IF(K92=$F$7,$G$4,IF(AND($O$9=$O$3,ROUNDDOWN(K92,0)=$F$4),$H$4,$G$4))</f>
        <v>　レベル　3</v>
      </c>
      <c r="L96" s="3175" t="s">
        <v>262</v>
      </c>
      <c r="M96" s="3158"/>
      <c r="N96" s="3157" t="s">
        <v>263</v>
      </c>
      <c r="O96" s="3158"/>
    </row>
    <row r="97" spans="2:15" ht="30" hidden="1" customHeight="1">
      <c r="B97" s="1">
        <v>5</v>
      </c>
      <c r="C97" s="1">
        <v>5</v>
      </c>
      <c r="D97" s="546"/>
      <c r="E97" s="433"/>
      <c r="F97" s="577" t="str">
        <f>IF(F92=$F$7,$G$5,IF(AND($O$9=$O$3,ROUNDDOWN(F92,0)=$F$5),$H$5,$G$5))</f>
        <v>　レベル　4</v>
      </c>
      <c r="G97" s="580" t="s">
        <v>2237</v>
      </c>
      <c r="H97" s="581"/>
      <c r="I97" s="580" t="s">
        <v>2237</v>
      </c>
      <c r="J97" s="581"/>
      <c r="K97" s="577" t="str">
        <f>IF(K92=$F$7,$G$5,IF(AND($O$9=$O$3,ROUNDDOWN(K92,0)=$F$5),$H$5,$G$5))</f>
        <v>　レベル　4</v>
      </c>
      <c r="L97" s="579"/>
      <c r="M97" s="669"/>
      <c r="N97" s="584"/>
      <c r="O97" s="669"/>
    </row>
    <row r="98" spans="2:15" ht="30" hidden="1" customHeight="1">
      <c r="B98" s="594">
        <v>0</v>
      </c>
      <c r="C98" s="594">
        <v>0</v>
      </c>
      <c r="D98" s="546"/>
      <c r="E98" s="433"/>
      <c r="F98" s="587" t="str">
        <f>IF(F92=$F$7,$G$6,IF(AND($O$9=$O$3,ROUNDDOWN(F92,0)=$F$6),$H$6,$G$6))</f>
        <v>　レベル　5</v>
      </c>
      <c r="G98" s="591" t="s">
        <v>2238</v>
      </c>
      <c r="H98" s="592"/>
      <c r="I98" s="591" t="s">
        <v>264</v>
      </c>
      <c r="J98" s="592"/>
      <c r="K98" s="587" t="str">
        <f>IF(K92=$F$7,$G$6,IF(AND($O$9=$O$3,ROUNDDOWN(K92,0)=$F$6),$H$6,$G$6))</f>
        <v>　レベル　5</v>
      </c>
      <c r="L98" s="3176" t="s">
        <v>2239</v>
      </c>
      <c r="M98" s="3156"/>
      <c r="N98" s="3155" t="s">
        <v>2240</v>
      </c>
      <c r="O98" s="3156"/>
    </row>
    <row r="99" spans="2:15" ht="15.75" hidden="1">
      <c r="D99" s="546"/>
      <c r="E99" s="433"/>
      <c r="F99" s="663"/>
      <c r="G99" s="661" t="s">
        <v>1053</v>
      </c>
      <c r="H99" s="570"/>
      <c r="I99" s="570"/>
      <c r="J99" s="571"/>
      <c r="K99" s="663"/>
      <c r="L99" s="661" t="s">
        <v>1053</v>
      </c>
      <c r="M99" s="570"/>
      <c r="N99" s="570"/>
      <c r="O99" s="571"/>
    </row>
    <row r="100" spans="2:15" ht="15.75">
      <c r="D100" s="546"/>
      <c r="E100" s="433"/>
      <c r="F100" s="664" t="str">
        <f>IF(F92=$F$7,$G$2,IF(AND($O$9&lt;&gt;$O$3,ROUNDDOWN(F92,0)=$F$2),$H$2,$G$2))</f>
        <v>　レベル　1</v>
      </c>
      <c r="G100" s="574" t="s">
        <v>2241</v>
      </c>
      <c r="H100" s="575"/>
      <c r="I100" s="574" t="s">
        <v>2242</v>
      </c>
      <c r="J100" s="575"/>
      <c r="K100" s="664" t="str">
        <f>IF(K92=$F$7,$G$2,IF(AND($O$9&lt;&gt;$O$3,ROUNDDOWN(K92,0)=$F$2),$H$2,$G$2))</f>
        <v>　レベル　1</v>
      </c>
      <c r="L100" s="625" t="s">
        <v>265</v>
      </c>
      <c r="M100" s="3173"/>
      <c r="N100" s="3173"/>
      <c r="O100" s="3159"/>
    </row>
    <row r="101" spans="2:15" ht="15.75">
      <c r="D101" s="546"/>
      <c r="E101" s="433"/>
      <c r="F101" s="577" t="str">
        <f>IF(F92=$F$7,$G$3,IF(AND($O$9&lt;&gt;$O$3,ROUNDDOWN(F92,0)=$F$3),$H$3,$G$3))</f>
        <v>　レベル　2</v>
      </c>
      <c r="G101" s="580" t="s">
        <v>2243</v>
      </c>
      <c r="H101" s="581"/>
      <c r="I101" s="580" t="s">
        <v>2244</v>
      </c>
      <c r="J101" s="581"/>
      <c r="K101" s="577" t="str">
        <f>IF(K92=$F$7,$G$3,IF(AND($O$9&lt;&gt;$O$3,ROUNDDOWN(K92,0)=$F$3),$H$3,$G$3))</f>
        <v>　レベル　2</v>
      </c>
      <c r="L101" s="584" t="s">
        <v>266</v>
      </c>
      <c r="M101" s="3174"/>
      <c r="N101" s="3163"/>
      <c r="O101" s="3158"/>
    </row>
    <row r="102" spans="2:15" ht="15.75">
      <c r="D102" s="546"/>
      <c r="E102" s="433"/>
      <c r="F102" s="577" t="str">
        <f>IF(F92=$F$7,$G$4,IF(AND($O$9&lt;&gt;$O$3,ROUNDDOWN(F92,0)=$F$4),$H$4,$G$4))</f>
        <v>■レベル　3</v>
      </c>
      <c r="G102" s="580" t="s">
        <v>2244</v>
      </c>
      <c r="H102" s="581"/>
      <c r="I102" s="580" t="s">
        <v>2245</v>
      </c>
      <c r="J102" s="581"/>
      <c r="K102" s="577" t="str">
        <f>IF(K92=$F$7,$G$4,IF(AND($O$9&lt;&gt;$O$3,ROUNDDOWN(K92,0)=$F$4),$H$4,$G$4))</f>
        <v>■レベル　3</v>
      </c>
      <c r="L102" s="584" t="s">
        <v>267</v>
      </c>
      <c r="M102" s="3174"/>
      <c r="N102" s="3163"/>
      <c r="O102" s="3158"/>
    </row>
    <row r="103" spans="2:15" ht="15.75">
      <c r="D103" s="546"/>
      <c r="E103" s="433"/>
      <c r="F103" s="577" t="str">
        <f>IF(F92=$F$7,$G$5,IF(AND($O$9&lt;&gt;$O$3,ROUNDDOWN(F92,0)=$F$5),$H$5,$G$5))</f>
        <v>　レベル　4</v>
      </c>
      <c r="G103" s="580" t="s">
        <v>2245</v>
      </c>
      <c r="H103" s="581"/>
      <c r="I103" s="580" t="s">
        <v>1674</v>
      </c>
      <c r="J103" s="581"/>
      <c r="K103" s="577" t="str">
        <f>IF(K92=$F$7,$G$5,IF(AND($O$9&lt;&gt;$O$3,ROUNDDOWN(K92,0)=$F$5),$H$5,$G$5))</f>
        <v>　レベル　4</v>
      </c>
      <c r="L103" s="584" t="s">
        <v>268</v>
      </c>
      <c r="M103" s="3174"/>
      <c r="N103" s="3163"/>
      <c r="O103" s="3158"/>
    </row>
    <row r="104" spans="2:15" ht="15.75">
      <c r="D104" s="546"/>
      <c r="E104" s="433"/>
      <c r="F104" s="587" t="str">
        <f>IF(F92=$F$7,$G$6,IF(AND($O$9&lt;&gt;$O$3,ROUNDDOWN(F92,0)=$F$6),$H$6,$G$6))</f>
        <v>　レベル　5</v>
      </c>
      <c r="G104" s="591" t="s">
        <v>1675</v>
      </c>
      <c r="H104" s="592"/>
      <c r="I104" s="591" t="s">
        <v>1676</v>
      </c>
      <c r="J104" s="592"/>
      <c r="K104" s="587" t="str">
        <f>IF(K92=$F$7,$G$6,IF(AND($O$9&lt;&gt;$O$3,ROUNDDOWN(K92,0)=$F$6),$H$6,$G$6))</f>
        <v>　レベル　5</v>
      </c>
      <c r="L104" s="588" t="s">
        <v>1677</v>
      </c>
      <c r="M104" s="3179"/>
      <c r="N104" s="3162"/>
      <c r="O104" s="3156"/>
    </row>
    <row r="105" spans="2:15" ht="15.75">
      <c r="D105" s="546"/>
      <c r="E105" s="433"/>
      <c r="F105" s="887" t="s">
        <v>3402</v>
      </c>
      <c r="G105" s="2423"/>
      <c r="H105" s="2399"/>
      <c r="I105" s="2396"/>
      <c r="J105" s="2397"/>
      <c r="K105" s="2400"/>
      <c r="L105" s="1281"/>
      <c r="M105"/>
      <c r="N105"/>
      <c r="O105"/>
    </row>
    <row r="106" spans="2:15" ht="15.75">
      <c r="D106" s="546"/>
      <c r="E106" s="433"/>
      <c r="F106" s="433"/>
      <c r="G106"/>
      <c r="H106"/>
      <c r="I106"/>
      <c r="J106"/>
      <c r="K106"/>
      <c r="L106"/>
      <c r="M106"/>
      <c r="N106"/>
      <c r="O106"/>
    </row>
    <row r="107" spans="2:15" ht="15.75">
      <c r="D107" s="542"/>
      <c r="E107" s="543"/>
      <c r="F107" s="554" t="s">
        <v>269</v>
      </c>
      <c r="G107"/>
      <c r="H107"/>
      <c r="I107"/>
      <c r="J107" t="str">
        <f>IF(OR(F109=0,AND(J108=0,O108=0)),$L$3,"")</f>
        <v>&lt;評価しない&gt;</v>
      </c>
      <c r="K107"/>
      <c r="L107"/>
      <c r="M107"/>
      <c r="N107"/>
      <c r="O107"/>
    </row>
    <row r="108" spans="2:15" ht="16.5" thickBot="1">
      <c r="D108" s="546"/>
      <c r="E108" s="550"/>
      <c r="F108" s="558" t="s">
        <v>270</v>
      </c>
      <c r="G108" s="559"/>
      <c r="H108" s="560"/>
      <c r="I108" s="561" t="s">
        <v>1141</v>
      </c>
      <c r="J108" s="564">
        <f>重み!M17</f>
        <v>0</v>
      </c>
      <c r="K108" s="558" t="s">
        <v>1638</v>
      </c>
      <c r="L108" s="559"/>
      <c r="M108" s="560"/>
      <c r="N108" s="561" t="s">
        <v>1141</v>
      </c>
      <c r="O108" s="564">
        <f>重み!N17</f>
        <v>0</v>
      </c>
    </row>
    <row r="109" spans="2:15" ht="27" customHeight="1" thickBot="1">
      <c r="D109" s="546"/>
      <c r="E109" s="550"/>
      <c r="F109" s="565">
        <v>3</v>
      </c>
      <c r="G109" s="661" t="s">
        <v>1678</v>
      </c>
      <c r="H109" s="570"/>
      <c r="I109" s="570"/>
      <c r="J109" s="571"/>
      <c r="K109" s="565">
        <v>3</v>
      </c>
      <c r="L109" s="661" t="s">
        <v>271</v>
      </c>
      <c r="M109" s="570"/>
      <c r="N109" s="570"/>
      <c r="O109" s="571"/>
    </row>
    <row r="110" spans="2:15" ht="15.75" hidden="1">
      <c r="B110" s="1">
        <v>1</v>
      </c>
      <c r="C110" s="1">
        <v>1</v>
      </c>
      <c r="D110" s="546"/>
      <c r="E110" s="550"/>
      <c r="F110" s="662"/>
      <c r="G110" s="661" t="s">
        <v>1054</v>
      </c>
      <c r="H110" s="570"/>
      <c r="I110" s="570"/>
      <c r="J110" s="571"/>
      <c r="K110" s="662"/>
      <c r="L110" s="661" t="s">
        <v>1054</v>
      </c>
      <c r="M110" s="570"/>
      <c r="N110" s="570"/>
      <c r="O110" s="571"/>
    </row>
    <row r="111" spans="2:15" ht="15.75" hidden="1">
      <c r="B111" s="1">
        <v>2</v>
      </c>
      <c r="C111" s="1">
        <v>2</v>
      </c>
      <c r="D111" s="546"/>
      <c r="E111" s="671"/>
      <c r="F111" s="577" t="str">
        <f>IF(F109=$F$7,$G$2,IF(AND($O$9=$O$3,ROUNDDOWN(F109,0)=$F$2),$H$2,$G$2))</f>
        <v>　レベル　1</v>
      </c>
      <c r="G111" s="574" t="s">
        <v>272</v>
      </c>
      <c r="H111" s="575"/>
      <c r="I111" s="575"/>
      <c r="J111" s="576"/>
      <c r="K111" s="577" t="str">
        <f>IF(K109=$F$7,$G$2,IF(AND($O$9=$O$3,ROUNDDOWN(K109,0)=$F$2),$H$2,$G$2))</f>
        <v>　レベル　1</v>
      </c>
      <c r="L111" s="574" t="s">
        <v>525</v>
      </c>
      <c r="M111" s="575"/>
      <c r="N111" s="575"/>
      <c r="O111" s="576"/>
    </row>
    <row r="112" spans="2:15" ht="15.75" hidden="1">
      <c r="B112" s="1">
        <v>3</v>
      </c>
      <c r="C112" s="1">
        <v>3</v>
      </c>
      <c r="D112" s="546"/>
      <c r="E112" s="671"/>
      <c r="F112" s="577" t="str">
        <f>IF(F109=$F$7,$G$3,IF(AND($O$9=$O$3,ROUNDDOWN(F109,0)=$F$3),$H$3,$G$3))</f>
        <v>　レベル　2</v>
      </c>
      <c r="G112" s="580"/>
      <c r="H112" s="581"/>
      <c r="I112" s="581"/>
      <c r="J112" s="582"/>
      <c r="K112" s="577" t="str">
        <f>IF(K109=$F$7,$G$3,IF(AND($O$9=$O$3,ROUNDDOWN(K109,0)=$F$3),$H$3,$G$3))</f>
        <v>　レベル　2</v>
      </c>
      <c r="L112" s="580"/>
      <c r="M112" s="581"/>
      <c r="N112" s="581"/>
      <c r="O112" s="582"/>
    </row>
    <row r="113" spans="2:15" ht="15.75" hidden="1">
      <c r="B113" s="1">
        <v>4</v>
      </c>
      <c r="C113" s="1">
        <v>4</v>
      </c>
      <c r="D113" s="546"/>
      <c r="E113" s="671"/>
      <c r="F113" s="577" t="str">
        <f>IF(F109=$F$7,$G$4,IF(AND($O$9=$O$3,ROUNDDOWN(F109,0)=$F$4),$H$4,$G$4))</f>
        <v>　レベル　3</v>
      </c>
      <c r="G113" s="580" t="s">
        <v>525</v>
      </c>
      <c r="H113" s="581"/>
      <c r="I113" s="581"/>
      <c r="J113" s="582"/>
      <c r="K113" s="577" t="str">
        <f>IF(K109=$F$7,$G$4,IF(AND($O$9=$O$3,ROUNDDOWN(K109,0)=$F$4),$H$4,$G$4))</f>
        <v>　レベル　3</v>
      </c>
      <c r="L113" s="580" t="s">
        <v>526</v>
      </c>
      <c r="M113" s="581"/>
      <c r="N113" s="581"/>
      <c r="O113" s="582"/>
    </row>
    <row r="114" spans="2:15" ht="15.75" hidden="1">
      <c r="B114" s="1">
        <v>5</v>
      </c>
      <c r="C114" s="1">
        <v>5</v>
      </c>
      <c r="D114" s="546"/>
      <c r="E114" s="671"/>
      <c r="F114" s="577" t="str">
        <f>IF(F109=$F$7,$G$5,IF(AND($O$9=$O$3,ROUNDDOWN(F109,0)=$F$5),$H$5,$G$5))</f>
        <v>　レベル　4</v>
      </c>
      <c r="G114" s="580"/>
      <c r="H114" s="581"/>
      <c r="I114" s="581"/>
      <c r="J114" s="582"/>
      <c r="K114" s="577" t="str">
        <f>IF(K109=$F$7,$G$5,IF(AND($O$9=$O$3,ROUNDDOWN(K109,0)=$F$5),$H$5,$G$5))</f>
        <v>　レベル　4</v>
      </c>
      <c r="L114" s="580"/>
      <c r="M114" s="581"/>
      <c r="N114" s="581"/>
      <c r="O114" s="582"/>
    </row>
    <row r="115" spans="2:15" ht="15.75" hidden="1">
      <c r="B115" s="594">
        <v>0</v>
      </c>
      <c r="C115" s="594">
        <v>0</v>
      </c>
      <c r="D115" s="546"/>
      <c r="E115" s="671"/>
      <c r="F115" s="587" t="str">
        <f>IF(F109=$F$7,$G$6,IF(AND($O$9=$O$3,ROUNDDOWN(F109,0)=$F$6),$H$6,$G$6))</f>
        <v>　レベル　5</v>
      </c>
      <c r="G115" s="591" t="s">
        <v>527</v>
      </c>
      <c r="H115" s="592"/>
      <c r="I115" s="592"/>
      <c r="J115" s="593"/>
      <c r="K115" s="587" t="str">
        <f>IF(K109=$F$7,$G$6,IF(AND($O$9=$O$3,ROUNDDOWN(K109,0)=$F$6),$H$6,$G$6))</f>
        <v>　レベル　5</v>
      </c>
      <c r="L115" s="591" t="s">
        <v>528</v>
      </c>
      <c r="M115" s="592"/>
      <c r="N115" s="592"/>
      <c r="O115" s="593"/>
    </row>
    <row r="116" spans="2:15" ht="15.75" hidden="1">
      <c r="D116" s="546"/>
      <c r="E116" s="433"/>
      <c r="F116" s="663"/>
      <c r="G116" s="661" t="s">
        <v>1053</v>
      </c>
      <c r="H116" s="570"/>
      <c r="I116" s="570"/>
      <c r="J116" s="571"/>
      <c r="K116" s="663"/>
      <c r="L116" s="661" t="s">
        <v>1053</v>
      </c>
      <c r="M116" s="570"/>
      <c r="N116" s="570"/>
      <c r="O116" s="571"/>
    </row>
    <row r="117" spans="2:15" ht="15.75">
      <c r="D117" s="546"/>
      <c r="E117" s="433"/>
      <c r="F117" s="664" t="str">
        <f>IF(F109=$F$7,$G$2,IF(AND($O$9&lt;&gt;$O$3,ROUNDDOWN(F109,0)=$F$2),$H$2,$G$2))</f>
        <v>　レベル　1</v>
      </c>
      <c r="G117" s="574" t="s">
        <v>529</v>
      </c>
      <c r="H117" s="575"/>
      <c r="I117" s="575"/>
      <c r="J117" s="576"/>
      <c r="K117" s="664" t="str">
        <f>IF(K109=$F$7,$G$2,IF(AND($O$9&lt;&gt;$O$3,ROUNDDOWN(K109,0)=$F$2),$H$2,$G$2))</f>
        <v>　レベル　1</v>
      </c>
      <c r="L117" s="574" t="s">
        <v>530</v>
      </c>
      <c r="M117" s="575"/>
      <c r="N117" s="575"/>
      <c r="O117" s="576"/>
    </row>
    <row r="118" spans="2:15" ht="15.75">
      <c r="D118" s="546"/>
      <c r="E118" s="433"/>
      <c r="F118" s="577" t="str">
        <f>IF(F109=$F$7,$G$3,IF(AND($O$9&lt;&gt;$O$3,ROUNDDOWN(F109,0)=$F$3),$H$3,$G$3))</f>
        <v>　レベル　2</v>
      </c>
      <c r="G118" s="580" t="s">
        <v>531</v>
      </c>
      <c r="H118" s="581"/>
      <c r="I118" s="581"/>
      <c r="J118" s="582"/>
      <c r="K118" s="577" t="str">
        <f>IF(K109=$F$7,$G$3,IF(AND($O$9&lt;&gt;$O$3,ROUNDDOWN(K109,0)=$F$3),$H$3,$G$3))</f>
        <v>　レベル　2</v>
      </c>
      <c r="L118" s="580" t="s">
        <v>1561</v>
      </c>
      <c r="M118" s="581"/>
      <c r="N118" s="581"/>
      <c r="O118" s="582"/>
    </row>
    <row r="119" spans="2:15" ht="15.75">
      <c r="D119" s="546"/>
      <c r="E119" s="433"/>
      <c r="F119" s="577" t="str">
        <f>IF(F109=$F$7,$G$4,IF(AND($O$9&lt;&gt;$O$3,ROUNDDOWN(F109,0)=$F$4),$H$4,$G$4))</f>
        <v>■レベル　3</v>
      </c>
      <c r="G119" s="580" t="s">
        <v>1562</v>
      </c>
      <c r="H119" s="581"/>
      <c r="I119" s="581"/>
      <c r="J119" s="582"/>
      <c r="K119" s="577" t="str">
        <f>IF(K109=$F$7,$G$4,IF(AND($O$9&lt;&gt;$O$3,ROUNDDOWN(K109,0)=$F$4),$H$4,$G$4))</f>
        <v>■レベル　3</v>
      </c>
      <c r="L119" s="580" t="s">
        <v>1563</v>
      </c>
      <c r="M119" s="581"/>
      <c r="N119" s="581"/>
      <c r="O119" s="582"/>
    </row>
    <row r="120" spans="2:15" ht="15.75">
      <c r="D120" s="546"/>
      <c r="E120" s="433"/>
      <c r="F120" s="577" t="str">
        <f>IF(F109=$F$7,$G$5,IF(AND($O$9&lt;&gt;$O$3,ROUNDDOWN(F109,0)=$F$5),$H$5,$G$5))</f>
        <v>　レベル　4</v>
      </c>
      <c r="G120" s="580" t="s">
        <v>1561</v>
      </c>
      <c r="H120" s="581"/>
      <c r="I120" s="581"/>
      <c r="J120" s="582"/>
      <c r="K120" s="577" t="str">
        <f>IF(K109=$F$7,$G$5,IF(AND($O$9&lt;&gt;$O$3,ROUNDDOWN(K109,0)=$F$5),$H$5,$G$5))</f>
        <v>　レベル　4</v>
      </c>
      <c r="L120" s="580" t="s">
        <v>1564</v>
      </c>
      <c r="M120" s="581"/>
      <c r="N120" s="581"/>
      <c r="O120" s="582"/>
    </row>
    <row r="121" spans="2:15" ht="15.75">
      <c r="D121" s="546"/>
      <c r="E121" s="433"/>
      <c r="F121" s="587" t="str">
        <f>IF(F109=$F$7,$G$6,IF(AND($O$9&lt;&gt;$O$3,ROUNDDOWN(F109,0)=$F$6),$H$6,$G$6))</f>
        <v>　レベル　5</v>
      </c>
      <c r="G121" s="591" t="s">
        <v>1565</v>
      </c>
      <c r="H121" s="592"/>
      <c r="I121" s="592"/>
      <c r="J121" s="593"/>
      <c r="K121" s="587" t="str">
        <f>IF(K109=$F$7,$G$6,IF(AND($O$9&lt;&gt;$O$3,ROUNDDOWN(K109,0)=$F$6),$H$6,$G$6))</f>
        <v>　レベル　5</v>
      </c>
      <c r="L121" s="591" t="s">
        <v>1857</v>
      </c>
      <c r="M121" s="592"/>
      <c r="N121" s="592"/>
      <c r="O121" s="593"/>
    </row>
    <row r="122" spans="2:15" ht="15.75">
      <c r="D122" s="546"/>
      <c r="E122" s="433"/>
      <c r="F122" s="887" t="s">
        <v>3402</v>
      </c>
      <c r="G122" s="2423"/>
      <c r="H122" s="2399"/>
      <c r="I122" s="2396"/>
      <c r="J122" s="2397"/>
      <c r="K122" s="2400"/>
      <c r="L122" s="1281"/>
      <c r="M122"/>
      <c r="N122"/>
      <c r="O122"/>
    </row>
    <row r="123" spans="2:15" ht="15.75">
      <c r="D123" s="546"/>
      <c r="E123" s="433"/>
      <c r="F123" s="433"/>
      <c r="G123"/>
      <c r="H123"/>
      <c r="I123"/>
      <c r="J123"/>
      <c r="K123"/>
      <c r="L123"/>
      <c r="M123"/>
      <c r="N123"/>
      <c r="O123"/>
    </row>
    <row r="124" spans="2:15" ht="15.75">
      <c r="D124" s="542"/>
      <c r="E124" s="63"/>
      <c r="F124" s="554" t="s">
        <v>1858</v>
      </c>
      <c r="G124"/>
      <c r="H124"/>
      <c r="I124"/>
      <c r="J124" t="str">
        <f>IF(OR(F126=0,AND(J125=0,O125=0)),$L$3,"")</f>
        <v>&lt;評価しない&gt;</v>
      </c>
      <c r="K124"/>
      <c r="L124"/>
      <c r="M124"/>
      <c r="N124"/>
      <c r="O124"/>
    </row>
    <row r="125" spans="2:15" ht="16.5" thickBot="1">
      <c r="D125" s="546"/>
      <c r="E125" s="433"/>
      <c r="F125" s="558" t="s">
        <v>1543</v>
      </c>
      <c r="G125" s="559"/>
      <c r="H125" s="560"/>
      <c r="I125" s="561" t="s">
        <v>1141</v>
      </c>
      <c r="J125" s="564">
        <f>重み!M18</f>
        <v>0</v>
      </c>
      <c r="K125" s="558" t="s">
        <v>1638</v>
      </c>
      <c r="L125" s="559"/>
      <c r="M125" s="560"/>
      <c r="N125" s="561" t="s">
        <v>1141</v>
      </c>
      <c r="O125" s="564">
        <f>重み!N18</f>
        <v>0</v>
      </c>
    </row>
    <row r="126" spans="2:15" ht="27" customHeight="1" thickBot="1">
      <c r="D126" s="546"/>
      <c r="E126" s="433"/>
      <c r="F126" s="565">
        <v>3</v>
      </c>
      <c r="G126" s="661" t="s">
        <v>1678</v>
      </c>
      <c r="H126" s="570"/>
      <c r="I126" s="570"/>
      <c r="J126" s="571"/>
      <c r="K126" s="565">
        <v>3</v>
      </c>
      <c r="L126" s="661" t="s">
        <v>271</v>
      </c>
      <c r="M126" s="570"/>
      <c r="N126" s="570"/>
      <c r="O126" s="571"/>
    </row>
    <row r="127" spans="2:15" ht="15.75" hidden="1">
      <c r="B127" s="1">
        <v>1</v>
      </c>
      <c r="C127" s="1">
        <v>1</v>
      </c>
      <c r="D127" s="546"/>
      <c r="E127" s="433"/>
      <c r="F127" s="662"/>
      <c r="G127" s="661" t="s">
        <v>1054</v>
      </c>
      <c r="H127" s="570"/>
      <c r="I127" s="570"/>
      <c r="J127" s="571"/>
      <c r="K127" s="662"/>
      <c r="L127" s="661" t="s">
        <v>1054</v>
      </c>
      <c r="M127" s="570"/>
      <c r="N127" s="570"/>
      <c r="O127" s="571"/>
    </row>
    <row r="128" spans="2:15" ht="15.75" hidden="1">
      <c r="B128" s="1">
        <v>2</v>
      </c>
      <c r="C128" s="1">
        <v>2</v>
      </c>
      <c r="D128" s="546"/>
      <c r="E128" s="433"/>
      <c r="F128" s="577" t="str">
        <f>IF(F126=$F$7,$G$2,IF(AND($O$9=$O$3,ROUNDDOWN(F126,0)=$F$2),$H$2,$G$2))</f>
        <v>　レベル　1</v>
      </c>
      <c r="G128" s="574" t="s">
        <v>1859</v>
      </c>
      <c r="H128" s="575"/>
      <c r="I128" s="575"/>
      <c r="J128" s="576"/>
      <c r="K128" s="577" t="str">
        <f>IF(K126=$F$7,$G$2,IF(AND($O$9=$O$3,ROUNDDOWN(K126,0)=$F$2),$H$2,$G$2))</f>
        <v>　レベル　1</v>
      </c>
      <c r="L128" s="574" t="s">
        <v>1860</v>
      </c>
      <c r="M128" s="575"/>
      <c r="N128" s="575"/>
      <c r="O128" s="576"/>
    </row>
    <row r="129" spans="2:15" ht="15.75" hidden="1">
      <c r="B129" s="1">
        <v>3</v>
      </c>
      <c r="C129" s="1">
        <v>3</v>
      </c>
      <c r="D129" s="546"/>
      <c r="E129" s="433"/>
      <c r="F129" s="577" t="str">
        <f>IF(F126=$F$7,$G$3,IF(AND($O$9=$O$3,ROUNDDOWN(F126,0)=$F$3),$H$3,$G$3))</f>
        <v>　レベル　2</v>
      </c>
      <c r="G129" s="580"/>
      <c r="H129" s="581"/>
      <c r="I129" s="581"/>
      <c r="J129" s="582"/>
      <c r="K129" s="577" t="str">
        <f>IF(K126=$F$7,$G$3,IF(AND($O$9=$O$3,ROUNDDOWN(K126,0)=$F$3),$H$3,$G$3))</f>
        <v>　レベル　2</v>
      </c>
      <c r="L129" s="580"/>
      <c r="M129" s="581"/>
      <c r="N129" s="581"/>
      <c r="O129" s="582"/>
    </row>
    <row r="130" spans="2:15" ht="15.75" hidden="1">
      <c r="B130" s="1">
        <v>4</v>
      </c>
      <c r="C130" s="1">
        <v>4</v>
      </c>
      <c r="D130" s="546"/>
      <c r="E130" s="433"/>
      <c r="F130" s="577" t="str">
        <f>IF(F126=$F$7,$G$4,IF(AND($O$9=$O$3,ROUNDDOWN(F126,0)=$F$4),$H$4,$G$4))</f>
        <v>　レベル　3</v>
      </c>
      <c r="G130" s="580" t="s">
        <v>1861</v>
      </c>
      <c r="H130" s="581"/>
      <c r="I130" s="581"/>
      <c r="J130" s="582"/>
      <c r="K130" s="577" t="str">
        <f>IF(K126=$F$7,$G$4,IF(AND($O$9=$O$3,ROUNDDOWN(K126,0)=$F$4),$H$4,$G$4))</f>
        <v>　レベル　3</v>
      </c>
      <c r="L130" s="580" t="s">
        <v>1862</v>
      </c>
      <c r="M130" s="581"/>
      <c r="N130" s="581"/>
      <c r="O130" s="582"/>
    </row>
    <row r="131" spans="2:15" ht="15.75" hidden="1">
      <c r="B131" s="1">
        <v>5</v>
      </c>
      <c r="C131" s="1">
        <v>5</v>
      </c>
      <c r="D131" s="546"/>
      <c r="E131" s="433"/>
      <c r="F131" s="577" t="str">
        <f>IF(F126=$F$7,$G$5,IF(AND($O$9=$O$3,ROUNDDOWN(F126,0)=$F$5),$H$5,$G$5))</f>
        <v>　レベル　4</v>
      </c>
      <c r="G131" s="580"/>
      <c r="H131" s="581"/>
      <c r="I131" s="581"/>
      <c r="J131" s="582"/>
      <c r="K131" s="577" t="str">
        <f>IF(K126=$F$7,$G$5,IF(AND($O$9=$O$3,ROUNDDOWN(K126,0)=$F$5),$H$5,$G$5))</f>
        <v>　レベル　4</v>
      </c>
      <c r="L131" s="580"/>
      <c r="M131" s="581"/>
      <c r="N131" s="581"/>
      <c r="O131" s="582"/>
    </row>
    <row r="132" spans="2:15" ht="15.75" hidden="1">
      <c r="B132" s="594">
        <v>0</v>
      </c>
      <c r="C132" s="594">
        <v>0</v>
      </c>
      <c r="D132" s="546"/>
      <c r="E132" s="433"/>
      <c r="F132" s="587" t="str">
        <f>IF(F126=$F$7,$G$6,IF(AND($O$9=$O$3,ROUNDDOWN(F126,0)=$F$6),$H$6,$G$6))</f>
        <v>　レベル　5</v>
      </c>
      <c r="G132" s="591" t="s">
        <v>1863</v>
      </c>
      <c r="H132" s="592"/>
      <c r="I132" s="592"/>
      <c r="J132" s="593"/>
      <c r="K132" s="587" t="str">
        <f>IF(K126=$F$7,$G$6,IF(AND($O$9=$O$3,ROUNDDOWN(K126,0)=$F$6),$H$6,$G$6))</f>
        <v>　レベル　5</v>
      </c>
      <c r="L132" s="591" t="s">
        <v>1864</v>
      </c>
      <c r="M132" s="592"/>
      <c r="N132" s="592"/>
      <c r="O132" s="593"/>
    </row>
    <row r="133" spans="2:15" ht="15.75" hidden="1">
      <c r="D133" s="546"/>
      <c r="E133" s="433"/>
      <c r="F133" s="663"/>
      <c r="G133" s="661" t="s">
        <v>1053</v>
      </c>
      <c r="H133" s="570"/>
      <c r="I133" s="570"/>
      <c r="J133" s="571"/>
      <c r="K133" s="663"/>
      <c r="L133" s="661" t="s">
        <v>1053</v>
      </c>
      <c r="M133" s="570"/>
      <c r="N133" s="570"/>
      <c r="O133" s="571"/>
    </row>
    <row r="134" spans="2:15" ht="15.75">
      <c r="D134" s="546"/>
      <c r="E134" s="433"/>
      <c r="F134" s="664" t="str">
        <f>IF(F126=$F$7,$G$2,IF(AND($O$9&lt;&gt;$O$3,ROUNDDOWN(F126,0)=$F$2),$H$2,$G$2))</f>
        <v>　レベル　1</v>
      </c>
      <c r="G134" s="574" t="s">
        <v>529</v>
      </c>
      <c r="H134" s="575"/>
      <c r="I134" s="575"/>
      <c r="J134" s="576"/>
      <c r="K134" s="664" t="str">
        <f>IF(K126=$F$7,$G$2,IF(AND($O$9&lt;&gt;$O$3,ROUNDDOWN(K126,0)=$F$2),$H$2,$G$2))</f>
        <v>　レベル　1</v>
      </c>
      <c r="L134" s="574" t="s">
        <v>1865</v>
      </c>
      <c r="M134" s="575"/>
      <c r="N134" s="575"/>
      <c r="O134" s="576"/>
    </row>
    <row r="135" spans="2:15" ht="15.75">
      <c r="D135" s="546"/>
      <c r="E135" s="433"/>
      <c r="F135" s="577" t="str">
        <f>IF(F126=$F$7,$G$3,IF(AND($O$9&lt;&gt;$O$3,ROUNDDOWN(F126,0)=$F$3),$H$3,$G$3))</f>
        <v>　レベル　2</v>
      </c>
      <c r="G135" s="580" t="s">
        <v>531</v>
      </c>
      <c r="H135" s="581"/>
      <c r="I135" s="581"/>
      <c r="J135" s="582"/>
      <c r="K135" s="577" t="str">
        <f>IF(K126=$F$7,$G$3,IF(AND($O$9&lt;&gt;$O$3,ROUNDDOWN(K126,0)=$F$3),$H$3,$G$3))</f>
        <v>　レベル　2</v>
      </c>
      <c r="L135" s="580" t="s">
        <v>1562</v>
      </c>
      <c r="M135" s="581"/>
      <c r="N135" s="581"/>
      <c r="O135" s="582"/>
    </row>
    <row r="136" spans="2:15" ht="15.75">
      <c r="D136" s="546"/>
      <c r="E136" s="433"/>
      <c r="F136" s="577" t="str">
        <f>IF(F126=$F$7,$G$4,IF(AND($O$9&lt;&gt;$O$3,ROUNDDOWN(F126,0)=$F$4),$H$4,$G$4))</f>
        <v>■レベル　3</v>
      </c>
      <c r="G136" s="580" t="s">
        <v>1562</v>
      </c>
      <c r="H136" s="581"/>
      <c r="I136" s="581"/>
      <c r="J136" s="582"/>
      <c r="K136" s="577" t="str">
        <f>IF(K126=$F$7,$G$4,IF(AND($O$9&lt;&gt;$O$3,ROUNDDOWN(K126,0)=$F$4),$H$4,$G$4))</f>
        <v>■レベル　3</v>
      </c>
      <c r="L136" s="580" t="s">
        <v>1561</v>
      </c>
      <c r="M136" s="581"/>
      <c r="N136" s="581"/>
      <c r="O136" s="582"/>
    </row>
    <row r="137" spans="2:15" ht="15.75">
      <c r="D137" s="546"/>
      <c r="E137" s="433"/>
      <c r="F137" s="577" t="str">
        <f>IF(F126=$F$7,$G$5,IF(AND($O$9&lt;&gt;$O$3,ROUNDDOWN(F126,0)=$F$5),$H$5,$G$5))</f>
        <v>　レベル　4</v>
      </c>
      <c r="G137" s="580" t="s">
        <v>1561</v>
      </c>
      <c r="H137" s="581"/>
      <c r="I137" s="581"/>
      <c r="J137" s="582"/>
      <c r="K137" s="577" t="str">
        <f>IF(K126=$F$7,$G$5,IF(AND($O$9&lt;&gt;$O$3,ROUNDDOWN(K126,0)=$F$5),$H$5,$G$5))</f>
        <v>　レベル　4</v>
      </c>
      <c r="L137" s="580" t="s">
        <v>1563</v>
      </c>
      <c r="M137" s="581"/>
      <c r="N137" s="581"/>
      <c r="O137" s="582"/>
    </row>
    <row r="138" spans="2:15" ht="15.75">
      <c r="D138" s="546"/>
      <c r="E138" s="433"/>
      <c r="F138" s="587" t="str">
        <f>IF(F126=$F$7,$G$6,IF(AND($O$9&lt;&gt;$O$3,ROUNDDOWN(F126,0)=$F$6),$H$6,$G$6))</f>
        <v>　レベル　5</v>
      </c>
      <c r="G138" s="591" t="s">
        <v>1565</v>
      </c>
      <c r="H138" s="592"/>
      <c r="I138" s="592"/>
      <c r="J138" s="593"/>
      <c r="K138" s="587" t="str">
        <f>IF(K126=$F$7,$G$6,IF(AND($O$9&lt;&gt;$O$3,ROUNDDOWN(K126,0)=$F$6),$H$6,$G$6))</f>
        <v>　レベル　5</v>
      </c>
      <c r="L138" s="591" t="s">
        <v>1866</v>
      </c>
      <c r="M138" s="592"/>
      <c r="N138" s="592"/>
      <c r="O138" s="593"/>
    </row>
    <row r="139" spans="2:15" ht="15.75">
      <c r="D139" s="546"/>
      <c r="E139" s="433"/>
      <c r="F139" s="887" t="s">
        <v>3402</v>
      </c>
      <c r="G139" s="2423"/>
      <c r="H139" s="2399"/>
      <c r="I139" s="2396"/>
      <c r="J139" s="2397"/>
      <c r="K139" s="2400"/>
      <c r="L139" s="1281"/>
      <c r="M139"/>
      <c r="N139"/>
      <c r="O139"/>
    </row>
    <row r="140" spans="2:15" ht="15.75">
      <c r="D140" s="546"/>
      <c r="E140" s="433"/>
      <c r="F140" s="433"/>
      <c r="G140"/>
      <c r="H140"/>
      <c r="I140"/>
      <c r="J140"/>
      <c r="K140"/>
      <c r="L140"/>
      <c r="M140"/>
      <c r="N140"/>
      <c r="O140"/>
    </row>
    <row r="141" spans="2:15" ht="15.75">
      <c r="D141" s="542">
        <v>1.3</v>
      </c>
      <c r="E141" s="551" t="s">
        <v>1679</v>
      </c>
      <c r="F141" s="554"/>
      <c r="G141"/>
      <c r="H141"/>
      <c r="I141"/>
      <c r="J141" t="str">
        <f>IF(OR(F143=0,AND(J142=0,O142=0)),$L$3,"")</f>
        <v/>
      </c>
      <c r="K141"/>
      <c r="L141"/>
      <c r="M141"/>
      <c r="N141"/>
      <c r="O141"/>
    </row>
    <row r="142" spans="2:15" ht="16.5" thickBot="1">
      <c r="D142" s="546"/>
      <c r="E142" s="543"/>
      <c r="F142" s="558" t="s">
        <v>1637</v>
      </c>
      <c r="G142" s="559"/>
      <c r="H142" s="560"/>
      <c r="I142" s="561" t="s">
        <v>1141</v>
      </c>
      <c r="J142" s="564">
        <f>重み!M19</f>
        <v>0.2</v>
      </c>
      <c r="K142" s="558" t="s">
        <v>1638</v>
      </c>
      <c r="L142" s="559"/>
      <c r="M142" s="560"/>
      <c r="N142" s="561" t="s">
        <v>1141</v>
      </c>
      <c r="O142" s="564">
        <f>重み!N19</f>
        <v>0</v>
      </c>
    </row>
    <row r="143" spans="2:15" ht="27" customHeight="1" thickBot="1">
      <c r="D143" s="546"/>
      <c r="E143" s="543"/>
      <c r="F143" s="565">
        <v>3</v>
      </c>
      <c r="G143" s="569" t="s">
        <v>1681</v>
      </c>
      <c r="H143" s="570"/>
      <c r="I143" s="570"/>
      <c r="J143" s="571"/>
      <c r="K143" s="565">
        <v>3</v>
      </c>
      <c r="L143" s="569" t="s">
        <v>1867</v>
      </c>
      <c r="M143" s="570"/>
      <c r="N143" s="570"/>
      <c r="O143" s="571"/>
    </row>
    <row r="144" spans="2:15" ht="15.75">
      <c r="B144" s="1">
        <v>1</v>
      </c>
      <c r="C144" s="1">
        <v>1</v>
      </c>
      <c r="D144" s="546"/>
      <c r="E144" s="543"/>
      <c r="F144" s="572" t="str">
        <f>IF(F143=$F$7,$G$2,IF(ROUNDDOWN(F143,0)=$F$2,$H$2,$G$2))</f>
        <v>　レベル　1</v>
      </c>
      <c r="G144" s="574" t="s">
        <v>1682</v>
      </c>
      <c r="H144" s="575"/>
      <c r="I144" s="575"/>
      <c r="J144" s="576"/>
      <c r="K144" s="572" t="str">
        <f>IF(K143=$F$7,$G$2,IF(ROUNDDOWN(K143,0)=$F$2,$H$2,$G$2))</f>
        <v>　レベル　1</v>
      </c>
      <c r="L144" s="574" t="s">
        <v>1682</v>
      </c>
      <c r="M144" s="575"/>
      <c r="N144" s="575"/>
      <c r="O144" s="576"/>
    </row>
    <row r="145" spans="2:15" ht="15.75">
      <c r="B145" s="1" t="s">
        <v>1817</v>
      </c>
      <c r="C145" s="1" t="s">
        <v>1817</v>
      </c>
      <c r="D145" s="546"/>
      <c r="E145" s="543"/>
      <c r="F145" s="577" t="str">
        <f>IF(F143=$F$7,$G$3,IF(ROUNDDOWN(F143,0)=$F$3,$H$3,$G$3))</f>
        <v>　レベル　2</v>
      </c>
      <c r="G145" s="580" t="s">
        <v>295</v>
      </c>
      <c r="H145" s="581"/>
      <c r="I145" s="581"/>
      <c r="J145" s="582"/>
      <c r="K145" s="577" t="str">
        <f>IF(K143=$F$7,$G$3,IF(ROUNDDOWN(K143,0)=$F$3,$H$3,$G$3))</f>
        <v>　レベル　2</v>
      </c>
      <c r="L145" s="580" t="s">
        <v>295</v>
      </c>
      <c r="M145" s="581"/>
      <c r="N145" s="581"/>
      <c r="O145" s="582"/>
    </row>
    <row r="146" spans="2:15" ht="15.75">
      <c r="B146" s="1">
        <v>3</v>
      </c>
      <c r="C146" s="1">
        <v>3</v>
      </c>
      <c r="D146" s="546"/>
      <c r="E146" s="543"/>
      <c r="F146" s="577" t="str">
        <f>IF(F143=$F$7,$G$4,IF(ROUNDDOWN(F143,0)=$F$4,$H$4,$G$4))</f>
        <v>■レベル　3</v>
      </c>
      <c r="G146" s="580" t="s">
        <v>1683</v>
      </c>
      <c r="H146" s="581"/>
      <c r="I146" s="581"/>
      <c r="J146" s="582"/>
      <c r="K146" s="577" t="str">
        <f>IF(K143=$F$7,$G$4,IF(ROUNDDOWN(K143,0)=$F$4,$H$4,$G$4))</f>
        <v>■レベル　3</v>
      </c>
      <c r="L146" s="580" t="s">
        <v>1683</v>
      </c>
      <c r="M146" s="581"/>
      <c r="N146" s="581"/>
      <c r="O146" s="582"/>
    </row>
    <row r="147" spans="2:15" ht="15.75">
      <c r="B147" s="1">
        <v>4</v>
      </c>
      <c r="C147" s="1">
        <v>4</v>
      </c>
      <c r="D147" s="546"/>
      <c r="E147" s="543"/>
      <c r="F147" s="577" t="str">
        <f>IF(F143=$F$7,$G$5,IF(ROUNDDOWN(F143,0)=$F$5,$H$5,$G$5))</f>
        <v>　レベル　4</v>
      </c>
      <c r="G147" s="580" t="s">
        <v>1868</v>
      </c>
      <c r="H147" s="581"/>
      <c r="I147" s="581"/>
      <c r="J147" s="582"/>
      <c r="K147" s="577" t="str">
        <f>IF(K143=$F$7,$G$5,IF(ROUNDDOWN(K143,0)=$F$5,$H$5,$G$5))</f>
        <v>　レベル　4</v>
      </c>
      <c r="L147" s="580" t="s">
        <v>1868</v>
      </c>
      <c r="M147" s="581"/>
      <c r="N147" s="581"/>
      <c r="O147" s="582"/>
    </row>
    <row r="148" spans="2:15" ht="15.75">
      <c r="B148" s="1">
        <v>5</v>
      </c>
      <c r="C148" s="1">
        <v>5</v>
      </c>
      <c r="D148" s="546"/>
      <c r="E148" s="543"/>
      <c r="F148" s="587" t="str">
        <f>IF(F143=$F$7,$G$6,IF(ROUNDDOWN(F143,0)=$F$6,$H$6,$G$6))</f>
        <v>　レベル　5</v>
      </c>
      <c r="G148" s="591" t="s">
        <v>1869</v>
      </c>
      <c r="H148" s="592"/>
      <c r="I148" s="592"/>
      <c r="J148" s="593"/>
      <c r="K148" s="587" t="str">
        <f>IF(K143=$F$7,$G$6,IF(ROUNDDOWN(K143,0)=$F$6,$H$6,$G$6))</f>
        <v>　レベル　5</v>
      </c>
      <c r="L148" s="591" t="s">
        <v>1869</v>
      </c>
      <c r="M148" s="592"/>
      <c r="N148" s="592"/>
      <c r="O148" s="593"/>
    </row>
    <row r="149" spans="2:15" ht="15.75">
      <c r="B149" s="594">
        <v>0</v>
      </c>
      <c r="C149" s="594">
        <v>0</v>
      </c>
      <c r="D149" s="546"/>
      <c r="E149" s="433"/>
      <c r="F149" s="887" t="s">
        <v>3402</v>
      </c>
      <c r="G149" s="2423"/>
      <c r="H149" s="2399"/>
      <c r="I149" s="2396"/>
      <c r="J149" s="2397"/>
      <c r="K149" s="2400"/>
      <c r="L149" s="1281"/>
      <c r="M149"/>
      <c r="N149"/>
      <c r="O149"/>
    </row>
    <row r="150" spans="2:15">
      <c r="D150"/>
      <c r="E150"/>
      <c r="F150"/>
      <c r="G150"/>
      <c r="H150"/>
      <c r="I150"/>
      <c r="J150"/>
      <c r="K150"/>
      <c r="L150"/>
      <c r="M150"/>
      <c r="N150"/>
      <c r="O150"/>
    </row>
    <row r="151" spans="2:15" ht="15.75">
      <c r="D151" s="542">
        <v>2</v>
      </c>
      <c r="E151" s="553" t="s">
        <v>1684</v>
      </c>
      <c r="F151" s="552"/>
      <c r="G151"/>
      <c r="H151"/>
      <c r="I151"/>
      <c r="J151"/>
      <c r="K151"/>
      <c r="L151"/>
      <c r="M151"/>
      <c r="N151"/>
      <c r="O151"/>
    </row>
    <row r="152" spans="2:15" ht="15.75">
      <c r="D152" s="542">
        <v>2.1</v>
      </c>
      <c r="E152" s="553" t="s">
        <v>1685</v>
      </c>
      <c r="F152" s="552"/>
      <c r="G152"/>
      <c r="H152"/>
      <c r="I152"/>
      <c r="J152"/>
      <c r="K152"/>
      <c r="L152"/>
      <c r="M152"/>
      <c r="N152"/>
      <c r="O152"/>
    </row>
    <row r="153" spans="2:15" ht="15.75">
      <c r="D153" s="546"/>
      <c r="E153" s="63"/>
      <c r="F153" s="672" t="s">
        <v>759</v>
      </c>
      <c r="G153"/>
      <c r="H153"/>
      <c r="I153"/>
      <c r="J153" t="str">
        <f>IF(OR(F155=0,AND(J154=0,O154=0)),$L$3,"")</f>
        <v/>
      </c>
      <c r="K153"/>
      <c r="L153"/>
      <c r="M153"/>
      <c r="N153"/>
      <c r="O153"/>
    </row>
    <row r="154" spans="2:15" ht="16.5" thickBot="1">
      <c r="D154" s="546"/>
      <c r="E154" s="63"/>
      <c r="F154" s="673" t="s">
        <v>1870</v>
      </c>
      <c r="G154" s="674"/>
      <c r="H154" s="675"/>
      <c r="I154" s="561" t="s">
        <v>1141</v>
      </c>
      <c r="J154" s="559">
        <f>重み!M22</f>
        <v>0.37499999999999994</v>
      </c>
      <c r="K154" s="674"/>
      <c r="L154" s="676"/>
      <c r="M154" s="677" t="s">
        <v>1686</v>
      </c>
      <c r="N154" s="561" t="s">
        <v>1141</v>
      </c>
      <c r="O154" s="563">
        <f>重み!N22</f>
        <v>0</v>
      </c>
    </row>
    <row r="155" spans="2:15" ht="27" customHeight="1" thickBot="1">
      <c r="D155" s="546"/>
      <c r="E155" s="63"/>
      <c r="F155" s="565">
        <v>3</v>
      </c>
      <c r="G155" s="1771" t="s">
        <v>2835</v>
      </c>
      <c r="H155" s="1771" t="s">
        <v>1687</v>
      </c>
      <c r="I155" s="1771" t="s">
        <v>1688</v>
      </c>
      <c r="J155" s="1772" t="s">
        <v>2596</v>
      </c>
      <c r="K155" s="1772" t="s">
        <v>1689</v>
      </c>
      <c r="L155" s="1773" t="s">
        <v>2597</v>
      </c>
      <c r="M155" s="565">
        <v>3</v>
      </c>
      <c r="N155" s="1555" t="s">
        <v>2235</v>
      </c>
      <c r="O155" s="1774" t="s">
        <v>1871</v>
      </c>
    </row>
    <row r="156" spans="2:15" ht="15.75" hidden="1">
      <c r="B156" s="1">
        <v>1</v>
      </c>
      <c r="C156" s="1">
        <v>1</v>
      </c>
      <c r="D156" s="546"/>
      <c r="E156" s="63"/>
      <c r="F156" s="662"/>
      <c r="G156" s="661" t="s">
        <v>1054</v>
      </c>
      <c r="H156" s="570"/>
      <c r="I156" s="570"/>
      <c r="J156" s="570"/>
      <c r="K156" s="570"/>
      <c r="L156" s="570"/>
      <c r="M156" s="662"/>
      <c r="N156" s="570" t="s">
        <v>1054</v>
      </c>
      <c r="O156" s="666"/>
    </row>
    <row r="157" spans="2:15" ht="45" hidden="1" customHeight="1">
      <c r="B157" s="1">
        <v>2</v>
      </c>
      <c r="C157" s="1">
        <v>2</v>
      </c>
      <c r="D157" s="546"/>
      <c r="E157" s="63"/>
      <c r="F157" s="577" t="str">
        <f>IF(F155=$F$7,$G$2,IF(AND($O$9=$O$3,ROUNDDOWN(F155,0)=$F$2),$H$2,$G$2))</f>
        <v>　レベル　1</v>
      </c>
      <c r="G157" s="681" t="s">
        <v>1690</v>
      </c>
      <c r="H157" s="573" t="s">
        <v>1872</v>
      </c>
      <c r="I157" s="573" t="s">
        <v>334</v>
      </c>
      <c r="J157" s="573" t="s">
        <v>1873</v>
      </c>
      <c r="K157" s="580" t="s">
        <v>1818</v>
      </c>
      <c r="L157" s="573" t="s">
        <v>1874</v>
      </c>
      <c r="M157" s="577" t="str">
        <f>IF(M155=$F$7,$G$2,IF(AND($O$9=$O$3,ROUNDDOWN(M155,0)=$F$2),$H$2,$G$2))</f>
        <v>　レベル　1</v>
      </c>
      <c r="N157" s="625" t="s">
        <v>1872</v>
      </c>
      <c r="O157" s="682" t="s">
        <v>1875</v>
      </c>
    </row>
    <row r="158" spans="2:15" ht="33.75" hidden="1" customHeight="1">
      <c r="B158" s="1">
        <v>3</v>
      </c>
      <c r="C158" s="1">
        <v>3</v>
      </c>
      <c r="D158" s="546"/>
      <c r="E158" s="63"/>
      <c r="F158" s="577" t="str">
        <f>IF(F155=$F$7,$G$3,IF(AND($O$9=$O$3,ROUNDDOWN(F155,0)=$F$3),$H$3,$G$3))</f>
        <v>　レベル　2</v>
      </c>
      <c r="G158" s="584" t="s">
        <v>336</v>
      </c>
      <c r="H158" s="584"/>
      <c r="I158" s="584"/>
      <c r="J158" s="584"/>
      <c r="K158" s="580" t="s">
        <v>1818</v>
      </c>
      <c r="L158" s="584"/>
      <c r="M158" s="577" t="str">
        <f>IF(M155=$F$7,$G$3,IF(AND($O$9=$O$3,ROUNDDOWN(M155,0)=$F$3),$H$3,$G$3))</f>
        <v>　レベル　2</v>
      </c>
      <c r="N158" s="683"/>
      <c r="O158" s="684"/>
    </row>
    <row r="159" spans="2:15" ht="45" hidden="1" customHeight="1">
      <c r="B159" s="1">
        <v>4</v>
      </c>
      <c r="C159" s="1">
        <v>4</v>
      </c>
      <c r="D159" s="546"/>
      <c r="E159" s="63"/>
      <c r="F159" s="577" t="str">
        <f>IF(F155=$F$7,$G$4,IF(AND($O$9=$O$3,ROUNDDOWN(F155,0)=$F$4),$H$4,$G$4))</f>
        <v>　レベル　3</v>
      </c>
      <c r="G159" s="579" t="s">
        <v>1876</v>
      </c>
      <c r="H159" s="579" t="s">
        <v>1876</v>
      </c>
      <c r="I159" s="579" t="s">
        <v>1484</v>
      </c>
      <c r="J159" s="583" t="s">
        <v>1485</v>
      </c>
      <c r="K159" s="583" t="s">
        <v>882</v>
      </c>
      <c r="L159" s="579" t="s">
        <v>325</v>
      </c>
      <c r="M159" s="577" t="str">
        <f>IF(M155=$F$7,$G$4,IF(AND($O$9=$O$3,ROUNDDOWN(M155,0)=$F$4),$H$4,$G$4))</f>
        <v>　レベル　3</v>
      </c>
      <c r="N159" s="584" t="s">
        <v>1876</v>
      </c>
      <c r="O159" s="585" t="s">
        <v>326</v>
      </c>
    </row>
    <row r="160" spans="2:15" ht="33.75" hidden="1" customHeight="1">
      <c r="B160" s="1">
        <v>5</v>
      </c>
      <c r="C160" s="1">
        <v>5</v>
      </c>
      <c r="D160" s="546"/>
      <c r="E160" s="63"/>
      <c r="F160" s="577" t="str">
        <f>IF(F155=$F$7,$G$5,IF(AND($O$9=$O$3,ROUNDDOWN(F155,0)=$F$5),$H$5,$G$5))</f>
        <v>　レベル　4</v>
      </c>
      <c r="G160" s="584"/>
      <c r="H160" s="584"/>
      <c r="I160" s="584"/>
      <c r="J160" s="585"/>
      <c r="K160" s="585" t="s">
        <v>456</v>
      </c>
      <c r="L160" s="584"/>
      <c r="M160" s="577" t="str">
        <f>IF(M155=$F$7,$G$5,IF(AND($O$9=$O$3,ROUNDDOWN(M155,0)=$F$5),$H$5,$G$5))</f>
        <v>　レベル　4</v>
      </c>
      <c r="N160" s="584"/>
      <c r="O160" s="585"/>
    </row>
    <row r="161" spans="2:15" ht="67.5" hidden="1" customHeight="1">
      <c r="B161" s="594">
        <v>0</v>
      </c>
      <c r="C161" s="594">
        <v>0</v>
      </c>
      <c r="D161" s="546"/>
      <c r="E161" s="63"/>
      <c r="F161" s="587" t="str">
        <f>IF(F155=$F$7,$G$6,IF(AND($O$9=$O$3,ROUNDDOWN(F155,0)=$F$6),$H$6,$G$6))</f>
        <v>　レベル　5</v>
      </c>
      <c r="G161" s="3182" t="s">
        <v>327</v>
      </c>
      <c r="H161" s="3183"/>
      <c r="I161" s="3183"/>
      <c r="J161" s="3184"/>
      <c r="K161" s="589" t="s">
        <v>457</v>
      </c>
      <c r="L161" s="588" t="s">
        <v>461</v>
      </c>
      <c r="M161" s="587" t="str">
        <f>IF(M155=$F$7,$G$6,IF(AND($O$9=$O$3,ROUNDDOWN(M155,0)=$F$6),$H$6,$G$6))</f>
        <v>　レベル　5</v>
      </c>
      <c r="N161" s="588" t="s">
        <v>327</v>
      </c>
      <c r="O161" s="589" t="s">
        <v>328</v>
      </c>
    </row>
    <row r="162" spans="2:15" ht="15.75" hidden="1">
      <c r="D162" s="546"/>
      <c r="E162" s="63"/>
      <c r="F162" s="663"/>
      <c r="G162" s="661" t="s">
        <v>1053</v>
      </c>
      <c r="H162" s="570"/>
      <c r="I162" s="675"/>
      <c r="J162" s="675"/>
      <c r="K162" s="675"/>
      <c r="L162" s="675"/>
      <c r="M162" s="663"/>
      <c r="N162" s="661" t="s">
        <v>1053</v>
      </c>
      <c r="O162" s="666"/>
    </row>
    <row r="163" spans="2:15" ht="97.5" customHeight="1">
      <c r="D163" s="546"/>
      <c r="E163" s="63"/>
      <c r="F163" s="664" t="str">
        <f>IF(F155=$F$7,$G$2,IF(AND($O$9&lt;&gt;$O$3,ROUNDDOWN(F155,0)=$F$2),$H$2,$G$2))</f>
        <v>　レベル　1</v>
      </c>
      <c r="G163" s="579" t="s">
        <v>1690</v>
      </c>
      <c r="H163" s="573" t="s">
        <v>2073</v>
      </c>
      <c r="I163" s="573" t="s">
        <v>329</v>
      </c>
      <c r="J163" s="573" t="s">
        <v>2074</v>
      </c>
      <c r="K163" s="579" t="s">
        <v>1818</v>
      </c>
      <c r="L163" s="573" t="s">
        <v>2075</v>
      </c>
      <c r="M163" s="664" t="str">
        <f>IF(M155=$F$7,$G$2,IF(AND($O$9&lt;&gt;$O$3,ROUNDDOWN(M155,0)=$F$2),$H$2,$G$2))</f>
        <v>　レベル　1</v>
      </c>
      <c r="N163" s="625" t="s">
        <v>2073</v>
      </c>
      <c r="O163" s="682" t="s">
        <v>2075</v>
      </c>
    </row>
    <row r="164" spans="2:15" ht="99" customHeight="1">
      <c r="D164" s="546"/>
      <c r="E164" s="63"/>
      <c r="F164" s="577" t="str">
        <f>IF(F155=$F$7,$G$3,IF(AND($O$9&lt;&gt;$O$3,ROUNDDOWN(F155,0)=$F$3),$H$3,$G$3))</f>
        <v>　レベル　2</v>
      </c>
      <c r="G164" s="584" t="s">
        <v>330</v>
      </c>
      <c r="H164" s="584"/>
      <c r="I164" s="584"/>
      <c r="J164" s="584"/>
      <c r="K164" s="580" t="s">
        <v>1818</v>
      </c>
      <c r="L164" s="584"/>
      <c r="M164" s="577" t="str">
        <f>IF(M155=$F$7,$G$3,IF(AND($O$9&lt;&gt;$O$3,ROUNDDOWN(M155,0)=$F$3),$H$3,$G$3))</f>
        <v>　レベル　2</v>
      </c>
      <c r="N164" s="683"/>
      <c r="O164" s="684"/>
    </row>
    <row r="165" spans="2:15" ht="93.75" customHeight="1">
      <c r="D165" s="546"/>
      <c r="E165" s="63"/>
      <c r="F165" s="577" t="str">
        <f>IF(F155=$F$7,$G$4,IF(AND($O$9&lt;&gt;$O$3,ROUNDDOWN(F155,0)=$F$4),$H$4,$G$4))</f>
        <v>■レベル　3</v>
      </c>
      <c r="G165" s="579" t="s">
        <v>331</v>
      </c>
      <c r="H165" s="579" t="s">
        <v>2076</v>
      </c>
      <c r="I165" s="579" t="s">
        <v>332</v>
      </c>
      <c r="J165" s="583" t="s">
        <v>333</v>
      </c>
      <c r="K165" s="583" t="s">
        <v>762</v>
      </c>
      <c r="L165" s="579" t="s">
        <v>2077</v>
      </c>
      <c r="M165" s="577" t="str">
        <f>IF(M155=$F$7,$G$4,IF(AND($O$9&lt;&gt;$O$3,ROUNDDOWN(M155,0)=$F$4),$H$4,$G$4))</f>
        <v>■レベル　3</v>
      </c>
      <c r="N165" s="3157" t="s">
        <v>331</v>
      </c>
      <c r="O165" s="3158"/>
    </row>
    <row r="166" spans="2:15" ht="81.75" customHeight="1">
      <c r="D166" s="546"/>
      <c r="E166" s="63"/>
      <c r="F166" s="577" t="str">
        <f>IF(F155=$F$7,$G$5,IF(AND($O$9&lt;&gt;$O$3,ROUNDDOWN(F155,0)=$F$5),$H$5,$G$5))</f>
        <v>　レベル　4</v>
      </c>
      <c r="G166" s="584"/>
      <c r="H166" s="584"/>
      <c r="I166" s="584"/>
      <c r="J166" s="585"/>
      <c r="K166" s="585" t="s">
        <v>458</v>
      </c>
      <c r="L166" s="584"/>
      <c r="M166" s="577" t="str">
        <f>IF(M155=$F$7,$G$5,IF(AND($O$9&lt;&gt;$O$3,ROUNDDOWN(M155,0)=$F$5),$H$5,$G$5))</f>
        <v>　レベル　4</v>
      </c>
      <c r="N166" s="3157"/>
      <c r="O166" s="3158"/>
    </row>
    <row r="167" spans="2:15" ht="81" customHeight="1">
      <c r="D167" s="546"/>
      <c r="E167" s="63"/>
      <c r="F167" s="587" t="str">
        <f>IF(F155=$F$7,$G$6,IF(AND($O$9&lt;&gt;$O$3,ROUNDDOWN(F155,0)=$F$6),$H$6,$G$6))</f>
        <v>　レベル　5</v>
      </c>
      <c r="G167" s="3155" t="s">
        <v>1475</v>
      </c>
      <c r="H167" s="3179"/>
      <c r="I167" s="3179"/>
      <c r="J167" s="3185"/>
      <c r="K167" s="588" t="s">
        <v>460</v>
      </c>
      <c r="L167" s="588" t="s">
        <v>459</v>
      </c>
      <c r="M167" s="587" t="str">
        <f>IF(M155=$F$7,$G$6,IF(AND($O$9&lt;&gt;$O$3,ROUNDDOWN(M155,0)=$F$6),$H$6,$G$6))</f>
        <v>　レベル　5</v>
      </c>
      <c r="N167" s="3155" t="s">
        <v>1475</v>
      </c>
      <c r="O167" s="3156"/>
    </row>
    <row r="168" spans="2:15" ht="15.75" hidden="1">
      <c r="D168" s="546"/>
      <c r="E168" s="63"/>
      <c r="F168" s="63"/>
      <c r="G168" s="665"/>
      <c r="H168" s="665"/>
      <c r="I168" s="665"/>
      <c r="J168" s="665"/>
      <c r="K168" s="665"/>
      <c r="L168" s="665"/>
      <c r="M168" s="665"/>
      <c r="N168" s="665"/>
      <c r="O168" s="665"/>
    </row>
    <row r="169" spans="2:15" ht="15.75" hidden="1">
      <c r="D169" s="546"/>
      <c r="E169" s="63"/>
      <c r="F169" s="1437" t="s">
        <v>2078</v>
      </c>
      <c r="G169" s="618"/>
      <c r="H169" s="660"/>
      <c r="I169" s="644"/>
      <c r="J169" s="621" t="str">
        <f>IF(OR(F171=0,J170=0),$L$3,"")</f>
        <v>&lt;評価しない&gt;</v>
      </c>
      <c r="K169" s="665"/>
      <c r="L169" s="665"/>
      <c r="M169" s="665"/>
      <c r="N169" s="665"/>
      <c r="O169" s="665"/>
    </row>
    <row r="170" spans="2:15" ht="15.75" hidden="1">
      <c r="D170" s="546"/>
      <c r="E170" s="63"/>
      <c r="F170" s="558" t="s">
        <v>1476</v>
      </c>
      <c r="G170" s="559"/>
      <c r="H170" s="560"/>
      <c r="I170" s="561" t="s">
        <v>1141</v>
      </c>
      <c r="J170" s="564">
        <f>重み!M23</f>
        <v>0</v>
      </c>
      <c r="K170" s="665"/>
      <c r="L170" s="665"/>
      <c r="M170" s="665"/>
      <c r="N170" s="665"/>
      <c r="O170" s="665"/>
    </row>
    <row r="171" spans="2:15" ht="16.5" hidden="1" thickBot="1">
      <c r="D171" s="546"/>
      <c r="E171" s="63"/>
      <c r="F171" s="565">
        <v>0</v>
      </c>
      <c r="G171" s="569" t="s">
        <v>2079</v>
      </c>
      <c r="H171" s="570"/>
      <c r="I171" s="570"/>
      <c r="J171" s="571"/>
      <c r="K171" s="665"/>
      <c r="L171" s="665"/>
      <c r="M171" s="665"/>
      <c r="N171" s="665"/>
      <c r="O171" s="665"/>
    </row>
    <row r="172" spans="2:15" ht="15.75" hidden="1">
      <c r="B172" s="1">
        <v>1</v>
      </c>
      <c r="C172" s="1">
        <v>1</v>
      </c>
      <c r="D172" s="546"/>
      <c r="E172" s="63"/>
      <c r="F172" s="572" t="str">
        <f>IF(F171=$F$7,$G$2,IF(ROUNDDOWN(F171,0)=$F$2,$H$2,$G$2))</f>
        <v>　レベル　1</v>
      </c>
      <c r="G172" s="574" t="s">
        <v>2080</v>
      </c>
      <c r="H172" s="575"/>
      <c r="I172" s="575"/>
      <c r="J172" s="576"/>
      <c r="K172" s="665"/>
      <c r="L172" s="665"/>
      <c r="M172" s="665"/>
      <c r="N172" s="665"/>
      <c r="O172" s="665"/>
    </row>
    <row r="173" spans="2:15" ht="15.75" hidden="1">
      <c r="B173" s="1">
        <v>2</v>
      </c>
      <c r="C173" s="1">
        <v>2</v>
      </c>
      <c r="D173" s="546"/>
      <c r="E173" s="63"/>
      <c r="F173" s="577" t="str">
        <f>IF(F171=$F$7,$G$3,IF(ROUNDDOWN(F171,0)=$F$3,$H$3,$G$3))</f>
        <v>　レベル　2</v>
      </c>
      <c r="G173" s="580"/>
      <c r="H173" s="581"/>
      <c r="I173" s="581"/>
      <c r="J173" s="582"/>
      <c r="K173" s="665"/>
      <c r="L173" s="665"/>
      <c r="M173" s="665"/>
      <c r="N173" s="665"/>
      <c r="O173" s="665"/>
    </row>
    <row r="174" spans="2:15" ht="15.75" hidden="1">
      <c r="B174" s="1">
        <v>3</v>
      </c>
      <c r="C174" s="1">
        <v>3</v>
      </c>
      <c r="D174" s="546"/>
      <c r="E174" s="63"/>
      <c r="F174" s="577" t="str">
        <f>IF(F171=$F$7,$G$4,IF(ROUNDDOWN(F171,0)=$F$4,$H$4,$G$4))</f>
        <v>　レベル　3</v>
      </c>
      <c r="G174" s="580" t="s">
        <v>2081</v>
      </c>
      <c r="H174" s="581"/>
      <c r="I174" s="581"/>
      <c r="J174" s="582"/>
      <c r="K174" s="665"/>
      <c r="L174" s="665"/>
      <c r="M174" s="665"/>
      <c r="N174" s="665"/>
      <c r="O174" s="665"/>
    </row>
    <row r="175" spans="2:15" ht="15.75" hidden="1">
      <c r="B175" s="1">
        <v>4</v>
      </c>
      <c r="C175" s="1">
        <v>4</v>
      </c>
      <c r="D175" s="546"/>
      <c r="E175" s="63"/>
      <c r="F175" s="577" t="str">
        <f>IF(F171=$F$7,$G$5,IF(ROUNDDOWN(F171,0)=$F$5,$H$5,$G$5))</f>
        <v>　レベル　4</v>
      </c>
      <c r="G175" s="580"/>
      <c r="H175" s="581"/>
      <c r="I175" s="581"/>
      <c r="J175" s="582"/>
      <c r="K175" s="665"/>
      <c r="L175" s="665"/>
      <c r="M175" s="665"/>
      <c r="N175" s="665"/>
      <c r="O175" s="665"/>
    </row>
    <row r="176" spans="2:15" ht="15.75" hidden="1">
      <c r="B176" s="1">
        <v>5</v>
      </c>
      <c r="C176" s="1">
        <v>5</v>
      </c>
      <c r="D176" s="546"/>
      <c r="E176" s="63"/>
      <c r="F176" s="587" t="str">
        <f>IF(F171=$F$7,$G$6,IF(ROUNDDOWN(F171,0)=$F$6,$H$6,$G$6))</f>
        <v>　レベル　5</v>
      </c>
      <c r="G176" s="591" t="s">
        <v>1477</v>
      </c>
      <c r="H176" s="592"/>
      <c r="I176" s="592"/>
      <c r="J176" s="593"/>
      <c r="K176" s="665"/>
      <c r="L176" s="665"/>
      <c r="M176" s="665"/>
      <c r="N176" s="665"/>
      <c r="O176" s="665"/>
    </row>
    <row r="177" spans="2:15" ht="15.75">
      <c r="B177" s="594">
        <v>0</v>
      </c>
      <c r="C177" s="594">
        <v>0</v>
      </c>
      <c r="D177" s="546"/>
      <c r="E177" s="63"/>
      <c r="F177" s="887" t="s">
        <v>3402</v>
      </c>
      <c r="G177" s="2423"/>
      <c r="H177" s="2399"/>
      <c r="I177" s="2396"/>
      <c r="J177" s="2397"/>
      <c r="K177" s="2400"/>
      <c r="L177" s="1281"/>
      <c r="M177"/>
      <c r="N177"/>
      <c r="O177"/>
    </row>
    <row r="178" spans="2:15" ht="15.75">
      <c r="B178" s="918"/>
      <c r="C178" s="918"/>
      <c r="D178" s="546"/>
      <c r="E178" s="63"/>
      <c r="F178" s="659"/>
      <c r="G178"/>
      <c r="H178"/>
      <c r="I178"/>
      <c r="J178"/>
      <c r="K178"/>
      <c r="L178"/>
      <c r="M178"/>
      <c r="N178"/>
      <c r="O178"/>
    </row>
    <row r="179" spans="2:15" ht="15.75">
      <c r="D179" s="546"/>
      <c r="E179" s="63"/>
      <c r="F179" s="554" t="s">
        <v>2473</v>
      </c>
      <c r="G179"/>
      <c r="H179"/>
      <c r="I179"/>
      <c r="J179" t="str">
        <f>IF(OR(F181=0,AND(J180=0,O180=0)),$L$3,"")</f>
        <v/>
      </c>
      <c r="K179"/>
      <c r="L179"/>
      <c r="M179"/>
      <c r="N179"/>
      <c r="O179"/>
    </row>
    <row r="180" spans="2:15" ht="16.5" thickBot="1">
      <c r="D180" s="546"/>
      <c r="E180" s="550"/>
      <c r="F180" s="558" t="s">
        <v>392</v>
      </c>
      <c r="G180" s="559"/>
      <c r="H180" s="560"/>
      <c r="I180" s="561" t="s">
        <v>1141</v>
      </c>
      <c r="J180" s="564">
        <f>重み!M24</f>
        <v>0.25</v>
      </c>
      <c r="K180" s="558" t="s">
        <v>1638</v>
      </c>
      <c r="L180" s="559"/>
      <c r="M180" s="560"/>
      <c r="N180" s="561" t="s">
        <v>1141</v>
      </c>
      <c r="O180" s="564">
        <f>重み!N24</f>
        <v>0</v>
      </c>
    </row>
    <row r="181" spans="2:15" ht="27" customHeight="1" thickBot="1">
      <c r="D181" s="546"/>
      <c r="E181" s="550"/>
      <c r="F181" s="565">
        <v>3</v>
      </c>
      <c r="G181" s="661" t="s">
        <v>2246</v>
      </c>
      <c r="H181" s="570"/>
      <c r="I181" s="570"/>
      <c r="J181" s="571"/>
      <c r="K181" s="565">
        <v>3</v>
      </c>
      <c r="L181" s="661" t="s">
        <v>2247</v>
      </c>
      <c r="M181" s="571"/>
      <c r="N181" s="661" t="s">
        <v>1478</v>
      </c>
      <c r="O181" s="571"/>
    </row>
    <row r="182" spans="2:15" ht="15.75" hidden="1">
      <c r="B182" s="1">
        <v>1</v>
      </c>
      <c r="C182" s="1">
        <v>1</v>
      </c>
      <c r="D182" s="546"/>
      <c r="E182" s="550"/>
      <c r="F182" s="689"/>
      <c r="G182" s="661" t="s">
        <v>1054</v>
      </c>
      <c r="H182" s="570"/>
      <c r="I182" s="570"/>
      <c r="J182" s="571"/>
      <c r="K182" s="689"/>
      <c r="L182" s="570" t="s">
        <v>1054</v>
      </c>
      <c r="M182" s="571"/>
      <c r="N182" s="570"/>
      <c r="O182" s="571"/>
    </row>
    <row r="183" spans="2:15" ht="60" hidden="1" customHeight="1">
      <c r="B183" s="1">
        <v>2</v>
      </c>
      <c r="C183" s="1">
        <v>2</v>
      </c>
      <c r="D183" s="546"/>
      <c r="E183" s="671"/>
      <c r="F183" s="577" t="str">
        <f>IF(F181=$F$7,$G$2,IF(AND($O$9=$O$3,ROUNDDOWN(F181,0)=$F$2),$H$2,$G$2))</f>
        <v>　レベル　1</v>
      </c>
      <c r="G183" s="3153" t="s">
        <v>2248</v>
      </c>
      <c r="H183" s="3173"/>
      <c r="I183" s="3173"/>
      <c r="J183" s="3159"/>
      <c r="K183" s="577" t="str">
        <f>IF(K181=$F$7,$G$2,IF(AND($O$9=$O$3,ROUNDDOWN(K181,0)=$F$2),$H$2,$G$2))</f>
        <v>　レベル　1</v>
      </c>
      <c r="L183" s="3157" t="s">
        <v>1479</v>
      </c>
      <c r="M183" s="3158"/>
      <c r="N183" s="3157" t="s">
        <v>73</v>
      </c>
      <c r="O183" s="3158"/>
    </row>
    <row r="184" spans="2:15" ht="60" hidden="1" customHeight="1">
      <c r="B184" s="1">
        <v>3</v>
      </c>
      <c r="C184" s="1">
        <v>3</v>
      </c>
      <c r="D184" s="546"/>
      <c r="E184" s="671"/>
      <c r="F184" s="577" t="str">
        <f>IF(F181=$F$7,$G$3,IF(AND($O$9=$O$3,ROUNDDOWN(F181,0)=$F$3),$H$3,$G$3))</f>
        <v>　レベル　2</v>
      </c>
      <c r="G184" s="580"/>
      <c r="H184" s="670"/>
      <c r="I184" s="690"/>
      <c r="J184" s="669"/>
      <c r="K184" s="577" t="str">
        <f>IF(K181=$F$7,$G$3,IF(AND($O$9=$O$3,ROUNDDOWN(K181,0)=$F$3),$H$3,$G$3))</f>
        <v>　レベル　2</v>
      </c>
      <c r="L184" s="3157"/>
      <c r="M184" s="3158"/>
      <c r="N184" s="3157" t="s">
        <v>302</v>
      </c>
      <c r="O184" s="3158"/>
    </row>
    <row r="185" spans="2:15" ht="60" hidden="1" customHeight="1">
      <c r="B185" s="1">
        <v>4</v>
      </c>
      <c r="C185" s="1">
        <v>4</v>
      </c>
      <c r="D185" s="546"/>
      <c r="E185" s="671"/>
      <c r="F185" s="577" t="str">
        <f>IF(F181=$F$7,$G$4,IF(AND($O$9=$O$3,ROUNDDOWN(F181,0)=$F$4),$H$4,$G$4))</f>
        <v>　レベル　3</v>
      </c>
      <c r="G185" s="3157" t="s">
        <v>2249</v>
      </c>
      <c r="H185" s="3180"/>
      <c r="I185" s="3180"/>
      <c r="J185" s="3181"/>
      <c r="K185" s="577" t="str">
        <f>IF(K181=$F$7,$G$4,IF(AND($O$9=$O$3,ROUNDDOWN(K181,0)=$F$4),$H$4,$G$4))</f>
        <v>　レベル　3</v>
      </c>
      <c r="L185" s="3157" t="s">
        <v>1480</v>
      </c>
      <c r="M185" s="3158"/>
      <c r="N185" s="3157" t="s">
        <v>303</v>
      </c>
      <c r="O185" s="3158"/>
    </row>
    <row r="186" spans="2:15" ht="45" hidden="1" customHeight="1">
      <c r="B186" s="1">
        <v>5</v>
      </c>
      <c r="C186" s="1">
        <v>5</v>
      </c>
      <c r="D186" s="546"/>
      <c r="E186" s="671"/>
      <c r="F186" s="577" t="str">
        <f>IF(F181=$F$7,$G$5,IF(AND($O$9=$O$3,ROUNDDOWN(F181,0)=$F$5),$H$5,$G$5))</f>
        <v>　レベル　4</v>
      </c>
      <c r="G186" s="580"/>
      <c r="H186" s="670"/>
      <c r="I186" s="690"/>
      <c r="J186" s="586"/>
      <c r="K186" s="577" t="str">
        <f>IF(K181=$F$7,$G$5,IF(AND($O$9=$O$3,ROUNDDOWN(K181,0)=$F$5),$H$5,$G$5))</f>
        <v>　レベル　4</v>
      </c>
      <c r="L186" s="3157"/>
      <c r="M186" s="3158"/>
      <c r="N186" s="3157" t="s">
        <v>1818</v>
      </c>
      <c r="O186" s="3158"/>
    </row>
    <row r="187" spans="2:15" ht="60" hidden="1" customHeight="1">
      <c r="B187" s="594">
        <v>0</v>
      </c>
      <c r="C187" s="594">
        <v>0</v>
      </c>
      <c r="D187" s="546"/>
      <c r="E187" s="671"/>
      <c r="F187" s="587" t="str">
        <f>IF(F181=$F$7,$G$6,IF(AND($O$9=$O$3,ROUNDDOWN(F181,0)=$F$6),$H$6,$G$6))</f>
        <v>　レベル　5</v>
      </c>
      <c r="G187" s="3155" t="s">
        <v>2250</v>
      </c>
      <c r="H187" s="3177"/>
      <c r="I187" s="3177"/>
      <c r="J187" s="3178"/>
      <c r="K187" s="587" t="str">
        <f>IF(K181=$F$7,$G$6,IF(AND($O$9=$O$3,ROUNDDOWN(K181,0)=$F$6),$H$6,$G$6))</f>
        <v>　レベル　5</v>
      </c>
      <c r="L187" s="3157" t="s">
        <v>1481</v>
      </c>
      <c r="M187" s="3158"/>
      <c r="N187" s="3157" t="s">
        <v>304</v>
      </c>
      <c r="O187" s="3158"/>
    </row>
    <row r="188" spans="2:15" ht="15.75" hidden="1">
      <c r="D188" s="546"/>
      <c r="E188" s="671"/>
      <c r="F188" s="663"/>
      <c r="G188" s="570" t="s">
        <v>1053</v>
      </c>
      <c r="H188" s="675"/>
      <c r="I188" s="675"/>
      <c r="J188" s="675"/>
      <c r="K188" s="663"/>
      <c r="L188" s="675" t="s">
        <v>1053</v>
      </c>
      <c r="M188" s="675"/>
      <c r="N188" s="675"/>
      <c r="O188" s="691"/>
    </row>
    <row r="189" spans="2:15" ht="84.75" customHeight="1">
      <c r="D189" s="546"/>
      <c r="E189" s="671"/>
      <c r="F189" s="664" t="str">
        <f>IF(F181=$F$7,$G$2,IF(AND($O$9&lt;&gt;$O$3,ROUNDDOWN(F181,0)=$F$2),$H$2,$G$2))</f>
        <v>　レベル　1</v>
      </c>
      <c r="G189" s="3153" t="s">
        <v>3556</v>
      </c>
      <c r="H189" s="3154"/>
      <c r="I189" s="3154"/>
      <c r="J189" s="3171"/>
      <c r="K189" s="664" t="str">
        <f>IF(K181=$F$7,$G$2,IF(AND($O$9&lt;&gt;$O$3,ROUNDDOWN(K181,0)=$F$2),$H$2,$G$2))</f>
        <v>　レベル　1</v>
      </c>
      <c r="L189" s="3153" t="s">
        <v>2874</v>
      </c>
      <c r="M189" s="3171"/>
      <c r="N189" s="3157" t="s">
        <v>2878</v>
      </c>
      <c r="O189" s="3158"/>
    </row>
    <row r="190" spans="2:15" ht="49.5" customHeight="1">
      <c r="D190" s="546"/>
      <c r="E190" s="671"/>
      <c r="F190" s="577" t="str">
        <f>IF(F181=$F$7,$G$3,IF(AND($O$9&lt;&gt;$O$3,ROUNDDOWN(F181,0)=$F$3),$H$3,$G$3))</f>
        <v>　レベル　2</v>
      </c>
      <c r="G190" s="3157"/>
      <c r="H190" s="3163"/>
      <c r="I190" s="3163"/>
      <c r="J190" s="3158"/>
      <c r="K190" s="577" t="str">
        <f>IF(K181=$F$7,$G$3,IF(AND($O$9&lt;&gt;$O$3,ROUNDDOWN(K181,0)=$F$3),$H$3,$G$3))</f>
        <v>　レベル　2</v>
      </c>
      <c r="L190" s="580"/>
      <c r="M190" s="670"/>
      <c r="N190" s="3157" t="s">
        <v>2876</v>
      </c>
      <c r="O190" s="3158"/>
    </row>
    <row r="191" spans="2:15" ht="98.25" customHeight="1">
      <c r="D191" s="546"/>
      <c r="E191" s="671"/>
      <c r="F191" s="577" t="str">
        <f>IF(F181=$F$7,$G$4,IF(AND($O$9&lt;&gt;$O$3,ROUNDDOWN(F181,0)=$F$4),$H$4,$G$4))</f>
        <v>■レベル　3</v>
      </c>
      <c r="G191" s="3157" t="s">
        <v>2475</v>
      </c>
      <c r="H191" s="3163"/>
      <c r="I191" s="3163"/>
      <c r="J191" s="3158"/>
      <c r="K191" s="577" t="str">
        <f>IF(K181=$F$7,$G$4,IF(AND($O$9&lt;&gt;$O$3,ROUNDDOWN(K181,0)=$F$4),$H$4,$G$4))</f>
        <v>■レベル　3</v>
      </c>
      <c r="L191" s="3157" t="s">
        <v>2476</v>
      </c>
      <c r="M191" s="3158"/>
      <c r="N191" s="3157" t="s">
        <v>2877</v>
      </c>
      <c r="O191" s="3158"/>
    </row>
    <row r="192" spans="2:15" ht="42.75" customHeight="1">
      <c r="D192" s="546"/>
      <c r="E192" s="671"/>
      <c r="F192" s="577" t="str">
        <f>IF(F181=$F$7,$G$5,IF(AND($O$9&lt;&gt;$O$3,ROUNDDOWN(F181,0)=$F$5),$H$5,$G$5))</f>
        <v>　レベル　4</v>
      </c>
      <c r="G192" s="3157"/>
      <c r="H192" s="3163"/>
      <c r="I192" s="3163"/>
      <c r="J192" s="3158"/>
      <c r="K192" s="577" t="str">
        <f>IF(K181=$F$7,$G$5,IF(AND($O$9&lt;&gt;$O$3,ROUNDDOWN(K181,0)=$F$5),$H$5,$G$5))</f>
        <v>　レベル　4</v>
      </c>
      <c r="L192" s="580"/>
      <c r="M192" s="670"/>
      <c r="N192" s="3157" t="s">
        <v>2879</v>
      </c>
      <c r="O192" s="3158"/>
    </row>
    <row r="193" spans="2:15" ht="98.25" customHeight="1">
      <c r="D193" s="546"/>
      <c r="E193" s="671"/>
      <c r="F193" s="587" t="str">
        <f>IF(F181=$F$7,$G$6,IF(AND($O$9&lt;&gt;$O$3,ROUNDDOWN(F181,0)=$F$6),$H$6,$G$6))</f>
        <v>　レベル　5</v>
      </c>
      <c r="G193" s="3155" t="s">
        <v>2409</v>
      </c>
      <c r="H193" s="3162"/>
      <c r="I193" s="3162"/>
      <c r="J193" s="3156"/>
      <c r="K193" s="587" t="str">
        <f>IF(K181=$F$7,$G$6,IF(AND($O$9&lt;&gt;$O$3,ROUNDDOWN(K181,0)=$F$6),$H$6,$G$6))</f>
        <v>　レベル　5</v>
      </c>
      <c r="L193" s="3155" t="s">
        <v>2477</v>
      </c>
      <c r="M193" s="3156"/>
      <c r="N193" s="3155" t="s">
        <v>2880</v>
      </c>
      <c r="O193" s="3156"/>
    </row>
    <row r="194" spans="2:15" ht="15.75">
      <c r="D194" s="546"/>
      <c r="E194" s="671"/>
      <c r="F194" s="887" t="s">
        <v>3402</v>
      </c>
      <c r="G194" s="2423" t="s">
        <v>3597</v>
      </c>
      <c r="H194" s="2399"/>
      <c r="I194" s="2396"/>
      <c r="J194" s="2397"/>
      <c r="K194" s="2400"/>
      <c r="L194" s="1281"/>
      <c r="M194"/>
      <c r="N194"/>
      <c r="O194"/>
    </row>
    <row r="195" spans="2:15" ht="15.75">
      <c r="D195" s="546"/>
      <c r="E195" s="671"/>
      <c r="F195" s="2459" t="s">
        <v>3555</v>
      </c>
      <c r="G195" s="2424">
        <v>0.5</v>
      </c>
      <c r="H195"/>
      <c r="I195" s="2459" t="s">
        <v>3774</v>
      </c>
      <c r="J195" s="2424"/>
      <c r="K195"/>
      <c r="L195"/>
      <c r="M195"/>
      <c r="N195"/>
      <c r="O195"/>
    </row>
    <row r="196" spans="2:15" ht="15.75">
      <c r="D196" s="546"/>
      <c r="E196" s="671"/>
      <c r="F196" s="2459" t="s">
        <v>3558</v>
      </c>
      <c r="G196" s="2459" t="s">
        <v>3557</v>
      </c>
      <c r="H196" s="2557">
        <v>4</v>
      </c>
      <c r="I196" s="2459" t="s">
        <v>3560</v>
      </c>
      <c r="J196" s="2557">
        <v>2</v>
      </c>
      <c r="K196" s="2459" t="s">
        <v>3559</v>
      </c>
      <c r="L196" s="2557">
        <v>2</v>
      </c>
      <c r="M196" s="2459" t="s">
        <v>3561</v>
      </c>
      <c r="N196" s="2557">
        <v>2</v>
      </c>
      <c r="O196"/>
    </row>
    <row r="197" spans="2:15" ht="15.75">
      <c r="D197" s="546"/>
      <c r="E197" s="671"/>
      <c r="F197" s="2459" t="s">
        <v>3776</v>
      </c>
      <c r="G197" s="2459" t="s">
        <v>3775</v>
      </c>
      <c r="H197" s="2424"/>
      <c r="I197" s="2459" t="s">
        <v>3769</v>
      </c>
      <c r="J197" s="2424"/>
      <c r="K197" s="2459" t="s">
        <v>3771</v>
      </c>
      <c r="L197" s="2424"/>
      <c r="M197" s="2459" t="s">
        <v>3773</v>
      </c>
      <c r="N197" s="2424"/>
      <c r="O197"/>
    </row>
    <row r="198" spans="2:15" ht="51.75" customHeight="1">
      <c r="D198"/>
      <c r="E198"/>
      <c r="F198" s="2555" t="s">
        <v>2881</v>
      </c>
      <c r="G198" s="2450" t="str">
        <f>計画書!F11</f>
        <v>等級４を超える水準</v>
      </c>
      <c r="H198" s="2698" t="str">
        <f>計画書!F12</f>
        <v>＜１～７地域＞</v>
      </c>
      <c r="I198" s="3190" t="str">
        <f>計画書!G12</f>
        <v>各住戸のUA値について①又は②の基準を満たし、且つ、ηAC値について等級4相当を満たすこと。
①住戸の設計UA値が基準UA値に0.85を乗じた値以下であること。
②外気に接する床の部位熱貫流率が下の値に0.85を乗じた値以下であり、かつ、住戸の設計UA値が基準UA値に0.9を乗じた値以下であること。
　　1～2地域；0.27、3地域；0.32、4～7地域；0.37</v>
      </c>
      <c r="J198" s="3190"/>
      <c r="K198" s="3190"/>
      <c r="L198" s="3190"/>
      <c r="M198" s="3190"/>
      <c r="N198" s="3190"/>
      <c r="O198" s="3190"/>
    </row>
    <row r="199" spans="2:15">
      <c r="D199"/>
      <c r="E199"/>
      <c r="F199" s="2431"/>
      <c r="G199" s="2431"/>
      <c r="H199" s="2431" t="str">
        <f>計画書!F13</f>
        <v>＜８地域＞</v>
      </c>
      <c r="I199" s="2431" t="str">
        <f>計画書!G13</f>
        <v>各住戸の開口部の平均日射熱取得率が12以下となること。</v>
      </c>
      <c r="J199"/>
      <c r="K199"/>
      <c r="L199"/>
      <c r="M199"/>
      <c r="N199"/>
      <c r="O199"/>
    </row>
    <row r="200" spans="2:15" ht="15.75">
      <c r="D200" s="546"/>
      <c r="E200" s="63"/>
      <c r="F200" s="63"/>
      <c r="G200"/>
      <c r="H200"/>
      <c r="I200"/>
      <c r="J200"/>
      <c r="K200"/>
      <c r="L200"/>
      <c r="M200"/>
      <c r="N200"/>
      <c r="O200"/>
    </row>
    <row r="201" spans="2:15" ht="15.75">
      <c r="D201" s="546"/>
      <c r="E201" s="671"/>
      <c r="F201" s="672" t="s">
        <v>2478</v>
      </c>
      <c r="G201"/>
      <c r="H201"/>
      <c r="I201"/>
      <c r="J201" t="str">
        <f>IF(OR(F203=0,J202=0),$L$3,"")</f>
        <v/>
      </c>
      <c r="K201"/>
      <c r="L201"/>
      <c r="M201"/>
      <c r="N201"/>
      <c r="O201"/>
    </row>
    <row r="202" spans="2:15" ht="15.75" customHeight="1" thickBot="1">
      <c r="D202" s="546"/>
      <c r="E202" s="671"/>
      <c r="F202" s="673" t="s">
        <v>2083</v>
      </c>
      <c r="G202" s="674"/>
      <c r="H202" s="675"/>
      <c r="I202" s="561" t="s">
        <v>1141</v>
      </c>
      <c r="J202" s="559">
        <f>重み!M25</f>
        <v>0.37499999999999994</v>
      </c>
      <c r="K202" s="674"/>
      <c r="L202" s="676"/>
      <c r="M202" s="696" t="s">
        <v>408</v>
      </c>
      <c r="N202" s="697"/>
      <c r="O202" s="1557" t="s">
        <v>1103</v>
      </c>
    </row>
    <row r="203" spans="2:15" ht="27" customHeight="1" thickBot="1">
      <c r="D203" s="546"/>
      <c r="E203" s="671"/>
      <c r="F203" s="565">
        <v>3</v>
      </c>
      <c r="G203" s="570" t="s">
        <v>2836</v>
      </c>
      <c r="H203" s="570"/>
      <c r="I203" s="571"/>
      <c r="J203" s="661" t="s">
        <v>2598</v>
      </c>
      <c r="K203" s="570"/>
      <c r="L203" s="570"/>
      <c r="M203" s="698" t="s">
        <v>1482</v>
      </c>
      <c r="N203" s="699"/>
      <c r="O203" s="1558"/>
    </row>
    <row r="204" spans="2:15" ht="51.75" customHeight="1">
      <c r="B204" s="1">
        <v>1</v>
      </c>
      <c r="C204" s="1">
        <v>1</v>
      </c>
      <c r="D204" s="546"/>
      <c r="E204" s="671"/>
      <c r="F204" s="572" t="str">
        <f>IF(F203=$F$7,$G$2,IF(ROUNDDOWN(F203,0)=$F$2,$H$2,$G$2))</f>
        <v>　レベル　1</v>
      </c>
      <c r="G204" s="3153" t="s">
        <v>1483</v>
      </c>
      <c r="H204" s="3173"/>
      <c r="I204" s="3159"/>
      <c r="J204" s="3153" t="s">
        <v>409</v>
      </c>
      <c r="K204" s="3154"/>
      <c r="L204" s="3154"/>
      <c r="M204" s="3186" t="s">
        <v>410</v>
      </c>
      <c r="N204" s="3187"/>
      <c r="O204" s="1559" t="s">
        <v>2604</v>
      </c>
    </row>
    <row r="205" spans="2:15" ht="15.75">
      <c r="B205" s="1">
        <v>2</v>
      </c>
      <c r="C205" s="1">
        <v>2</v>
      </c>
      <c r="D205" s="546"/>
      <c r="E205" s="671"/>
      <c r="F205" s="577" t="str">
        <f>IF(F203=$F$7,$G$3,IF(ROUNDDOWN(F203,0)=$F$3,$H$3,$G$3))</f>
        <v>　レベル　2</v>
      </c>
      <c r="G205" s="700"/>
      <c r="H205" s="701"/>
      <c r="I205" s="702"/>
      <c r="J205" s="580"/>
      <c r="K205" s="581"/>
      <c r="L205" s="581"/>
      <c r="M205" s="703"/>
      <c r="N205" s="704"/>
      <c r="O205" s="1560"/>
    </row>
    <row r="206" spans="2:15" ht="55.5" customHeight="1">
      <c r="B206" s="1">
        <v>3</v>
      </c>
      <c r="C206" s="1">
        <v>3</v>
      </c>
      <c r="D206" s="546"/>
      <c r="E206" s="671"/>
      <c r="F206" s="577" t="str">
        <f>IF(F203=$F$7,$G$4,IF(ROUNDDOWN(F203,0)=$F$4,$H$4,$G$4))</f>
        <v>■レベル　3</v>
      </c>
      <c r="G206" s="3157" t="s">
        <v>411</v>
      </c>
      <c r="H206" s="3163"/>
      <c r="I206" s="3158"/>
      <c r="J206" s="3157" t="s">
        <v>282</v>
      </c>
      <c r="K206" s="3163"/>
      <c r="L206" s="3163"/>
      <c r="M206" s="3188" t="s">
        <v>283</v>
      </c>
      <c r="N206" s="3189"/>
      <c r="O206" s="1560"/>
    </row>
    <row r="207" spans="2:15" ht="55.5" customHeight="1">
      <c r="B207" s="1">
        <v>4</v>
      </c>
      <c r="C207" s="1">
        <v>4</v>
      </c>
      <c r="D207" s="546"/>
      <c r="E207" s="671"/>
      <c r="F207" s="577" t="str">
        <f>IF(F203=$F$7,$G$5,IF(ROUNDDOWN(F203,0)=$F$5,$H$5,$G$5))</f>
        <v>　レベル　4</v>
      </c>
      <c r="G207" s="3157" t="s">
        <v>284</v>
      </c>
      <c r="H207" s="3163"/>
      <c r="I207" s="3158"/>
      <c r="J207" s="3157" t="s">
        <v>1812</v>
      </c>
      <c r="K207" s="3163"/>
      <c r="L207" s="3163"/>
      <c r="M207" s="3188" t="s">
        <v>285</v>
      </c>
      <c r="N207" s="3189"/>
      <c r="O207" s="1560"/>
    </row>
    <row r="208" spans="2:15" ht="60.75" customHeight="1">
      <c r="B208" s="1">
        <v>5</v>
      </c>
      <c r="C208" s="1">
        <v>5</v>
      </c>
      <c r="D208" s="546"/>
      <c r="E208" s="671"/>
      <c r="F208" s="587" t="str">
        <f>IF(F203=$F$7,$G$6,IF(ROUNDDOWN(F203,0)=$F$6,$H$6,$G$6))</f>
        <v>　レベル　5</v>
      </c>
      <c r="G208" s="3155" t="s">
        <v>490</v>
      </c>
      <c r="H208" s="3162"/>
      <c r="I208" s="3156"/>
      <c r="J208" s="3155" t="s">
        <v>286</v>
      </c>
      <c r="K208" s="3162"/>
      <c r="L208" s="3162"/>
      <c r="M208" s="3194" t="s">
        <v>1567</v>
      </c>
      <c r="N208" s="3195"/>
      <c r="O208" s="1561"/>
    </row>
    <row r="209" spans="2:15" ht="15.75" hidden="1">
      <c r="B209" s="594">
        <v>0</v>
      </c>
      <c r="C209" s="594">
        <v>0</v>
      </c>
      <c r="D209" s="546"/>
      <c r="E209" s="433"/>
      <c r="F209" s="433"/>
      <c r="G209" s="617"/>
      <c r="H209" s="617"/>
      <c r="I209" s="617"/>
      <c r="J209" s="617"/>
      <c r="K209" s="665"/>
      <c r="L209" s="665"/>
      <c r="M209" s="665"/>
      <c r="N209" s="665"/>
      <c r="O209" s="665"/>
    </row>
    <row r="210" spans="2:15" ht="15.75" hidden="1">
      <c r="D210" s="546"/>
      <c r="E210" s="550"/>
      <c r="F210" s="554" t="s">
        <v>1568</v>
      </c>
      <c r="G210" s="618"/>
      <c r="H210" s="660"/>
      <c r="I210" s="644"/>
      <c r="J210" s="621" t="str">
        <f>IF(OR(F212=0,AND(J211=0,O211=0)),$L$3,"")</f>
        <v>&lt;評価しない&gt;</v>
      </c>
      <c r="K210" s="617"/>
      <c r="L210" s="618"/>
      <c r="M210" s="660"/>
      <c r="N210" s="644"/>
      <c r="O210" s="644"/>
    </row>
    <row r="211" spans="2:15" ht="15.75" hidden="1">
      <c r="D211" s="546"/>
      <c r="E211" s="550"/>
      <c r="F211" s="558" t="s">
        <v>2083</v>
      </c>
      <c r="G211" s="559"/>
      <c r="H211" s="560"/>
      <c r="I211" s="561" t="s">
        <v>1141</v>
      </c>
      <c r="J211" s="564">
        <f>重み!M26</f>
        <v>0</v>
      </c>
      <c r="K211" s="558" t="s">
        <v>1638</v>
      </c>
      <c r="L211" s="559"/>
      <c r="M211" s="560"/>
      <c r="N211" s="561" t="s">
        <v>1141</v>
      </c>
      <c r="O211" s="564">
        <f>重み!N26</f>
        <v>0</v>
      </c>
    </row>
    <row r="212" spans="2:15" ht="16.5" hidden="1" thickBot="1">
      <c r="D212" s="546"/>
      <c r="E212" s="550"/>
      <c r="F212" s="565">
        <v>0</v>
      </c>
      <c r="G212" s="569" t="s">
        <v>1569</v>
      </c>
      <c r="H212" s="570"/>
      <c r="I212" s="570"/>
      <c r="J212" s="570"/>
      <c r="K212" s="565">
        <v>0</v>
      </c>
      <c r="L212" s="661" t="s">
        <v>921</v>
      </c>
      <c r="M212" s="571"/>
      <c r="N212" s="661"/>
      <c r="O212" s="666"/>
    </row>
    <row r="213" spans="2:15" ht="15.75" hidden="1" customHeight="1">
      <c r="B213" s="1">
        <v>1</v>
      </c>
      <c r="C213" s="1">
        <v>1</v>
      </c>
      <c r="D213" s="546"/>
      <c r="E213" s="671"/>
      <c r="F213" s="572" t="str">
        <f>IF(F212=$F$7,$G$2,IF(ROUNDDOWN(F212,0)=$F$2,$H$2,$G$2))</f>
        <v>　レベル　1</v>
      </c>
      <c r="G213" s="3153" t="s">
        <v>1570</v>
      </c>
      <c r="H213" s="3173"/>
      <c r="I213" s="3173"/>
      <c r="J213" s="3159"/>
      <c r="K213" s="572" t="str">
        <f>IF(K212=$F$7,$G$2,IF(ROUNDDOWN(K212,0)=$F$2,$H$2,$G$2))</f>
        <v>　レベル　1</v>
      </c>
      <c r="L213" s="3153" t="s">
        <v>1570</v>
      </c>
      <c r="M213" s="3173"/>
      <c r="N213" s="3173"/>
      <c r="O213" s="3159"/>
    </row>
    <row r="214" spans="2:15" ht="15.75" hidden="1" customHeight="1">
      <c r="B214" s="1">
        <v>2</v>
      </c>
      <c r="C214" s="1">
        <v>2</v>
      </c>
      <c r="D214" s="546"/>
      <c r="E214" s="671"/>
      <c r="F214" s="577" t="str">
        <f>IF(F212=$F$7,$G$3,IF(ROUNDDOWN(F212,0)=$F$3,$H$3,$G$3))</f>
        <v>　レベル　2</v>
      </c>
      <c r="G214" s="3157" t="s">
        <v>1571</v>
      </c>
      <c r="H214" s="3163"/>
      <c r="I214" s="3163"/>
      <c r="J214" s="3158"/>
      <c r="K214" s="577" t="str">
        <f>IF(K212=$F$7,$G$3,IF(ROUNDDOWN(K212,0)=$F$3,$H$3,$G$3))</f>
        <v>　レベル　2</v>
      </c>
      <c r="L214" s="3191" t="s">
        <v>1571</v>
      </c>
      <c r="M214" s="3192"/>
      <c r="N214" s="3192"/>
      <c r="O214" s="3193"/>
    </row>
    <row r="215" spans="2:15" ht="15.75" hidden="1" customHeight="1">
      <c r="B215" s="1">
        <v>3</v>
      </c>
      <c r="C215" s="1">
        <v>3</v>
      </c>
      <c r="D215" s="546"/>
      <c r="E215" s="671"/>
      <c r="F215" s="577" t="str">
        <f>IF(F212=$F$7,$G$4,IF(ROUNDDOWN(F212,0)=$F$4,$H$4,$G$4))</f>
        <v>　レベル　3</v>
      </c>
      <c r="G215" s="3157" t="s">
        <v>1572</v>
      </c>
      <c r="H215" s="3163"/>
      <c r="I215" s="3163"/>
      <c r="J215" s="3158"/>
      <c r="K215" s="577" t="str">
        <f>IF(K212=$F$7,$G$4,IF(ROUNDDOWN(K212,0)=$F$4,$H$4,$G$4))</f>
        <v>　レベル　3</v>
      </c>
      <c r="L215" s="3191" t="s">
        <v>491</v>
      </c>
      <c r="M215" s="3192"/>
      <c r="N215" s="3192"/>
      <c r="O215" s="3193"/>
    </row>
    <row r="216" spans="2:15" ht="15.75" hidden="1">
      <c r="B216" s="1">
        <v>4</v>
      </c>
      <c r="C216" s="1">
        <v>4</v>
      </c>
      <c r="D216" s="546"/>
      <c r="E216" s="671"/>
      <c r="F216" s="577" t="str">
        <f>IF(F212=$F$7,$G$5,IF(ROUNDDOWN(F212,0)=$F$5,$H$5,$G$5))</f>
        <v>　レベル　4</v>
      </c>
      <c r="G216" s="705"/>
      <c r="H216" s="706"/>
      <c r="I216" s="701"/>
      <c r="J216" s="702"/>
      <c r="K216" s="577" t="str">
        <f>IF(K212=$F$7,$G$5,IF(ROUNDDOWN(K212,0)=$F$5,$H$5,$G$5))</f>
        <v>　レベル　4</v>
      </c>
      <c r="L216" s="3191"/>
      <c r="M216" s="3192"/>
      <c r="N216" s="3192"/>
      <c r="O216" s="3193"/>
    </row>
    <row r="217" spans="2:15" ht="15.75" hidden="1" customHeight="1">
      <c r="B217" s="1">
        <v>5</v>
      </c>
      <c r="C217" s="1">
        <v>5</v>
      </c>
      <c r="D217" s="546"/>
      <c r="E217" s="671"/>
      <c r="F217" s="587" t="str">
        <f>IF(F212=$F$7,$G$6,IF(ROUNDDOWN(F212,0)=$F$6,$H$6,$G$6))</f>
        <v>　レベル　5</v>
      </c>
      <c r="G217" s="3198" t="s">
        <v>1573</v>
      </c>
      <c r="H217" s="3199"/>
      <c r="I217" s="3199"/>
      <c r="J217" s="3200"/>
      <c r="K217" s="587" t="str">
        <f>IF(K212=$F$7,$G$6,IF(ROUNDDOWN(K212,0)=$F$6,$H$6,$G$6))</f>
        <v>　レベル　5</v>
      </c>
      <c r="L217" s="3198" t="s">
        <v>492</v>
      </c>
      <c r="M217" s="3199"/>
      <c r="N217" s="3199"/>
      <c r="O217" s="3200"/>
    </row>
    <row r="218" spans="2:15" ht="15.75" hidden="1">
      <c r="B218" s="594">
        <v>0</v>
      </c>
      <c r="C218" s="594">
        <v>0</v>
      </c>
      <c r="D218" s="546"/>
      <c r="E218" s="671"/>
      <c r="F218" s="707"/>
      <c r="G218" s="687"/>
      <c r="H218" s="686"/>
      <c r="I218" s="686"/>
      <c r="J218" s="686"/>
      <c r="K218" s="687"/>
      <c r="L218" s="687"/>
      <c r="M218" s="687"/>
      <c r="N218" s="687"/>
      <c r="O218" s="617"/>
    </row>
    <row r="219" spans="2:15" ht="15.75" hidden="1">
      <c r="D219" s="546"/>
      <c r="E219" s="671"/>
      <c r="F219" s="554" t="s">
        <v>1574</v>
      </c>
      <c r="G219" s="618"/>
      <c r="H219" s="660"/>
      <c r="I219" s="644"/>
      <c r="J219" s="621" t="str">
        <f>IF(OR(F221=0,J220=0),$L$3,"")</f>
        <v>&lt;評価しない&gt;</v>
      </c>
      <c r="K219" s="687"/>
      <c r="L219" s="687"/>
      <c r="M219" s="687"/>
      <c r="N219" s="687"/>
      <c r="O219" s="617"/>
    </row>
    <row r="220" spans="2:15" ht="15.75" hidden="1">
      <c r="D220" s="546"/>
      <c r="E220" s="671"/>
      <c r="F220" s="558" t="s">
        <v>493</v>
      </c>
      <c r="G220" s="559"/>
      <c r="H220" s="560"/>
      <c r="I220" s="561" t="s">
        <v>1141</v>
      </c>
      <c r="J220" s="564">
        <f>重み!N27</f>
        <v>0</v>
      </c>
      <c r="K220" s="687"/>
      <c r="L220" s="687"/>
      <c r="M220" s="687"/>
      <c r="N220" s="687"/>
      <c r="O220" s="617"/>
    </row>
    <row r="221" spans="2:15" ht="16.5" hidden="1" thickBot="1">
      <c r="D221" s="546"/>
      <c r="E221" s="671"/>
      <c r="F221" s="565">
        <v>0</v>
      </c>
      <c r="G221" s="3196" t="s">
        <v>921</v>
      </c>
      <c r="H221" s="3197"/>
      <c r="I221" s="3197" t="s">
        <v>1575</v>
      </c>
      <c r="J221" s="3197"/>
      <c r="K221" s="687"/>
      <c r="L221" s="687"/>
      <c r="M221" s="687"/>
      <c r="N221" s="687"/>
      <c r="O221" s="617"/>
    </row>
    <row r="222" spans="2:15" ht="15.75" hidden="1" customHeight="1">
      <c r="B222" s="1">
        <v>1</v>
      </c>
      <c r="C222" s="1">
        <v>1</v>
      </c>
      <c r="D222" s="546"/>
      <c r="E222" s="671"/>
      <c r="F222" s="572" t="str">
        <f>IF(F221=$F$7,$G$2,IF(ROUNDDOWN(F221,0)=$F$2,$H$2,$G$2))</f>
        <v>　レベル　1</v>
      </c>
      <c r="G222" s="3153" t="s">
        <v>1576</v>
      </c>
      <c r="H222" s="3159"/>
      <c r="I222" s="3153" t="s">
        <v>335</v>
      </c>
      <c r="J222" s="3171"/>
      <c r="K222" s="687"/>
      <c r="L222" s="687"/>
      <c r="M222" s="687"/>
      <c r="N222" s="687"/>
      <c r="O222" s="617"/>
    </row>
    <row r="223" spans="2:15" ht="15.75" hidden="1">
      <c r="B223" s="1">
        <v>2</v>
      </c>
      <c r="C223" s="1">
        <v>2</v>
      </c>
      <c r="D223" s="546"/>
      <c r="E223" s="671"/>
      <c r="F223" s="577" t="str">
        <f>IF(F221=$F$7,$G$3,IF(ROUNDDOWN(F221,0)=$F$3,$H$3,$G$3))</f>
        <v>　レベル　2</v>
      </c>
      <c r="G223" s="584"/>
      <c r="H223" s="586"/>
      <c r="I223" s="584"/>
      <c r="J223" s="586"/>
      <c r="K223" s="687"/>
      <c r="L223" s="687"/>
      <c r="M223" s="687"/>
      <c r="N223" s="687"/>
      <c r="O223" s="617"/>
    </row>
    <row r="224" spans="2:15" ht="15.75" hidden="1" customHeight="1">
      <c r="B224" s="1">
        <v>3</v>
      </c>
      <c r="C224" s="1">
        <v>3</v>
      </c>
      <c r="D224" s="546"/>
      <c r="E224" s="671"/>
      <c r="F224" s="577" t="str">
        <f>IF(F221=$F$7,$G$4,IF(ROUNDDOWN(F221,0)=$F$4,$H$4,$G$4))</f>
        <v>　レベル　3</v>
      </c>
      <c r="G224" s="3157" t="s">
        <v>1577</v>
      </c>
      <c r="H224" s="3201"/>
      <c r="I224" s="3157" t="s">
        <v>1578</v>
      </c>
      <c r="J224" s="3158"/>
      <c r="K224" s="687"/>
      <c r="L224" s="687"/>
      <c r="M224" s="687"/>
      <c r="N224" s="687"/>
      <c r="O224" s="617"/>
    </row>
    <row r="225" spans="2:15" ht="15.75" hidden="1">
      <c r="B225" s="1">
        <v>4</v>
      </c>
      <c r="C225" s="1">
        <v>4</v>
      </c>
      <c r="D225" s="546"/>
      <c r="E225" s="671"/>
      <c r="F225" s="577" t="str">
        <f>IF(F221=$F$7,$G$5,IF(ROUNDDOWN(F221,0)=$F$5,$H$5,$G$5))</f>
        <v>　レベル　4</v>
      </c>
      <c r="G225" s="584"/>
      <c r="H225" s="586"/>
      <c r="I225" s="584"/>
      <c r="J225" s="586"/>
      <c r="K225" s="687"/>
      <c r="L225" s="687"/>
      <c r="M225" s="687"/>
      <c r="N225" s="687"/>
      <c r="O225" s="617"/>
    </row>
    <row r="226" spans="2:15" ht="15.75" hidden="1" customHeight="1">
      <c r="B226" s="1">
        <v>5</v>
      </c>
      <c r="C226" s="1">
        <v>5</v>
      </c>
      <c r="D226" s="546"/>
      <c r="E226" s="671"/>
      <c r="F226" s="587" t="str">
        <f>IF(F221=$F$7,$G$6,IF(ROUNDDOWN(F221,0)=$F$6,$H$6,$G$6))</f>
        <v>　レベル　5</v>
      </c>
      <c r="G226" s="3155" t="s">
        <v>1579</v>
      </c>
      <c r="H226" s="3185"/>
      <c r="I226" s="3155" t="s">
        <v>1580</v>
      </c>
      <c r="J226" s="3156"/>
      <c r="K226" s="687"/>
      <c r="L226" s="687"/>
      <c r="M226" s="687"/>
      <c r="N226" s="687"/>
      <c r="O226" s="617"/>
    </row>
    <row r="227" spans="2:15" ht="15.75" hidden="1">
      <c r="B227" s="594">
        <v>0</v>
      </c>
      <c r="C227" s="594">
        <v>0</v>
      </c>
      <c r="D227" s="546"/>
      <c r="E227" s="671"/>
      <c r="F227" s="707"/>
      <c r="G227" s="687"/>
      <c r="H227" s="686"/>
      <c r="I227" s="686"/>
      <c r="J227" s="686"/>
      <c r="K227" s="687"/>
      <c r="L227" s="687"/>
      <c r="M227" s="687"/>
      <c r="N227" s="687"/>
      <c r="O227" s="617"/>
    </row>
    <row r="228" spans="2:15" ht="15.75" hidden="1">
      <c r="D228" s="546"/>
      <c r="E228" s="550"/>
      <c r="F228" s="554" t="s">
        <v>234</v>
      </c>
      <c r="G228" s="618"/>
      <c r="H228" s="660"/>
      <c r="I228" s="644"/>
      <c r="J228" s="621" t="str">
        <f>IF(OR(F230=0,J229=0),$L$3,"")</f>
        <v>&lt;評価しない&gt;</v>
      </c>
      <c r="K228" s="688" t="s">
        <v>1581</v>
      </c>
      <c r="L228" s="618"/>
      <c r="M228" s="660"/>
      <c r="N228" s="644"/>
      <c r="O228" s="621" t="str">
        <f>IF(OR(K230=0,O229=0),$L$3,"")</f>
        <v>&lt;評価しない&gt;</v>
      </c>
    </row>
    <row r="229" spans="2:15" ht="15.75" hidden="1">
      <c r="D229" s="546"/>
      <c r="E229" s="550"/>
      <c r="F229" s="558" t="s">
        <v>235</v>
      </c>
      <c r="G229" s="559"/>
      <c r="H229" s="560"/>
      <c r="I229" s="561" t="s">
        <v>1141</v>
      </c>
      <c r="J229" s="564">
        <f>重み!M28</f>
        <v>0</v>
      </c>
      <c r="K229" s="558" t="s">
        <v>1680</v>
      </c>
      <c r="L229" s="559"/>
      <c r="M229" s="560"/>
      <c r="N229" s="561" t="s">
        <v>1141</v>
      </c>
      <c r="O229" s="564">
        <f>重み!M29</f>
        <v>0</v>
      </c>
    </row>
    <row r="230" spans="2:15" ht="16.5" hidden="1" thickBot="1">
      <c r="D230" s="546"/>
      <c r="E230" s="550"/>
      <c r="F230" s="565">
        <v>0</v>
      </c>
      <c r="G230" s="569" t="s">
        <v>1582</v>
      </c>
      <c r="H230" s="570"/>
      <c r="I230" s="570"/>
      <c r="J230" s="571"/>
      <c r="K230" s="565">
        <v>0</v>
      </c>
      <c r="L230" s="661" t="s">
        <v>1583</v>
      </c>
      <c r="M230" s="571"/>
      <c r="N230" s="661"/>
      <c r="O230" s="666"/>
    </row>
    <row r="231" spans="2:15" ht="15.75" hidden="1" customHeight="1">
      <c r="B231" s="1">
        <v>1</v>
      </c>
      <c r="C231" s="1">
        <v>1</v>
      </c>
      <c r="D231" s="546"/>
      <c r="E231" s="671"/>
      <c r="F231" s="572" t="str">
        <f>IF(F230=$F$7,$G$2,IF(ROUNDDOWN(F230,0)=$F$2,$H$2,$G$2))</f>
        <v>　レベル　1</v>
      </c>
      <c r="G231" s="3153" t="s">
        <v>1584</v>
      </c>
      <c r="H231" s="3154"/>
      <c r="I231" s="3154"/>
      <c r="J231" s="3171"/>
      <c r="K231" s="572" t="str">
        <f>IF(K230=$F$7,$G$2,IF(ROUNDDOWN(K230,0)=$F$2,$H$2,$G$2))</f>
        <v>　レベル　1</v>
      </c>
      <c r="L231" s="3153" t="s">
        <v>1585</v>
      </c>
      <c r="M231" s="3173"/>
      <c r="N231" s="3173"/>
      <c r="O231" s="3159"/>
    </row>
    <row r="232" spans="2:15" ht="15.75" hidden="1">
      <c r="B232" s="1">
        <v>2</v>
      </c>
      <c r="C232" s="1">
        <v>2</v>
      </c>
      <c r="D232" s="546"/>
      <c r="E232" s="671"/>
      <c r="F232" s="577" t="str">
        <f>IF(F230=$F$7,$G$3,IF(ROUNDDOWN(F230,0)=$F$3,$H$3,$G$3))</f>
        <v>　レベル　2</v>
      </c>
      <c r="G232" s="3157"/>
      <c r="H232" s="3163"/>
      <c r="I232" s="3163"/>
      <c r="J232" s="3158"/>
      <c r="K232" s="577" t="str">
        <f>IF(K230=$F$7,$G$3,IF(ROUNDDOWN(K230,0)=$F$3,$H$3,$G$3))</f>
        <v>　レベル　2</v>
      </c>
      <c r="L232" s="3191"/>
      <c r="M232" s="3192"/>
      <c r="N232" s="3192"/>
      <c r="O232" s="3193"/>
    </row>
    <row r="233" spans="2:15" ht="15.75" hidden="1" customHeight="1">
      <c r="B233" s="1">
        <v>3</v>
      </c>
      <c r="C233" s="1">
        <v>3</v>
      </c>
      <c r="D233" s="546"/>
      <c r="E233" s="671"/>
      <c r="F233" s="577" t="str">
        <f>IF(F230=$F$7,$G$4,IF(ROUNDDOWN(F230,0)=$F$4,$H$4,$G$4))</f>
        <v>　レベル　3</v>
      </c>
      <c r="G233" s="3157" t="s">
        <v>361</v>
      </c>
      <c r="H233" s="3163"/>
      <c r="I233" s="3163"/>
      <c r="J233" s="3158"/>
      <c r="K233" s="577" t="str">
        <f>IF(K230=$F$7,$G$4,IF(ROUNDDOWN(K230,0)=$F$4,$H$4,$G$4))</f>
        <v>　レベル　3</v>
      </c>
      <c r="L233" s="3191" t="s">
        <v>236</v>
      </c>
      <c r="M233" s="3192"/>
      <c r="N233" s="3192"/>
      <c r="O233" s="3193"/>
    </row>
    <row r="234" spans="2:15" ht="15.75" hidden="1">
      <c r="B234" s="1">
        <v>4</v>
      </c>
      <c r="C234" s="1">
        <v>4</v>
      </c>
      <c r="D234" s="546"/>
      <c r="E234" s="671"/>
      <c r="F234" s="577" t="str">
        <f>IF(F230=$F$7,$G$5,IF(ROUNDDOWN(F230,0)=$F$5,$H$5,$G$5))</f>
        <v>　レベル　4</v>
      </c>
      <c r="G234" s="3157"/>
      <c r="H234" s="3163"/>
      <c r="I234" s="3163"/>
      <c r="J234" s="3158"/>
      <c r="K234" s="577" t="str">
        <f>IF(K230=$F$7,$G$5,IF(ROUNDDOWN(K230,0)=$F$5,$H$5,$G$5))</f>
        <v>　レベル　4</v>
      </c>
      <c r="L234" s="3191"/>
      <c r="M234" s="3192"/>
      <c r="N234" s="3192"/>
      <c r="O234" s="3193"/>
    </row>
    <row r="235" spans="2:15" ht="18" hidden="1" customHeight="1">
      <c r="B235" s="1">
        <v>5</v>
      </c>
      <c r="C235" s="1">
        <v>5</v>
      </c>
      <c r="D235" s="546"/>
      <c r="E235" s="671"/>
      <c r="F235" s="587" t="str">
        <f>IF(F230=$F$7,$G$6,IF(ROUNDDOWN(F230,0)=$F$6,$H$6,$G$6))</f>
        <v>　レベル　5</v>
      </c>
      <c r="G235" s="3155" t="s">
        <v>362</v>
      </c>
      <c r="H235" s="3162"/>
      <c r="I235" s="3162"/>
      <c r="J235" s="3156"/>
      <c r="K235" s="587" t="str">
        <f>IF(K230=$F$7,$G$6,IF(ROUNDDOWN(K230,0)=$F$6,$H$6,$G$6))</f>
        <v>　レベル　5</v>
      </c>
      <c r="L235" s="3182" t="s">
        <v>1360</v>
      </c>
      <c r="M235" s="3202"/>
      <c r="N235" s="3202"/>
      <c r="O235" s="3203"/>
    </row>
    <row r="236" spans="2:15" ht="15.75">
      <c r="B236" s="594">
        <v>0</v>
      </c>
      <c r="C236" s="594">
        <v>0</v>
      </c>
      <c r="D236" s="546"/>
      <c r="E236" s="433"/>
      <c r="F236" s="887" t="s">
        <v>3402</v>
      </c>
      <c r="G236" s="2423"/>
      <c r="H236" s="2399"/>
      <c r="I236" s="2396"/>
      <c r="J236" s="2397"/>
      <c r="K236" s="2400"/>
      <c r="L236" s="1281"/>
      <c r="M236"/>
      <c r="N236"/>
      <c r="O236"/>
    </row>
    <row r="237" spans="2:15" ht="15.75">
      <c r="B237" s="918"/>
      <c r="C237" s="918"/>
      <c r="D237" s="546"/>
      <c r="E237" s="433"/>
      <c r="F237" s="433"/>
      <c r="G237"/>
      <c r="H237"/>
      <c r="I237"/>
      <c r="J237"/>
      <c r="K237"/>
      <c r="L237"/>
      <c r="M237"/>
      <c r="N237"/>
      <c r="O237"/>
    </row>
    <row r="238" spans="2:15" ht="15.75">
      <c r="D238" s="542">
        <v>2.2000000000000002</v>
      </c>
      <c r="E238" s="551" t="s">
        <v>363</v>
      </c>
      <c r="F238" s="554"/>
      <c r="G238"/>
      <c r="H238"/>
      <c r="I238"/>
      <c r="J238" t="str">
        <f>IF(OR(F240=0,AND(J239=0,O239=0)),$L$3,"")</f>
        <v/>
      </c>
      <c r="K238"/>
      <c r="L238"/>
      <c r="M238"/>
      <c r="N238"/>
      <c r="O238"/>
    </row>
    <row r="239" spans="2:15" ht="16.5" thickBot="1">
      <c r="D239" s="708"/>
      <c r="E239" s="551"/>
      <c r="F239" s="558" t="s">
        <v>1361</v>
      </c>
      <c r="G239" s="559"/>
      <c r="H239" s="560"/>
      <c r="I239" s="561" t="s">
        <v>1141</v>
      </c>
      <c r="J239" s="564">
        <f>重み!M30</f>
        <v>0.2</v>
      </c>
      <c r="K239" s="558" t="s">
        <v>1638</v>
      </c>
      <c r="L239" s="559"/>
      <c r="M239" s="560"/>
      <c r="N239" s="561" t="s">
        <v>1141</v>
      </c>
      <c r="O239" s="564">
        <f>重み!N30</f>
        <v>0</v>
      </c>
    </row>
    <row r="240" spans="2:15" ht="27" customHeight="1" thickBot="1">
      <c r="D240" s="708"/>
      <c r="E240" s="551"/>
      <c r="F240" s="565">
        <v>3</v>
      </c>
      <c r="G240" s="661" t="s">
        <v>364</v>
      </c>
      <c r="H240" s="570"/>
      <c r="I240" s="680" t="s">
        <v>365</v>
      </c>
      <c r="J240" s="571" t="s">
        <v>1142</v>
      </c>
      <c r="K240" s="565">
        <v>3</v>
      </c>
      <c r="L240" s="661" t="s">
        <v>2247</v>
      </c>
      <c r="M240" s="571"/>
      <c r="N240" s="661" t="s">
        <v>1362</v>
      </c>
      <c r="O240" s="666"/>
    </row>
    <row r="241" spans="2:15" ht="15.75" hidden="1">
      <c r="B241" s="1">
        <v>1</v>
      </c>
      <c r="C241" s="1">
        <v>1</v>
      </c>
      <c r="D241" s="708"/>
      <c r="E241" s="551"/>
      <c r="F241" s="662"/>
      <c r="G241" s="661" t="s">
        <v>1054</v>
      </c>
      <c r="H241" s="571"/>
      <c r="I241" s="570"/>
      <c r="J241" s="571"/>
      <c r="K241" s="662"/>
      <c r="L241" s="661" t="s">
        <v>1054</v>
      </c>
      <c r="M241" s="571"/>
      <c r="N241" s="661"/>
      <c r="O241" s="571"/>
    </row>
    <row r="242" spans="2:15" ht="15.75" hidden="1">
      <c r="B242" s="1">
        <v>2</v>
      </c>
      <c r="C242" s="1">
        <v>2</v>
      </c>
      <c r="D242" s="708"/>
      <c r="E242" s="551"/>
      <c r="F242" s="577" t="str">
        <f>IF(F240=$F$7,$G$2,IF(AND($O$9=$O$3,ROUNDDOWN(F240,0)=$F$2),$H$2,$G$2))</f>
        <v>　レベル　1</v>
      </c>
      <c r="G242" s="3153" t="s">
        <v>1363</v>
      </c>
      <c r="H242" s="3171"/>
      <c r="I242" s="709" t="s">
        <v>1363</v>
      </c>
      <c r="J242" s="709" t="s">
        <v>1363</v>
      </c>
      <c r="K242" s="577" t="str">
        <f>IF(K240=$F$7,$G$2,IF(AND($O$9=$O$3,ROUNDDOWN(K240,0)=$F$2),$H$2,$G$2))</f>
        <v>　レベル　1</v>
      </c>
      <c r="L242" s="3153" t="s">
        <v>1363</v>
      </c>
      <c r="M242" s="3171"/>
      <c r="N242" s="3153" t="s">
        <v>366</v>
      </c>
      <c r="O242" s="3171"/>
    </row>
    <row r="243" spans="2:15" ht="15.75" hidden="1" customHeight="1">
      <c r="B243" s="1">
        <v>3</v>
      </c>
      <c r="C243" s="1">
        <v>3</v>
      </c>
      <c r="D243" s="708"/>
      <c r="E243" s="551"/>
      <c r="F243" s="577" t="str">
        <f>IF(F240=$F$7,$G$3,IF(AND($O$9=$O$3,ROUNDDOWN(F240,0)=$F$3),$H$3,$G$3))</f>
        <v>　レベル　2</v>
      </c>
      <c r="G243" s="3157"/>
      <c r="H243" s="3158"/>
      <c r="I243" s="584"/>
      <c r="J243" s="584"/>
      <c r="K243" s="577" t="str">
        <f>IF(K240=$F$7,$G$3,IF(AND($O$9=$O$3,ROUNDDOWN(K240,0)=$F$3),$H$3,$G$3))</f>
        <v>　レベル　2</v>
      </c>
      <c r="L243" s="3157"/>
      <c r="M243" s="3158"/>
      <c r="N243" s="3157" t="s">
        <v>1818</v>
      </c>
      <c r="O243" s="3158"/>
    </row>
    <row r="244" spans="2:15" ht="77.25" hidden="1" customHeight="1">
      <c r="B244" s="1">
        <v>4</v>
      </c>
      <c r="C244" s="1">
        <v>4</v>
      </c>
      <c r="D244" s="708"/>
      <c r="E244" s="551"/>
      <c r="F244" s="577" t="str">
        <f>IF(F240=$F$7,$G$4,IF(AND($O$9=$O$3,ROUNDDOWN(F240,0)=$F$4),$H$4,$G$4))</f>
        <v>　レベル　3</v>
      </c>
      <c r="G244" s="3157" t="s">
        <v>1364</v>
      </c>
      <c r="H244" s="3158"/>
      <c r="I244" s="584" t="s">
        <v>1365</v>
      </c>
      <c r="J244" s="584" t="s">
        <v>245</v>
      </c>
      <c r="K244" s="577" t="str">
        <f>IF(K240=$F$7,$G$4,IF(AND($O$9=$O$3,ROUNDDOWN(K240,0)=$F$4),$H$4,$G$4))</f>
        <v>　レベル　3</v>
      </c>
      <c r="L244" s="3157" t="s">
        <v>1364</v>
      </c>
      <c r="M244" s="3158"/>
      <c r="N244" s="3157" t="s">
        <v>367</v>
      </c>
      <c r="O244" s="3158"/>
    </row>
    <row r="245" spans="2:15" ht="50.25" hidden="1" customHeight="1">
      <c r="B245" s="1">
        <v>5</v>
      </c>
      <c r="C245" s="1">
        <v>5</v>
      </c>
      <c r="D245" s="708"/>
      <c r="E245" s="551"/>
      <c r="F245" s="577" t="str">
        <f>IF(F240=$F$7,$G$5,IF(AND($O$9=$O$3,ROUNDDOWN(F240,0)=$F$5),$H$5,$G$5))</f>
        <v>　レベル　4</v>
      </c>
      <c r="G245" s="3157"/>
      <c r="H245" s="3158"/>
      <c r="I245" s="584"/>
      <c r="J245" s="584"/>
      <c r="K245" s="577" t="str">
        <f>IF(K240=$F$7,$G$5,IF(AND($O$9=$O$3,ROUNDDOWN(K240,0)=$F$5),$H$5,$G$5))</f>
        <v>　レベル　4</v>
      </c>
      <c r="L245" s="3157"/>
      <c r="M245" s="3158"/>
      <c r="N245" s="3157" t="s">
        <v>368</v>
      </c>
      <c r="O245" s="3158"/>
    </row>
    <row r="246" spans="2:15" ht="73.5" hidden="1" customHeight="1">
      <c r="B246" s="594">
        <v>0</v>
      </c>
      <c r="C246" s="594">
        <v>0</v>
      </c>
      <c r="D246" s="708"/>
      <c r="E246" s="551"/>
      <c r="F246" s="587" t="str">
        <f>IF(F240=$F$7,$G$6,IF(AND($O$9=$O$3,ROUNDDOWN(F240,0)=$F$6),$H$6,$G$6))</f>
        <v>　レベル　5</v>
      </c>
      <c r="G246" s="3155" t="s">
        <v>246</v>
      </c>
      <c r="H246" s="3156"/>
      <c r="I246" s="588" t="s">
        <v>247</v>
      </c>
      <c r="J246" s="588" t="s">
        <v>247</v>
      </c>
      <c r="K246" s="587" t="str">
        <f>IF(K240=$F$7,$G$6,IF(AND($O$9=$O$3,ROUNDDOWN(K240,0)=$F$6),$H$6,$G$6))</f>
        <v>　レベル　5</v>
      </c>
      <c r="L246" s="3155" t="s">
        <v>246</v>
      </c>
      <c r="M246" s="3156"/>
      <c r="N246" s="3155" t="s">
        <v>248</v>
      </c>
      <c r="O246" s="3156"/>
    </row>
    <row r="247" spans="2:15" ht="15.75" hidden="1">
      <c r="D247" s="546"/>
      <c r="E247" s="433"/>
      <c r="F247" s="663"/>
      <c r="G247" s="675" t="s">
        <v>1053</v>
      </c>
      <c r="H247" s="675"/>
      <c r="I247" s="675"/>
      <c r="J247" s="691"/>
      <c r="K247" s="663"/>
      <c r="L247" s="675" t="s">
        <v>1053</v>
      </c>
      <c r="M247" s="675"/>
      <c r="N247" s="675"/>
      <c r="O247" s="691"/>
    </row>
    <row r="248" spans="2:15" ht="21" customHeight="1">
      <c r="D248" s="546"/>
      <c r="E248" s="433"/>
      <c r="F248" s="664" t="str">
        <f>IF(F240=$F$7,$G$2,IF(AND($O$9&lt;&gt;$O$3,ROUNDDOWN(F240,0)=$F$2),$H$2,$G$2))</f>
        <v>　レベル　1</v>
      </c>
      <c r="G248" s="3153" t="s">
        <v>249</v>
      </c>
      <c r="H248" s="3204"/>
      <c r="I248" s="2699"/>
      <c r="J248" s="2699"/>
      <c r="K248" s="664" t="str">
        <f>IF(K240=$F$7,$G$2,IF(AND($O$9&lt;&gt;$O$3,ROUNDDOWN(K240,0)=$F$2),$H$2,$G$2))</f>
        <v>　レベル　1</v>
      </c>
      <c r="L248" s="3153" t="s">
        <v>249</v>
      </c>
      <c r="M248" s="3159"/>
      <c r="N248" s="3153" t="s">
        <v>250</v>
      </c>
      <c r="O248" s="3171"/>
    </row>
    <row r="249" spans="2:15" ht="21" customHeight="1">
      <c r="D249" s="546"/>
      <c r="E249" s="433"/>
      <c r="F249" s="577" t="str">
        <f>IF(F240=$F$7,$G$3,IF(AND($O$9&lt;&gt;$O$3,ROUNDDOWN(F240,0)=$F$3),$H$3,$G$3))</f>
        <v>　レベル　2</v>
      </c>
      <c r="G249" s="584"/>
      <c r="H249" s="586"/>
      <c r="I249" s="584"/>
      <c r="J249" s="584"/>
      <c r="K249" s="577" t="str">
        <f>IF(K240=$F$7,$G$3,IF(AND($O$9&lt;&gt;$O$3,ROUNDDOWN(K240,0)=$F$3),$H$3,$G$3))</f>
        <v>　レベル　2</v>
      </c>
      <c r="L249" s="584"/>
      <c r="M249" s="586"/>
      <c r="N249" s="3191" t="s">
        <v>1818</v>
      </c>
      <c r="O249" s="3193"/>
    </row>
    <row r="250" spans="2:15" ht="97.5" customHeight="1">
      <c r="D250" s="546"/>
      <c r="E250" s="433"/>
      <c r="F250" s="577" t="str">
        <f>IF(F240=$F$7,$G$4,IF(AND($O$9&lt;&gt;$O$3,ROUNDDOWN(F240,0)=$F$4),$H$4,$G$4))</f>
        <v>■レベル　3</v>
      </c>
      <c r="G250" s="3157" t="s">
        <v>251</v>
      </c>
      <c r="H250" s="3205"/>
      <c r="I250" s="584" t="s">
        <v>252</v>
      </c>
      <c r="J250" s="584" t="s">
        <v>253</v>
      </c>
      <c r="K250" s="577" t="str">
        <f>IF(K240=$F$7,$G$4,IF(AND($O$9&lt;&gt;$O$3,ROUNDDOWN(K240,0)=$F$4),$H$4,$G$4))</f>
        <v>■レベル　3</v>
      </c>
      <c r="L250" s="3157" t="s">
        <v>254</v>
      </c>
      <c r="M250" s="3201"/>
      <c r="N250" s="3157" t="s">
        <v>545</v>
      </c>
      <c r="O250" s="3158"/>
    </row>
    <row r="251" spans="2:15" ht="56.25" customHeight="1">
      <c r="D251" s="546"/>
      <c r="E251" s="433"/>
      <c r="F251" s="577" t="str">
        <f>IF(F240=$F$7,$G$5,IF(AND($O$9&lt;&gt;$O$3,ROUNDDOWN(F240,0)=$F$5),$H$5,$G$5))</f>
        <v>　レベル　4</v>
      </c>
      <c r="G251" s="584"/>
      <c r="H251" s="586"/>
      <c r="I251" s="584"/>
      <c r="J251" s="584"/>
      <c r="K251" s="577" t="str">
        <f>IF(K240=$F$7,$G$5,IF(AND($O$9&lt;&gt;$O$3,ROUNDDOWN(K240,0)=$F$5),$H$5,$G$5))</f>
        <v>　レベル　4</v>
      </c>
      <c r="L251" s="584"/>
      <c r="M251" s="586"/>
      <c r="N251" s="3157" t="s">
        <v>546</v>
      </c>
      <c r="O251" s="3158"/>
    </row>
    <row r="252" spans="2:15" ht="103.5" customHeight="1">
      <c r="D252" s="546"/>
      <c r="E252" s="433"/>
      <c r="F252" s="587" t="str">
        <f>IF(F240=$F$7,$G$6,IF(AND($O$9&lt;&gt;$O$3,ROUNDDOWN(F240,0)=$F$6),$H$6,$G$6))</f>
        <v>　レベル　5</v>
      </c>
      <c r="G252" s="3155" t="s">
        <v>547</v>
      </c>
      <c r="H252" s="3206"/>
      <c r="I252" s="588" t="s">
        <v>547</v>
      </c>
      <c r="J252" s="588" t="s">
        <v>2098</v>
      </c>
      <c r="K252" s="587" t="str">
        <f>IF(K240=$F$7,$G$6,IF(AND($O$9&lt;&gt;$O$3,ROUNDDOWN(K240,0)=$F$6),$H$6,$G$6))</f>
        <v>　レベル　5</v>
      </c>
      <c r="L252" s="3155" t="s">
        <v>547</v>
      </c>
      <c r="M252" s="3185"/>
      <c r="N252" s="3155" t="s">
        <v>89</v>
      </c>
      <c r="O252" s="3156"/>
    </row>
    <row r="253" spans="2:15" ht="13.5" customHeight="1">
      <c r="D253" s="546"/>
      <c r="E253" s="433"/>
      <c r="F253" s="887" t="s">
        <v>3402</v>
      </c>
      <c r="G253" s="2423"/>
      <c r="H253" s="2399"/>
      <c r="I253" s="2396"/>
      <c r="J253" s="2397"/>
      <c r="K253" s="2400"/>
      <c r="L253" s="1281"/>
      <c r="M253"/>
      <c r="N253"/>
      <c r="O253"/>
    </row>
    <row r="254" spans="2:15" ht="15.75">
      <c r="D254" s="546"/>
      <c r="E254" s="433"/>
      <c r="F254" s="433"/>
      <c r="G254"/>
      <c r="H254"/>
      <c r="I254"/>
      <c r="J254"/>
      <c r="K254"/>
      <c r="L254"/>
      <c r="M254"/>
      <c r="N254"/>
      <c r="O254"/>
    </row>
    <row r="255" spans="2:15" ht="15.75">
      <c r="D255" s="542">
        <v>2.2999999999999998</v>
      </c>
      <c r="E255" s="551" t="s">
        <v>220</v>
      </c>
      <c r="F255" s="554"/>
      <c r="G255"/>
      <c r="H255"/>
      <c r="I255"/>
      <c r="J255" t="str">
        <f>IF(OR(F257=0,AND(J256=0,O256=0)),$L$3,"")</f>
        <v/>
      </c>
      <c r="K255"/>
      <c r="L255"/>
      <c r="M255"/>
      <c r="N255"/>
      <c r="O255"/>
    </row>
    <row r="256" spans="2:15" ht="16.5" thickBot="1">
      <c r="D256" s="708"/>
      <c r="E256" s="551"/>
      <c r="F256" s="558" t="s">
        <v>392</v>
      </c>
      <c r="G256" s="559"/>
      <c r="H256" s="560"/>
      <c r="I256" s="561" t="s">
        <v>1141</v>
      </c>
      <c r="J256" s="564">
        <f>重み!M31</f>
        <v>0.3</v>
      </c>
      <c r="K256" s="558" t="s">
        <v>1638</v>
      </c>
      <c r="L256" s="559"/>
      <c r="M256" s="560"/>
      <c r="N256" s="561" t="s">
        <v>1141</v>
      </c>
      <c r="O256" s="564">
        <f>重み!N31</f>
        <v>0</v>
      </c>
    </row>
    <row r="257" spans="2:15" ht="27" customHeight="1" thickBot="1">
      <c r="D257" s="708"/>
      <c r="E257" s="551"/>
      <c r="F257" s="565">
        <v>3</v>
      </c>
      <c r="G257" s="3207" t="s">
        <v>2099</v>
      </c>
      <c r="H257" s="3196"/>
      <c r="I257" s="680" t="s">
        <v>2046</v>
      </c>
      <c r="J257" s="571"/>
      <c r="K257" s="565">
        <v>3</v>
      </c>
      <c r="L257" s="661" t="s">
        <v>2247</v>
      </c>
      <c r="M257" s="571"/>
      <c r="N257" s="661" t="s">
        <v>978</v>
      </c>
      <c r="O257" s="666"/>
    </row>
    <row r="258" spans="2:15" ht="15.75" hidden="1">
      <c r="B258" s="1">
        <v>1</v>
      </c>
      <c r="C258" s="1">
        <v>1</v>
      </c>
      <c r="D258" s="708"/>
      <c r="E258" s="551"/>
      <c r="F258" s="689"/>
      <c r="G258" s="661" t="s">
        <v>1054</v>
      </c>
      <c r="H258" s="570"/>
      <c r="I258" s="661"/>
      <c r="J258" s="571"/>
      <c r="K258" s="689"/>
      <c r="L258" s="570" t="s">
        <v>1054</v>
      </c>
      <c r="M258" s="570"/>
      <c r="N258" s="570"/>
      <c r="O258" s="571"/>
    </row>
    <row r="259" spans="2:15" ht="65.25" customHeight="1">
      <c r="B259" s="1">
        <v>2</v>
      </c>
      <c r="C259" s="1">
        <v>2</v>
      </c>
      <c r="D259" s="708"/>
      <c r="E259" s="551"/>
      <c r="F259" s="577" t="str">
        <f>IF(F257=$F$7,$G$2,IF(AND($O$9=$O$3,ROUNDDOWN(F257,0)=$F$2),$H$2,$G$2))</f>
        <v>　レベル　1</v>
      </c>
      <c r="G259" s="3153" t="s">
        <v>1691</v>
      </c>
      <c r="H259" s="3159"/>
      <c r="I259" s="3153" t="s">
        <v>1691</v>
      </c>
      <c r="J259" s="3171"/>
      <c r="K259" s="577" t="str">
        <f>IF(K257=$F$7,$G$2,IF(AND($O$9=$O$3,ROUNDDOWN(K257,0)=$F$2),$H$2,$G$2))</f>
        <v>　レベル　1</v>
      </c>
      <c r="L259" s="3153" t="s">
        <v>1691</v>
      </c>
      <c r="M259" s="3159"/>
      <c r="N259" s="3153" t="s">
        <v>2047</v>
      </c>
      <c r="O259" s="3171"/>
    </row>
    <row r="260" spans="2:15" ht="15.75">
      <c r="B260" s="1">
        <v>3</v>
      </c>
      <c r="C260" s="1">
        <v>3</v>
      </c>
      <c r="D260" s="708"/>
      <c r="E260" s="551"/>
      <c r="F260" s="577" t="str">
        <f>IF(F257=$F$7,$G$3,IF(AND($O$9=$O$3,ROUNDDOWN(F257,0)=$F$3),$H$3,$G$3))</f>
        <v>　レベル　2</v>
      </c>
      <c r="G260" s="584"/>
      <c r="H260" s="690"/>
      <c r="I260" s="3157"/>
      <c r="J260" s="3158"/>
      <c r="K260" s="577" t="str">
        <f>IF(K257=$F$7,$G$3,IF(AND($O$9=$O$3,ROUNDDOWN(K257,0)=$F$3),$H$3,$G$3))</f>
        <v>　レベル　2</v>
      </c>
      <c r="L260" s="584"/>
      <c r="M260" s="586"/>
      <c r="N260" s="584"/>
      <c r="O260" s="586"/>
    </row>
    <row r="261" spans="2:15" ht="65.25" customHeight="1">
      <c r="B261" s="1">
        <v>4</v>
      </c>
      <c r="C261" s="1">
        <v>4</v>
      </c>
      <c r="D261" s="708"/>
      <c r="E261" s="551"/>
      <c r="F261" s="577" t="str">
        <f>IF(F257=$F$7,$G$4,IF(AND($O$9=$O$3,ROUNDDOWN(F257,0)=$F$4),$H$4,$G$4))</f>
        <v>　レベル　3</v>
      </c>
      <c r="G261" s="3157" t="s">
        <v>1692</v>
      </c>
      <c r="H261" s="3158"/>
      <c r="I261" s="3157" t="s">
        <v>1693</v>
      </c>
      <c r="J261" s="3158"/>
      <c r="K261" s="577" t="str">
        <f>IF(K257=$F$7,$G$4,IF(AND($O$9=$O$3,ROUNDDOWN(K257,0)=$F$4),$H$4,$G$4))</f>
        <v>　レベル　3</v>
      </c>
      <c r="L261" s="3157" t="s">
        <v>1692</v>
      </c>
      <c r="M261" s="3201"/>
      <c r="N261" s="3157" t="s">
        <v>2048</v>
      </c>
      <c r="O261" s="3158"/>
    </row>
    <row r="262" spans="2:15" ht="15.75">
      <c r="B262" s="1">
        <v>5</v>
      </c>
      <c r="C262" s="1">
        <v>5</v>
      </c>
      <c r="D262" s="708"/>
      <c r="E262" s="551"/>
      <c r="F262" s="577" t="str">
        <f>IF(F257=$F$7,$G$5,IF(AND($O$9=$O$3,ROUNDDOWN(F257,0)=$F$5),$H$5,$G$5))</f>
        <v>　レベル　4</v>
      </c>
      <c r="G262" s="584"/>
      <c r="H262" s="690"/>
      <c r="I262" s="3157"/>
      <c r="J262" s="3158"/>
      <c r="K262" s="577" t="str">
        <f>IF(K257=$F$7,$G$5,IF(AND($O$9=$O$3,ROUNDDOWN(K257,0)=$F$5),$H$5,$G$5))</f>
        <v>　レベル　4</v>
      </c>
      <c r="L262" s="584"/>
      <c r="M262" s="586"/>
      <c r="N262" s="3157"/>
      <c r="O262" s="3158"/>
    </row>
    <row r="263" spans="2:15" ht="65.25" customHeight="1">
      <c r="B263" s="594">
        <v>0</v>
      </c>
      <c r="C263" s="594">
        <v>0</v>
      </c>
      <c r="D263" s="708"/>
      <c r="E263" s="551"/>
      <c r="F263" s="587" t="str">
        <f>IF(F257=$F$7,$G$6,IF(AND($O$9=$O$3,ROUNDDOWN(F257,0)=$F$6),$H$6,$G$6))</f>
        <v>　レベル　5</v>
      </c>
      <c r="G263" s="3155" t="s">
        <v>1694</v>
      </c>
      <c r="H263" s="3156"/>
      <c r="I263" s="3155" t="s">
        <v>1695</v>
      </c>
      <c r="J263" s="3156"/>
      <c r="K263" s="587" t="str">
        <f>IF(K257=$F$7,$G$6,IF(AND($O$9=$O$3,ROUNDDOWN(K257,0)=$F$6),$H$6,$G$6))</f>
        <v>　レベル　5</v>
      </c>
      <c r="L263" s="3155" t="s">
        <v>1694</v>
      </c>
      <c r="M263" s="3185"/>
      <c r="N263" s="3155" t="s">
        <v>1696</v>
      </c>
      <c r="O263" s="3156"/>
    </row>
    <row r="264" spans="2:15" ht="15.75" hidden="1">
      <c r="D264" s="708"/>
      <c r="E264" s="551"/>
      <c r="F264" s="710"/>
      <c r="G264" s="695" t="s">
        <v>1053</v>
      </c>
      <c r="H264" s="675"/>
      <c r="I264" s="675"/>
      <c r="J264" s="691"/>
      <c r="K264" s="663"/>
      <c r="L264" s="675" t="s">
        <v>1053</v>
      </c>
      <c r="M264" s="675"/>
      <c r="N264" s="675"/>
      <c r="O264" s="691"/>
    </row>
    <row r="265" spans="2:15" ht="15.75" hidden="1">
      <c r="D265" s="708"/>
      <c r="E265" s="551"/>
      <c r="F265" s="664" t="str">
        <f>IF(F257=$F$7,$G$2,IF(AND($O$9&lt;&gt;$O$3,ROUNDDOWN(F257,0)=$F$2),$H$2,$G$2))</f>
        <v>　レベル　1</v>
      </c>
      <c r="G265" s="3211" t="s">
        <v>1697</v>
      </c>
      <c r="H265" s="3212"/>
      <c r="I265" s="3211" t="s">
        <v>1697</v>
      </c>
      <c r="J265" s="3213"/>
      <c r="K265" s="1783" t="str">
        <f>IF(K257=$F$7,$G$2,IF(AND($O$9&lt;&gt;$O$3,ROUNDDOWN(K257,0)=$F$2),$H$2,$G$2))</f>
        <v>　レベル　1</v>
      </c>
      <c r="L265" s="3211" t="s">
        <v>1697</v>
      </c>
      <c r="M265" s="3213"/>
      <c r="N265" s="3211" t="s">
        <v>1698</v>
      </c>
      <c r="O265" s="3212"/>
    </row>
    <row r="266" spans="2:15" ht="15.75" hidden="1">
      <c r="D266" s="708"/>
      <c r="E266" s="551"/>
      <c r="F266" s="577" t="str">
        <f>IF(F257=$F$7,$G$3,IF(AND($O$9&lt;&gt;$O$3,ROUNDDOWN(F257,0)=$F$3),$H$3,$G$3))</f>
        <v>　レベル　2</v>
      </c>
      <c r="G266" s="1784"/>
      <c r="H266" s="1785"/>
      <c r="I266" s="1784"/>
      <c r="J266" s="1786"/>
      <c r="K266" s="1787" t="str">
        <f>IF(K257=$F$7,$G$3,IF(AND($O$9&lt;&gt;$O$3,ROUNDDOWN(K257,0)=$F$3),$H$3,$G$3))</f>
        <v>　レベル　2</v>
      </c>
      <c r="L266" s="1784"/>
      <c r="M266" s="1786"/>
      <c r="N266" s="1784"/>
      <c r="O266" s="1786"/>
    </row>
    <row r="267" spans="2:15" ht="15.75" hidden="1">
      <c r="D267" s="708"/>
      <c r="E267" s="551"/>
      <c r="F267" s="577" t="str">
        <f>IF(F257=$F$7,$G$4,IF(AND($O$9&lt;&gt;$O$3,ROUNDDOWN(F257,0)=$F$4),$H$4,$G$4))</f>
        <v>■レベル　3</v>
      </c>
      <c r="G267" s="3208" t="s">
        <v>668</v>
      </c>
      <c r="H267" s="3209"/>
      <c r="I267" s="3208" t="s">
        <v>669</v>
      </c>
      <c r="J267" s="3210"/>
      <c r="K267" s="1787" t="str">
        <f>IF(K257=$F$7,$G$4,IF(AND($O$9&lt;&gt;$O$3,ROUNDDOWN(K257,0)=$F$4),$H$4,$G$4))</f>
        <v>■レベル　3</v>
      </c>
      <c r="L267" s="3208" t="s">
        <v>668</v>
      </c>
      <c r="M267" s="3210"/>
      <c r="N267" s="3208" t="s">
        <v>1310</v>
      </c>
      <c r="O267" s="3209"/>
    </row>
    <row r="268" spans="2:15" ht="15.75" hidden="1">
      <c r="D268" s="708"/>
      <c r="E268" s="551"/>
      <c r="F268" s="577" t="str">
        <f>IF(F257=$F$7,$G$5,IF(AND($O$9&lt;&gt;$O$3,ROUNDDOWN(F257,0)=$F$5),$H$5,$G$5))</f>
        <v>　レベル　4</v>
      </c>
      <c r="G268" s="1784"/>
      <c r="H268" s="1785"/>
      <c r="I268" s="1784"/>
      <c r="J268" s="1786"/>
      <c r="K268" s="1787" t="str">
        <f>IF(K257=$F$7,$G$5,IF(AND($O$9&lt;&gt;$O$3,ROUNDDOWN(K257,0)=$F$5),$H$5,$G$5))</f>
        <v>　レベル　4</v>
      </c>
      <c r="L268" s="1784"/>
      <c r="M268" s="1786"/>
      <c r="N268" s="3208"/>
      <c r="O268" s="3209"/>
    </row>
    <row r="269" spans="2:15" ht="15.75" hidden="1">
      <c r="D269" s="708"/>
      <c r="E269" s="551"/>
      <c r="F269" s="587" t="str">
        <f>IF(F257=$F$7,$G$6,IF(AND($O$9&lt;&gt;$O$3,ROUNDDOWN(F257,0)=$F$6),$H$6,$G$6))</f>
        <v>　レベル　5</v>
      </c>
      <c r="G269" s="3214" t="s">
        <v>1311</v>
      </c>
      <c r="H269" s="3215"/>
      <c r="I269" s="3214" t="s">
        <v>2049</v>
      </c>
      <c r="J269" s="3216"/>
      <c r="K269" s="1788" t="str">
        <f>IF(K257=$F$7,$G$6,IF(AND($O$9&lt;&gt;$O$3,ROUNDDOWN(K257,0)=$F$6),$H$6,$G$6))</f>
        <v>　レベル　5</v>
      </c>
      <c r="L269" s="3214" t="s">
        <v>1312</v>
      </c>
      <c r="M269" s="3216"/>
      <c r="N269" s="3214" t="s">
        <v>1313</v>
      </c>
      <c r="O269" s="3215"/>
    </row>
    <row r="270" spans="2:15" ht="15.75" hidden="1">
      <c r="D270" s="546"/>
      <c r="E270" s="671"/>
      <c r="F270" s="671"/>
      <c r="G270" s="665" t="s">
        <v>1314</v>
      </c>
      <c r="H270" s="711"/>
      <c r="I270" s="711"/>
      <c r="J270" s="711"/>
      <c r="K270" s="711"/>
      <c r="L270" s="711"/>
      <c r="M270" s="711"/>
      <c r="N270" s="711"/>
      <c r="O270" s="711"/>
    </row>
    <row r="271" spans="2:15" ht="15.75" hidden="1">
      <c r="D271" s="546"/>
      <c r="E271" s="671"/>
      <c r="F271" s="671"/>
      <c r="G271" s="665"/>
      <c r="H271" s="711"/>
      <c r="I271" s="711"/>
      <c r="J271" s="711"/>
      <c r="K271" s="711"/>
      <c r="L271" s="711"/>
      <c r="M271" s="711"/>
      <c r="N271" s="711"/>
      <c r="O271" s="711"/>
    </row>
    <row r="272" spans="2:15" ht="15.75" hidden="1">
      <c r="D272" s="546"/>
      <c r="E272" s="671"/>
      <c r="F272" s="554" t="s">
        <v>2050</v>
      </c>
      <c r="G272" s="618"/>
      <c r="H272" s="660"/>
      <c r="I272" s="644"/>
      <c r="J272" s="621" t="str">
        <f>IF(OR(F274=0,J273=0),$L$3,"")</f>
        <v>&lt;評価しない&gt;</v>
      </c>
      <c r="K272" s="688" t="s">
        <v>2051</v>
      </c>
      <c r="L272" s="618"/>
      <c r="M272" s="660"/>
      <c r="N272" s="644"/>
      <c r="O272" s="621" t="str">
        <f>IF(OR(K274=0,O273=0),$L$3,"")</f>
        <v>&lt;評価しない&gt;</v>
      </c>
    </row>
    <row r="273" spans="2:15" ht="16.5" hidden="1" thickBot="1">
      <c r="D273" s="546"/>
      <c r="E273" s="671"/>
      <c r="F273" s="558" t="s">
        <v>1315</v>
      </c>
      <c r="G273" s="559"/>
      <c r="H273" s="560"/>
      <c r="I273" s="561" t="s">
        <v>1141</v>
      </c>
      <c r="J273" s="564">
        <f>重み!M33</f>
        <v>0</v>
      </c>
      <c r="K273" s="558" t="s">
        <v>1680</v>
      </c>
      <c r="L273" s="559"/>
      <c r="M273" s="560"/>
      <c r="N273" s="561" t="s">
        <v>1141</v>
      </c>
      <c r="O273" s="564">
        <f>重み!M34</f>
        <v>0</v>
      </c>
    </row>
    <row r="274" spans="2:15" ht="16.5" hidden="1" thickBot="1">
      <c r="D274" s="546"/>
      <c r="E274" s="671"/>
      <c r="F274" s="565">
        <v>0</v>
      </c>
      <c r="G274" s="569" t="s">
        <v>2052</v>
      </c>
      <c r="H274" s="570"/>
      <c r="I274" s="570"/>
      <c r="J274" s="680"/>
      <c r="K274" s="565">
        <v>0</v>
      </c>
      <c r="L274" s="569" t="s">
        <v>2052</v>
      </c>
      <c r="M274" s="570"/>
      <c r="N274" s="570"/>
      <c r="O274" s="680"/>
    </row>
    <row r="275" spans="2:15" ht="15.75" hidden="1">
      <c r="B275" s="1">
        <v>1</v>
      </c>
      <c r="C275" s="1">
        <v>1</v>
      </c>
      <c r="D275" s="546"/>
      <c r="E275" s="671"/>
      <c r="F275" s="572" t="str">
        <f>IF(F274=$F$7,$G$2,IF(ROUNDDOWN(F274,0)=$F$2,$H$2,$G$2))</f>
        <v>　レベル　1</v>
      </c>
      <c r="G275" s="3153" t="s">
        <v>1316</v>
      </c>
      <c r="H275" s="3173"/>
      <c r="I275" s="3173"/>
      <c r="J275" s="3159"/>
      <c r="K275" s="572" t="str">
        <f>IF(K274=$F$7,$G$2,IF(ROUNDDOWN(K274,0)=$F$2,$H$2,$G$2))</f>
        <v>　レベル　1</v>
      </c>
      <c r="L275" s="3153" t="s">
        <v>2053</v>
      </c>
      <c r="M275" s="3173"/>
      <c r="N275" s="3173"/>
      <c r="O275" s="3159"/>
    </row>
    <row r="276" spans="2:15" ht="15.75" hidden="1">
      <c r="B276" s="1">
        <v>2</v>
      </c>
      <c r="C276" s="1">
        <v>2</v>
      </c>
      <c r="D276" s="546"/>
      <c r="E276" s="671"/>
      <c r="F276" s="577" t="str">
        <f>IF(F274=$F$7,$G$3,IF(ROUNDDOWN(F274,0)=$F$3,$H$3,$G$3))</f>
        <v>　レベル　2</v>
      </c>
      <c r="G276" s="3157"/>
      <c r="H276" s="3163"/>
      <c r="I276" s="3163"/>
      <c r="J276" s="3158"/>
      <c r="K276" s="577" t="str">
        <f>IF(K274=$F$7,$G$3,IF(ROUNDDOWN(K274,0)=$F$3,$H$3,$G$3))</f>
        <v>　レベル　2</v>
      </c>
      <c r="L276" s="3157" t="s">
        <v>2054</v>
      </c>
      <c r="M276" s="3163"/>
      <c r="N276" s="3163"/>
      <c r="O276" s="3158"/>
    </row>
    <row r="277" spans="2:15" ht="15.75" hidden="1">
      <c r="B277" s="1">
        <v>3</v>
      </c>
      <c r="C277" s="1">
        <v>3</v>
      </c>
      <c r="D277" s="546"/>
      <c r="E277" s="671"/>
      <c r="F277" s="577" t="str">
        <f>IF(F274=$F$7,$G$4,IF(ROUNDDOWN(F274,0)=$F$4,$H$4,$G$4))</f>
        <v>　レベル　3</v>
      </c>
      <c r="G277" s="3157" t="s">
        <v>1317</v>
      </c>
      <c r="H277" s="3163"/>
      <c r="I277" s="3163"/>
      <c r="J277" s="3158"/>
      <c r="K277" s="577" t="str">
        <f>IF(K274=$F$7,$G$4,IF(ROUNDDOWN(K274,0)=$F$4,$H$4,$G$4))</f>
        <v>　レベル　3</v>
      </c>
      <c r="L277" s="3157" t="s">
        <v>2055</v>
      </c>
      <c r="M277" s="3163"/>
      <c r="N277" s="3163"/>
      <c r="O277" s="3158"/>
    </row>
    <row r="278" spans="2:15" ht="15.75" hidden="1">
      <c r="B278" s="1">
        <v>4</v>
      </c>
      <c r="C278" s="1">
        <v>4</v>
      </c>
      <c r="D278" s="546"/>
      <c r="E278" s="671"/>
      <c r="F278" s="577" t="str">
        <f>IF(F274=$F$7,$G$5,IF(ROUNDDOWN(F274,0)=$F$5,$H$5,$G$5))</f>
        <v>　レベル　4</v>
      </c>
      <c r="G278" s="3157"/>
      <c r="H278" s="3163"/>
      <c r="I278" s="3163"/>
      <c r="J278" s="3158"/>
      <c r="K278" s="577" t="str">
        <f>IF(K274=$F$7,$G$5,IF(ROUNDDOWN(K274,0)=$F$5,$H$5,$G$5))</f>
        <v>　レベル　4</v>
      </c>
      <c r="L278" s="3157" t="s">
        <v>2056</v>
      </c>
      <c r="M278" s="3163"/>
      <c r="N278" s="3163"/>
      <c r="O278" s="3158"/>
    </row>
    <row r="279" spans="2:15" ht="15.75" hidden="1">
      <c r="B279" s="1">
        <v>5</v>
      </c>
      <c r="C279" s="1">
        <v>5</v>
      </c>
      <c r="D279" s="546"/>
      <c r="E279" s="671"/>
      <c r="F279" s="587" t="str">
        <f>IF(F274=$F$7,$G$6,IF(ROUNDDOWN(F274,0)=$F$6,$H$6,$G$6))</f>
        <v>　レベル　5</v>
      </c>
      <c r="G279" s="3155" t="s">
        <v>2057</v>
      </c>
      <c r="H279" s="3162"/>
      <c r="I279" s="3162"/>
      <c r="J279" s="3156"/>
      <c r="K279" s="587" t="str">
        <f>IF(K274=$F$7,$G$6,IF(ROUNDDOWN(K274,0)=$F$6,$H$6,$G$6))</f>
        <v>　レベル　5</v>
      </c>
      <c r="L279" s="3155" t="s">
        <v>2058</v>
      </c>
      <c r="M279" s="3162"/>
      <c r="N279" s="3162"/>
      <c r="O279" s="3156"/>
    </row>
    <row r="280" spans="2:15" ht="15.75">
      <c r="B280" s="594">
        <v>0</v>
      </c>
      <c r="C280" s="594">
        <v>0</v>
      </c>
      <c r="D280" s="546"/>
      <c r="E280" s="671"/>
      <c r="F280" s="887" t="s">
        <v>3402</v>
      </c>
      <c r="G280" s="2423"/>
      <c r="H280" s="2399"/>
      <c r="I280" s="2396"/>
      <c r="J280" s="2397"/>
      <c r="K280" s="2400"/>
      <c r="L280" s="1281"/>
      <c r="M280"/>
      <c r="N280"/>
      <c r="O280"/>
    </row>
    <row r="281" spans="2:15" ht="15.75">
      <c r="B281" s="918"/>
      <c r="C281" s="918"/>
      <c r="D281" s="546"/>
      <c r="E281" s="671"/>
      <c r="F281" s="671"/>
      <c r="G281"/>
      <c r="H281"/>
      <c r="I281"/>
      <c r="J281"/>
      <c r="K281"/>
      <c r="L281"/>
      <c r="M281"/>
      <c r="N281"/>
      <c r="O281"/>
    </row>
    <row r="282" spans="2:15" ht="15.75">
      <c r="D282" s="542">
        <v>3</v>
      </c>
      <c r="E282" s="553" t="s">
        <v>734</v>
      </c>
      <c r="F282" s="552"/>
      <c r="G282"/>
      <c r="H282"/>
      <c r="I282"/>
      <c r="J282"/>
      <c r="K282"/>
      <c r="L282"/>
      <c r="M282"/>
      <c r="N282"/>
      <c r="O282"/>
    </row>
    <row r="283" spans="2:15" ht="15.75">
      <c r="D283" s="542">
        <v>3.1</v>
      </c>
      <c r="E283" s="553" t="s">
        <v>735</v>
      </c>
      <c r="F283" s="552"/>
      <c r="G283"/>
      <c r="H283"/>
      <c r="I283"/>
      <c r="J283"/>
      <c r="K283"/>
      <c r="L283"/>
      <c r="M283"/>
      <c r="N283"/>
      <c r="O283"/>
    </row>
    <row r="284" spans="2:15" ht="15.75">
      <c r="D284" s="546"/>
      <c r="E284" s="63"/>
      <c r="F284" s="554" t="s">
        <v>736</v>
      </c>
      <c r="G284"/>
      <c r="H284"/>
      <c r="I284"/>
      <c r="J284" t="str">
        <f>IF(OR(F286=0,AND(J285=0,O285=0)),$L$3,"")</f>
        <v/>
      </c>
      <c r="K284"/>
      <c r="L284"/>
      <c r="M284"/>
      <c r="N284"/>
      <c r="O284"/>
    </row>
    <row r="285" spans="2:15" ht="16.5" thickBot="1">
      <c r="D285" s="546"/>
      <c r="E285" s="63"/>
      <c r="F285" s="558" t="s">
        <v>1476</v>
      </c>
      <c r="G285" s="559"/>
      <c r="H285" s="560"/>
      <c r="I285" s="561" t="s">
        <v>1141</v>
      </c>
      <c r="J285" s="564">
        <f>重み!M37</f>
        <v>0.6</v>
      </c>
      <c r="K285" s="558" t="s">
        <v>1638</v>
      </c>
      <c r="L285" s="559"/>
      <c r="M285" s="560"/>
      <c r="N285" s="561" t="s">
        <v>1141</v>
      </c>
      <c r="O285" s="564">
        <f>重み!N37</f>
        <v>0</v>
      </c>
    </row>
    <row r="286" spans="2:15" ht="27" customHeight="1" thickBot="1">
      <c r="D286" s="546"/>
      <c r="E286" s="63"/>
      <c r="F286" s="565">
        <v>3</v>
      </c>
      <c r="G286" s="661" t="s">
        <v>2599</v>
      </c>
      <c r="H286" s="570"/>
      <c r="I286" s="570"/>
      <c r="J286" s="571"/>
      <c r="K286" s="565">
        <v>3</v>
      </c>
      <c r="L286" s="661" t="s">
        <v>921</v>
      </c>
      <c r="M286" s="571"/>
      <c r="N286" s="661" t="s">
        <v>1575</v>
      </c>
      <c r="O286" s="571"/>
    </row>
    <row r="287" spans="2:15" ht="15.75">
      <c r="B287" s="1">
        <v>1</v>
      </c>
      <c r="C287" s="1">
        <v>1</v>
      </c>
      <c r="D287" s="546"/>
      <c r="E287" s="63"/>
      <c r="F287" s="572" t="str">
        <f>IF(F286=$F$7,$G$2,IF(ROUNDDOWN(F286,0)=$F$2,$H$2,$G$2))</f>
        <v>　レベル　1</v>
      </c>
      <c r="G287" s="3153" t="s">
        <v>738</v>
      </c>
      <c r="H287" s="3173"/>
      <c r="I287" s="3173"/>
      <c r="J287" s="3159"/>
      <c r="K287" s="572" t="str">
        <f>IF(K286=$F$7,$G$2,IF(ROUNDDOWN(K286,0)=$F$2,$H$2,$G$2))</f>
        <v>　レベル　1</v>
      </c>
      <c r="L287" s="3153" t="s">
        <v>1318</v>
      </c>
      <c r="M287" s="3171"/>
      <c r="N287" s="3153" t="s">
        <v>739</v>
      </c>
      <c r="O287" s="3171"/>
    </row>
    <row r="288" spans="2:15" ht="15.75" customHeight="1">
      <c r="B288" s="1">
        <v>2</v>
      </c>
      <c r="C288" s="1">
        <v>2</v>
      </c>
      <c r="D288" s="546"/>
      <c r="E288" s="63"/>
      <c r="F288" s="577" t="str">
        <f>IF(F286=$F$7,$G$3,IF(ROUNDDOWN(F286,0)=$F$3,$H$3,$G$3))</f>
        <v>　レベル　2</v>
      </c>
      <c r="G288" s="3157" t="s">
        <v>740</v>
      </c>
      <c r="H288" s="3174"/>
      <c r="I288" s="3174"/>
      <c r="J288" s="3201"/>
      <c r="K288" s="577" t="str">
        <f>IF(K286=$F$7,$G$3,IF(ROUNDDOWN(K286,0)=$F$3,$H$3,$G$3))</f>
        <v>　レベル　2</v>
      </c>
      <c r="L288" s="3157" t="s">
        <v>741</v>
      </c>
      <c r="M288" s="3158"/>
      <c r="N288" s="3157" t="s">
        <v>742</v>
      </c>
      <c r="O288" s="3158"/>
    </row>
    <row r="289" spans="2:15" ht="15.75" customHeight="1">
      <c r="B289" s="1">
        <v>3</v>
      </c>
      <c r="C289" s="1">
        <v>3</v>
      </c>
      <c r="D289" s="546"/>
      <c r="E289" s="63"/>
      <c r="F289" s="577" t="str">
        <f>IF(F286=$F$7,$G$4,IF(ROUNDDOWN(F286,0)=$F$4,$H$4,$G$4))</f>
        <v>■レベル　3</v>
      </c>
      <c r="G289" s="3191" t="s">
        <v>743</v>
      </c>
      <c r="H289" s="3192"/>
      <c r="I289" s="3192"/>
      <c r="J289" s="3193"/>
      <c r="K289" s="577" t="str">
        <f>IF(K286=$F$7,$G$4,IF(ROUNDDOWN(K286,0)=$F$4,$H$4,$G$4))</f>
        <v>■レベル　3</v>
      </c>
      <c r="L289" s="3157" t="s">
        <v>1319</v>
      </c>
      <c r="M289" s="3158"/>
      <c r="N289" s="3157" t="s">
        <v>740</v>
      </c>
      <c r="O289" s="3158"/>
    </row>
    <row r="290" spans="2:15" ht="15.75" customHeight="1">
      <c r="B290" s="1">
        <v>4</v>
      </c>
      <c r="C290" s="1">
        <v>4</v>
      </c>
      <c r="D290" s="546"/>
      <c r="E290" s="63"/>
      <c r="F290" s="577" t="str">
        <f>IF(F286=$F$7,$G$5,IF(ROUNDDOWN(F286,0)=$F$5,$H$5,$G$5))</f>
        <v>　レベル　4</v>
      </c>
      <c r="G290" s="3157" t="s">
        <v>744</v>
      </c>
      <c r="H290" s="3174"/>
      <c r="I290" s="3174"/>
      <c r="J290" s="3201"/>
      <c r="K290" s="577" t="str">
        <f>IF(K286=$F$7,$G$5,IF(ROUNDDOWN(K286,0)=$F$5,$H$5,$G$5))</f>
        <v>　レベル　4</v>
      </c>
      <c r="L290" s="3157" t="s">
        <v>2414</v>
      </c>
      <c r="M290" s="3158"/>
      <c r="N290" s="3157" t="s">
        <v>743</v>
      </c>
      <c r="O290" s="3158"/>
    </row>
    <row r="291" spans="2:15" ht="15.75">
      <c r="B291" s="1">
        <v>5</v>
      </c>
      <c r="C291" s="1">
        <v>5</v>
      </c>
      <c r="D291" s="546"/>
      <c r="E291" s="63"/>
      <c r="F291" s="587" t="str">
        <f>IF(F286=$F$7,$G$6,IF(ROUNDDOWN(F286,0)=$F$6,$H$6,$G$6))</f>
        <v>　レベル　5</v>
      </c>
      <c r="G291" s="3182" t="s">
        <v>745</v>
      </c>
      <c r="H291" s="3202"/>
      <c r="I291" s="3202"/>
      <c r="J291" s="3203"/>
      <c r="K291" s="587" t="str">
        <f>IF(K286=$F$7,$G$6,IF(ROUNDDOWN(K286,0)=$F$6,$H$6,$G$6))</f>
        <v>　レベル　5</v>
      </c>
      <c r="L291" s="3155" t="s">
        <v>2415</v>
      </c>
      <c r="M291" s="3156"/>
      <c r="N291" s="3155" t="s">
        <v>2416</v>
      </c>
      <c r="O291" s="3156"/>
    </row>
    <row r="292" spans="2:15" ht="15.75">
      <c r="B292" s="594">
        <v>0</v>
      </c>
      <c r="C292" s="594">
        <v>0</v>
      </c>
      <c r="D292" s="546"/>
      <c r="E292" s="63"/>
      <c r="F292" s="887" t="s">
        <v>3402</v>
      </c>
      <c r="G292" s="2423"/>
      <c r="H292" s="2399"/>
      <c r="I292" s="2396"/>
      <c r="J292" s="2397"/>
      <c r="K292" s="2400"/>
      <c r="L292" s="1281"/>
      <c r="M292"/>
      <c r="N292"/>
      <c r="O292"/>
    </row>
    <row r="293" spans="2:15" ht="15.75">
      <c r="B293" s="918"/>
      <c r="C293" s="918"/>
      <c r="D293" s="546"/>
      <c r="E293" s="63"/>
      <c r="F293" s="2459" t="s">
        <v>1535</v>
      </c>
      <c r="G293" s="2556">
        <v>1.4999999999999999E-2</v>
      </c>
      <c r="H293"/>
      <c r="I293" s="543"/>
      <c r="J293" s="543"/>
      <c r="K293" s="2400"/>
      <c r="L293" s="1281"/>
      <c r="M293"/>
      <c r="N293"/>
      <c r="O293"/>
    </row>
    <row r="294" spans="2:15" ht="15.75">
      <c r="B294" s="918"/>
      <c r="C294" s="918"/>
      <c r="D294" s="546"/>
      <c r="E294" s="63"/>
      <c r="F294" s="659"/>
      <c r="G294"/>
      <c r="H294"/>
      <c r="I294"/>
      <c r="J294"/>
      <c r="K294"/>
      <c r="L294"/>
      <c r="M294"/>
      <c r="N294"/>
      <c r="O294"/>
    </row>
    <row r="295" spans="2:15" ht="15.75">
      <c r="D295" s="546"/>
      <c r="E295" s="63"/>
      <c r="F295" s="554" t="s">
        <v>746</v>
      </c>
      <c r="G295"/>
      <c r="H295"/>
      <c r="I295"/>
      <c r="J295" t="str">
        <f>IF(OR(F297=0,J296=0),$L$3,"")</f>
        <v>&lt;評価しない&gt;</v>
      </c>
      <c r="K295"/>
      <c r="L295"/>
      <c r="M295"/>
      <c r="N295"/>
      <c r="O295"/>
    </row>
    <row r="296" spans="2:15" ht="16.5" thickBot="1">
      <c r="D296" s="546"/>
      <c r="E296" s="63"/>
      <c r="F296" s="558" t="s">
        <v>2417</v>
      </c>
      <c r="G296" s="559"/>
      <c r="H296" s="560"/>
      <c r="I296" s="561" t="s">
        <v>1141</v>
      </c>
      <c r="J296" s="564">
        <f>重み!N38</f>
        <v>0</v>
      </c>
      <c r="K296"/>
      <c r="L296"/>
      <c r="M296"/>
      <c r="N296"/>
      <c r="O296"/>
    </row>
    <row r="297" spans="2:15" ht="27" customHeight="1" thickBot="1">
      <c r="D297" s="546"/>
      <c r="E297" s="63"/>
      <c r="F297" s="565">
        <v>3</v>
      </c>
      <c r="G297" s="661" t="s">
        <v>1575</v>
      </c>
      <c r="H297" s="570"/>
      <c r="I297" s="570"/>
      <c r="J297" s="571"/>
      <c r="K297"/>
      <c r="L297"/>
      <c r="M297"/>
      <c r="N297"/>
      <c r="O297"/>
    </row>
    <row r="298" spans="2:15" ht="15.75">
      <c r="B298" s="1">
        <v>1</v>
      </c>
      <c r="C298" s="1">
        <v>1</v>
      </c>
      <c r="D298" s="546"/>
      <c r="E298" s="63"/>
      <c r="F298" s="572" t="str">
        <f>IF(F297=$F$7,$G$2,IF(ROUNDDOWN(F297,0)=$F$2,$H$2,$G$2))</f>
        <v>　レベル　1</v>
      </c>
      <c r="G298" s="3153" t="s">
        <v>747</v>
      </c>
      <c r="H298" s="3173"/>
      <c r="I298" s="3173"/>
      <c r="J298" s="3159"/>
      <c r="K298"/>
      <c r="L298"/>
      <c r="M298"/>
      <c r="N298"/>
      <c r="O298"/>
    </row>
    <row r="299" spans="2:15" ht="15.75">
      <c r="B299" s="1" t="s">
        <v>2418</v>
      </c>
      <c r="C299" s="1">
        <v>2</v>
      </c>
      <c r="D299" s="546"/>
      <c r="E299" s="63"/>
      <c r="F299" s="577" t="str">
        <f>IF(F297=$F$7,$G$3,IF(ROUNDDOWN(F297,0)=$F$3,$H$3,$G$3))</f>
        <v>　レベル　2</v>
      </c>
      <c r="G299" s="3157" t="s">
        <v>1818</v>
      </c>
      <c r="H299" s="3174"/>
      <c r="I299" s="3174"/>
      <c r="J299" s="3201"/>
      <c r="K299"/>
      <c r="L299"/>
      <c r="M299"/>
      <c r="N299"/>
      <c r="O299"/>
    </row>
    <row r="300" spans="2:15" ht="15.75">
      <c r="B300" s="1">
        <v>3</v>
      </c>
      <c r="C300" s="1">
        <v>3</v>
      </c>
      <c r="D300" s="546"/>
      <c r="E300" s="63"/>
      <c r="F300" s="577" t="str">
        <f>IF(F297=$F$7,$G$4,IF(ROUNDDOWN(F297,0)=$F$4,$H$4,$G$4))</f>
        <v>■レベル　3</v>
      </c>
      <c r="G300" s="3157" t="s">
        <v>748</v>
      </c>
      <c r="H300" s="3174"/>
      <c r="I300" s="3174"/>
      <c r="J300" s="3201"/>
      <c r="K300"/>
      <c r="L300"/>
      <c r="M300"/>
      <c r="N300"/>
      <c r="O300"/>
    </row>
    <row r="301" spans="2:15" ht="15.75">
      <c r="B301" s="1" t="s">
        <v>2418</v>
      </c>
      <c r="C301" s="1">
        <v>4</v>
      </c>
      <c r="D301" s="546"/>
      <c r="E301" s="63"/>
      <c r="F301" s="577" t="str">
        <f>IF(F297=$F$7,$G$5,IF(ROUNDDOWN(F297,0)=$F$5,$H$5,$G$5))</f>
        <v>　レベル　4</v>
      </c>
      <c r="G301" s="3157" t="s">
        <v>1818</v>
      </c>
      <c r="H301" s="3174"/>
      <c r="I301" s="3174"/>
      <c r="J301" s="3201"/>
      <c r="K301"/>
      <c r="L301"/>
      <c r="M301"/>
      <c r="N301"/>
      <c r="O301"/>
    </row>
    <row r="302" spans="2:15" ht="15.75">
      <c r="B302" s="1">
        <v>5</v>
      </c>
      <c r="C302" s="1">
        <v>5</v>
      </c>
      <c r="D302" s="546"/>
      <c r="E302" s="63"/>
      <c r="F302" s="587" t="str">
        <f>IF(F297=$F$7,$G$6,IF(ROUNDDOWN(F297,0)=$F$6,$H$6,$G$6))</f>
        <v>　レベル　5</v>
      </c>
      <c r="G302" s="3182" t="s">
        <v>749</v>
      </c>
      <c r="H302" s="3202"/>
      <c r="I302" s="3202"/>
      <c r="J302" s="3203"/>
      <c r="K302"/>
      <c r="L302"/>
      <c r="M302"/>
      <c r="N302"/>
      <c r="O302"/>
    </row>
    <row r="303" spans="2:15" ht="15.75">
      <c r="B303" s="594">
        <v>0</v>
      </c>
      <c r="C303" s="594">
        <v>0</v>
      </c>
      <c r="D303" s="546"/>
      <c r="E303" s="63"/>
      <c r="F303" s="887" t="s">
        <v>3402</v>
      </c>
      <c r="G303" s="2423"/>
      <c r="H303" s="2399"/>
      <c r="I303" s="2396"/>
      <c r="J303" s="2397"/>
      <c r="K303" s="2400"/>
      <c r="L303" s="1281"/>
      <c r="M303"/>
      <c r="N303"/>
      <c r="O303"/>
    </row>
    <row r="304" spans="2:15" ht="15.75">
      <c r="B304" s="918"/>
      <c r="C304" s="918"/>
      <c r="D304" s="546"/>
      <c r="E304" s="63"/>
      <c r="F304" s="659"/>
      <c r="G304"/>
      <c r="H304"/>
      <c r="I304"/>
      <c r="J304"/>
      <c r="K304"/>
      <c r="L304"/>
      <c r="M304"/>
      <c r="N304"/>
      <c r="O304"/>
    </row>
    <row r="305" spans="2:15" ht="15.75">
      <c r="D305" s="546"/>
      <c r="E305" s="63"/>
      <c r="F305" s="554" t="s">
        <v>750</v>
      </c>
      <c r="G305"/>
      <c r="H305"/>
      <c r="I305"/>
      <c r="J305" t="str">
        <f>IF(OR(F307=0,AND(J306=0,O306=0)),$L$3,"")</f>
        <v/>
      </c>
      <c r="K305"/>
      <c r="L305"/>
      <c r="M305"/>
      <c r="N305"/>
      <c r="O305"/>
    </row>
    <row r="306" spans="2:15" ht="16.5" thickBot="1">
      <c r="D306" s="546"/>
      <c r="E306" s="550"/>
      <c r="F306" s="558" t="s">
        <v>2419</v>
      </c>
      <c r="G306" s="559"/>
      <c r="H306" s="560"/>
      <c r="I306" s="561" t="s">
        <v>1141</v>
      </c>
      <c r="J306" s="564">
        <f>重み!M39</f>
        <v>0.4</v>
      </c>
      <c r="K306" s="558" t="s">
        <v>1638</v>
      </c>
      <c r="L306" s="559"/>
      <c r="M306" s="560"/>
      <c r="N306" s="561" t="s">
        <v>1141</v>
      </c>
      <c r="O306" s="564">
        <f>重み!N39</f>
        <v>0</v>
      </c>
    </row>
    <row r="307" spans="2:15" ht="27.75" customHeight="1" thickBot="1">
      <c r="D307" s="546"/>
      <c r="E307" s="550"/>
      <c r="F307" s="565">
        <v>3</v>
      </c>
      <c r="G307" s="661" t="s">
        <v>751</v>
      </c>
      <c r="H307" s="570"/>
      <c r="I307" s="661" t="s">
        <v>2600</v>
      </c>
      <c r="J307" s="571"/>
      <c r="K307" s="565">
        <v>3</v>
      </c>
      <c r="L307" s="661" t="s">
        <v>752</v>
      </c>
      <c r="M307" s="571"/>
      <c r="N307" s="661"/>
      <c r="O307" s="666"/>
    </row>
    <row r="308" spans="2:15" ht="15.75" customHeight="1">
      <c r="B308" s="1" t="s">
        <v>2420</v>
      </c>
      <c r="C308" s="1" t="s">
        <v>2420</v>
      </c>
      <c r="D308" s="546"/>
      <c r="E308" s="671"/>
      <c r="F308" s="572" t="str">
        <f>IF(F307=$F$7,$G$2,IF(ROUNDDOWN(F307,0)=$F$2,$H$2,$G$2))</f>
        <v>　レベル　1</v>
      </c>
      <c r="G308" s="3153" t="s">
        <v>1818</v>
      </c>
      <c r="H308" s="3159"/>
      <c r="I308" s="3153" t="s">
        <v>1818</v>
      </c>
      <c r="J308" s="3171"/>
      <c r="K308" s="572" t="str">
        <f>IF(K307=$F$7,$G$2,IF(ROUNDDOWN(K307,0)=$F$2,$H$2,$G$2))</f>
        <v>　レベル　1</v>
      </c>
      <c r="L308" s="3153" t="s">
        <v>1818</v>
      </c>
      <c r="M308" s="3173"/>
      <c r="N308" s="3173"/>
      <c r="O308" s="3159"/>
    </row>
    <row r="309" spans="2:15" ht="15.75" customHeight="1">
      <c r="B309" s="1" t="s">
        <v>2420</v>
      </c>
      <c r="C309" s="1" t="s">
        <v>2420</v>
      </c>
      <c r="D309" s="546"/>
      <c r="E309" s="671"/>
      <c r="F309" s="577" t="str">
        <f>IF(F307=$F$7,$G$3,IF(ROUNDDOWN(F307,0)=$F$3,$H$3,$G$3))</f>
        <v>　レベル　2</v>
      </c>
      <c r="G309" s="3157" t="s">
        <v>1818</v>
      </c>
      <c r="H309" s="3158"/>
      <c r="I309" s="3157" t="s">
        <v>1818</v>
      </c>
      <c r="J309" s="3158"/>
      <c r="K309" s="577" t="str">
        <f>IF(K307=$F$7,$G$3,IF(ROUNDDOWN(K307,0)=$F$3,$H$3,$G$3))</f>
        <v>　レベル　2</v>
      </c>
      <c r="L309" s="3191" t="s">
        <v>1818</v>
      </c>
      <c r="M309" s="3192"/>
      <c r="N309" s="3192"/>
      <c r="O309" s="3193"/>
    </row>
    <row r="310" spans="2:15" ht="15.75" customHeight="1">
      <c r="B310" s="1">
        <v>3</v>
      </c>
      <c r="C310" s="1">
        <v>3</v>
      </c>
      <c r="D310" s="546"/>
      <c r="E310" s="671"/>
      <c r="F310" s="577" t="str">
        <f>IF(F307=$F$7,$G$4,IF(ROUNDDOWN(F307,0)=$F$4,$H$4,$G$4))</f>
        <v>■レベル　3</v>
      </c>
      <c r="G310" s="3157" t="s">
        <v>753</v>
      </c>
      <c r="H310" s="3158"/>
      <c r="I310" s="3157" t="s">
        <v>2421</v>
      </c>
      <c r="J310" s="3158"/>
      <c r="K310" s="577" t="str">
        <f>IF(K307=$F$7,$G$4,IF(ROUNDDOWN(K307,0)=$F$4,$H$4,$G$4))</f>
        <v>■レベル　3</v>
      </c>
      <c r="L310" s="3191" t="s">
        <v>2421</v>
      </c>
      <c r="M310" s="3192"/>
      <c r="N310" s="3192"/>
      <c r="O310" s="3193"/>
    </row>
    <row r="311" spans="2:15" ht="15.75" customHeight="1">
      <c r="B311" s="1">
        <v>4</v>
      </c>
      <c r="C311" s="1" t="s">
        <v>2420</v>
      </c>
      <c r="D311" s="546"/>
      <c r="E311" s="671"/>
      <c r="F311" s="577" t="str">
        <f>IF(F307=$F$7,$G$5,IF(ROUNDDOWN(F307,0)=$F$5,$H$5,$G$5))</f>
        <v>　レベル　4</v>
      </c>
      <c r="G311" s="3157" t="s">
        <v>754</v>
      </c>
      <c r="H311" s="3158"/>
      <c r="I311" s="3157" t="s">
        <v>1818</v>
      </c>
      <c r="J311" s="3158"/>
      <c r="K311" s="577" t="str">
        <f>IF(K307=$F$7,$G$5,IF(ROUNDDOWN(K307,0)=$F$5,$H$5,$G$5))</f>
        <v>　レベル　4</v>
      </c>
      <c r="L311" s="3191" t="s">
        <v>1818</v>
      </c>
      <c r="M311" s="3192"/>
      <c r="N311" s="3192"/>
      <c r="O311" s="3193"/>
    </row>
    <row r="312" spans="2:15" ht="33.75" customHeight="1">
      <c r="B312" s="1">
        <v>5</v>
      </c>
      <c r="C312" s="1">
        <v>5</v>
      </c>
      <c r="D312" s="546"/>
      <c r="E312" s="671"/>
      <c r="F312" s="587" t="str">
        <f>IF(F307=$F$7,$G$6,IF(ROUNDDOWN(F307,0)=$F$6,$H$6,$G$6))</f>
        <v>　レベル　5</v>
      </c>
      <c r="G312" s="3155" t="s">
        <v>1226</v>
      </c>
      <c r="H312" s="3156"/>
      <c r="I312" s="3155" t="s">
        <v>1227</v>
      </c>
      <c r="J312" s="3156"/>
      <c r="K312" s="587" t="str">
        <f>IF(K307=$F$7,$G$6,IF(ROUNDDOWN(K307,0)=$F$6,$H$6,$G$6))</f>
        <v>　レベル　5</v>
      </c>
      <c r="L312" s="3182" t="s">
        <v>1227</v>
      </c>
      <c r="M312" s="3202"/>
      <c r="N312" s="3202"/>
      <c r="O312" s="3203"/>
    </row>
    <row r="313" spans="2:15" ht="15.75">
      <c r="B313" s="594">
        <v>0</v>
      </c>
      <c r="C313" s="594">
        <v>0</v>
      </c>
      <c r="D313" s="546"/>
      <c r="E313" s="433"/>
      <c r="F313" s="887" t="s">
        <v>3402</v>
      </c>
      <c r="G313" s="2423"/>
      <c r="H313" s="2399"/>
      <c r="I313" s="2396"/>
      <c r="J313" s="2397"/>
      <c r="K313" s="2576" t="s">
        <v>3767</v>
      </c>
      <c r="L313" s="1281"/>
      <c r="M313"/>
      <c r="N313"/>
      <c r="O313"/>
    </row>
    <row r="314" spans="2:15" ht="15.75">
      <c r="B314" s="918"/>
      <c r="C314" s="918"/>
      <c r="D314" s="546"/>
      <c r="E314" s="433"/>
      <c r="F314" s="433"/>
      <c r="G314"/>
      <c r="H314"/>
      <c r="I314"/>
      <c r="J314"/>
      <c r="K314"/>
      <c r="L314"/>
      <c r="M314"/>
      <c r="N314"/>
      <c r="O314"/>
    </row>
    <row r="315" spans="2:15" ht="15.75">
      <c r="D315" s="542">
        <v>3.2</v>
      </c>
      <c r="E315" s="553" t="s">
        <v>755</v>
      </c>
      <c r="F315" s="552"/>
      <c r="G315"/>
      <c r="H315"/>
      <c r="I315"/>
      <c r="J315"/>
      <c r="K315"/>
      <c r="L315"/>
      <c r="M315"/>
      <c r="N315"/>
      <c r="O315"/>
    </row>
    <row r="316" spans="2:15" ht="15.75" hidden="1">
      <c r="D316" s="546"/>
      <c r="E316" s="63"/>
      <c r="F316" s="1437" t="s">
        <v>756</v>
      </c>
      <c r="G316"/>
      <c r="H316"/>
      <c r="I316"/>
      <c r="J316" t="str">
        <f>IF(OR(F318=0,AND(J317=0,O317=0)),$L$3,"")</f>
        <v>&lt;評価しない&gt;</v>
      </c>
      <c r="K316"/>
      <c r="L316"/>
      <c r="M316"/>
      <c r="N316"/>
      <c r="O316"/>
    </row>
    <row r="317" spans="2:15" ht="15.75" hidden="1">
      <c r="D317" s="546"/>
      <c r="E317" s="63"/>
      <c r="F317" s="558" t="s">
        <v>1228</v>
      </c>
      <c r="G317"/>
      <c r="H317"/>
      <c r="I317" t="s">
        <v>1141</v>
      </c>
      <c r="J317">
        <f>重み!M41</f>
        <v>0</v>
      </c>
      <c r="K317" t="s">
        <v>1638</v>
      </c>
      <c r="L317"/>
      <c r="M317"/>
      <c r="N317" t="s">
        <v>1141</v>
      </c>
      <c r="O317">
        <f>重み!N41</f>
        <v>0</v>
      </c>
    </row>
    <row r="318" spans="2:15" ht="16.5" hidden="1" thickBot="1">
      <c r="D318" s="546"/>
      <c r="E318" s="63"/>
      <c r="F318" s="565">
        <v>0</v>
      </c>
      <c r="G318" t="s">
        <v>737</v>
      </c>
      <c r="H318"/>
      <c r="I318"/>
      <c r="J318"/>
      <c r="K318">
        <v>0</v>
      </c>
      <c r="L318" t="s">
        <v>752</v>
      </c>
      <c r="M318"/>
      <c r="N318"/>
      <c r="O318"/>
    </row>
    <row r="319" spans="2:15" ht="15.75" hidden="1">
      <c r="B319" s="1">
        <v>1</v>
      </c>
      <c r="C319" s="1">
        <v>1</v>
      </c>
      <c r="D319" s="546"/>
      <c r="E319" s="63"/>
      <c r="F319" s="572" t="str">
        <f>IF(F318=$F$7,$G$2,IF(ROUNDDOWN(F318,0)=$F$2,$H$2,$G$2))</f>
        <v>　レベル　1</v>
      </c>
      <c r="G319" t="s">
        <v>670</v>
      </c>
      <c r="H319"/>
      <c r="I319"/>
      <c r="J319"/>
      <c r="K319" t="str">
        <f>IF(K318=$F$7,$G$2,IF(ROUNDDOWN(K318,0)=$F$2,$H$2,$G$2))</f>
        <v>　レベル　1</v>
      </c>
      <c r="L319" t="s">
        <v>671</v>
      </c>
      <c r="M319"/>
      <c r="N319"/>
      <c r="O319"/>
    </row>
    <row r="320" spans="2:15" ht="15.75" hidden="1">
      <c r="B320" s="1" t="s">
        <v>1229</v>
      </c>
      <c r="C320" s="1" t="s">
        <v>1229</v>
      </c>
      <c r="D320" s="546"/>
      <c r="E320" s="63"/>
      <c r="F320" s="577" t="str">
        <f>IF(F318=$F$7,$G$3,IF(ROUNDDOWN(F318,0)=$F$3,$H$3,$G$3))</f>
        <v>　レベル　2</v>
      </c>
      <c r="G320" t="s">
        <v>1818</v>
      </c>
      <c r="H320"/>
      <c r="I320"/>
      <c r="J320"/>
      <c r="K320" t="str">
        <f>IF(K318=$F$7,$G$3,IF(ROUNDDOWN(K318,0)=$F$3,$H$3,$G$3))</f>
        <v>　レベル　2</v>
      </c>
      <c r="L320" t="s">
        <v>1818</v>
      </c>
      <c r="M320"/>
      <c r="N320"/>
      <c r="O320"/>
    </row>
    <row r="321" spans="2:15" ht="15.75" hidden="1">
      <c r="B321" s="1">
        <v>3</v>
      </c>
      <c r="C321" s="1">
        <v>3</v>
      </c>
      <c r="D321" s="546"/>
      <c r="E321" s="63"/>
      <c r="F321" s="577" t="str">
        <f>IF(F318=$F$7,$G$4,IF(ROUNDDOWN(F318,0)=$F$4,$H$4,$G$4))</f>
        <v>　レベル　3</v>
      </c>
      <c r="G321" t="s">
        <v>672</v>
      </c>
      <c r="H321"/>
      <c r="I321"/>
      <c r="J321"/>
      <c r="K321" t="str">
        <f>IF(K318=$F$7,$G$4,IF(ROUNDDOWN(K318,0)=$F$4,$H$4,$G$4))</f>
        <v>　レベル　3</v>
      </c>
      <c r="L321" t="s">
        <v>1230</v>
      </c>
      <c r="M321"/>
      <c r="N321"/>
      <c r="O321"/>
    </row>
    <row r="322" spans="2:15" ht="15.75" hidden="1">
      <c r="B322" s="1" t="s">
        <v>1229</v>
      </c>
      <c r="C322" s="1" t="s">
        <v>1229</v>
      </c>
      <c r="D322" s="546"/>
      <c r="E322" s="63"/>
      <c r="F322" s="577" t="str">
        <f>IF(F318=$F$7,$G$5,IF(ROUNDDOWN(F318,0)=$F$5,$H$5,$G$5))</f>
        <v>　レベル　4</v>
      </c>
      <c r="G322" t="s">
        <v>1818</v>
      </c>
      <c r="H322"/>
      <c r="I322"/>
      <c r="J322"/>
      <c r="K322" t="str">
        <f>IF(K318=$F$7,$G$5,IF(ROUNDDOWN(K318,0)=$F$5,$H$5,$G$5))</f>
        <v>　レベル　4</v>
      </c>
      <c r="L322" t="s">
        <v>1818</v>
      </c>
      <c r="M322"/>
      <c r="N322"/>
      <c r="O322"/>
    </row>
    <row r="323" spans="2:15" ht="15.75" hidden="1">
      <c r="B323" s="1">
        <v>5</v>
      </c>
      <c r="C323" s="1">
        <v>5</v>
      </c>
      <c r="D323" s="546"/>
      <c r="E323" s="63"/>
      <c r="F323" s="587" t="str">
        <f>IF(F318=$F$7,$G$6,IF(ROUNDDOWN(F318,0)=$F$6,$H$6,$G$6))</f>
        <v>　レベル　5</v>
      </c>
      <c r="G323" t="s">
        <v>673</v>
      </c>
      <c r="H323"/>
      <c r="I323"/>
      <c r="J323"/>
      <c r="K323" t="str">
        <f>IF(K318=$F$7,$G$6,IF(ROUNDDOWN(K318,0)=$F$6,$H$6,$G$6))</f>
        <v>　レベル　5</v>
      </c>
      <c r="L323" t="s">
        <v>1231</v>
      </c>
      <c r="M323"/>
      <c r="N323"/>
      <c r="O323"/>
    </row>
    <row r="324" spans="2:15" ht="15.75" hidden="1">
      <c r="B324" s="594">
        <v>0</v>
      </c>
      <c r="C324" s="594">
        <v>0</v>
      </c>
      <c r="D324" s="546"/>
      <c r="E324" s="149"/>
      <c r="F324" s="149"/>
      <c r="G324"/>
      <c r="H324"/>
      <c r="I324"/>
      <c r="J324"/>
      <c r="K324"/>
      <c r="L324"/>
      <c r="M324"/>
      <c r="N324"/>
      <c r="O324"/>
    </row>
    <row r="325" spans="2:15" ht="15.75">
      <c r="D325" s="546"/>
      <c r="E325" s="149"/>
      <c r="F325" s="554" t="s">
        <v>2479</v>
      </c>
      <c r="G325"/>
      <c r="H325"/>
      <c r="I325"/>
      <c r="J325" t="str">
        <f>IF(OR(F327=0,AND(J326=0,O326=0)),$L$3,"")</f>
        <v/>
      </c>
      <c r="K325"/>
      <c r="L325"/>
      <c r="M325"/>
      <c r="N325"/>
      <c r="O325"/>
    </row>
    <row r="326" spans="2:15" ht="16.5" thickBot="1">
      <c r="D326" s="546"/>
      <c r="E326" s="149"/>
      <c r="F326" s="558" t="s">
        <v>1101</v>
      </c>
      <c r="G326" s="559"/>
      <c r="H326" s="560"/>
      <c r="I326" s="561" t="s">
        <v>1141</v>
      </c>
      <c r="J326" s="564">
        <f>重み!M42</f>
        <v>1</v>
      </c>
      <c r="K326" s="558" t="s">
        <v>1638</v>
      </c>
      <c r="L326" s="559"/>
      <c r="M326" s="560"/>
      <c r="N326" s="561" t="s">
        <v>1141</v>
      </c>
      <c r="O326" s="564">
        <f>重み!N42</f>
        <v>0</v>
      </c>
    </row>
    <row r="327" spans="2:15" ht="27" customHeight="1" thickBot="1">
      <c r="D327" s="546"/>
      <c r="E327" s="149"/>
      <c r="F327" s="565">
        <v>3</v>
      </c>
      <c r="G327" s="661" t="s">
        <v>389</v>
      </c>
      <c r="H327" s="570"/>
      <c r="I327" s="661" t="s">
        <v>390</v>
      </c>
      <c r="J327" s="571"/>
      <c r="K327" s="565">
        <v>3</v>
      </c>
      <c r="L327" s="661" t="s">
        <v>752</v>
      </c>
      <c r="M327" s="571"/>
      <c r="N327" s="661"/>
      <c r="O327" s="666"/>
    </row>
    <row r="328" spans="2:15" ht="20.25" customHeight="1">
      <c r="B328" s="1">
        <v>1</v>
      </c>
      <c r="C328" s="1">
        <v>1</v>
      </c>
      <c r="D328" s="546"/>
      <c r="E328" s="149"/>
      <c r="F328" s="572" t="str">
        <f>IF(F327=$F$7,$G$2,IF(ROUNDDOWN(F327,0)=$F$2,$H$2,$G$2))</f>
        <v>　レベル　1</v>
      </c>
      <c r="G328" s="3153" t="s">
        <v>1232</v>
      </c>
      <c r="H328" s="3159"/>
      <c r="I328" s="3153" t="s">
        <v>1232</v>
      </c>
      <c r="J328" s="3159"/>
      <c r="K328" s="572" t="str">
        <f>IF(K327=$F$7,$G$2,IF(ROUNDDOWN(K327,0)=$F$2,$H$2,$G$2))</f>
        <v>　レベル　1</v>
      </c>
      <c r="L328" s="3153" t="s">
        <v>391</v>
      </c>
      <c r="M328" s="3173"/>
      <c r="N328" s="3173"/>
      <c r="O328" s="3159"/>
    </row>
    <row r="329" spans="2:15" ht="33.75" customHeight="1">
      <c r="B329" s="1">
        <v>2</v>
      </c>
      <c r="C329" s="1" t="s">
        <v>2420</v>
      </c>
      <c r="D329" s="546"/>
      <c r="E329" s="149"/>
      <c r="F329" s="577" t="str">
        <f>IF(F327=$F$7,$G$3,IF(ROUNDDOWN(F327,0)=$F$3,$H$3,$G$3))</f>
        <v>　レベル　2</v>
      </c>
      <c r="G329" s="3157" t="s">
        <v>1233</v>
      </c>
      <c r="H329" s="3158"/>
      <c r="I329" s="3157" t="s">
        <v>1818</v>
      </c>
      <c r="J329" s="3158"/>
      <c r="K329" s="577" t="str">
        <f>IF(K327=$F$7,$G$3,IF(ROUNDDOWN(K327,0)=$F$3,$H$3,$G$3))</f>
        <v>　レベル　2</v>
      </c>
      <c r="L329" s="3191" t="s">
        <v>1818</v>
      </c>
      <c r="M329" s="3192"/>
      <c r="N329" s="3192"/>
      <c r="O329" s="3193"/>
    </row>
    <row r="330" spans="2:15" ht="48" customHeight="1">
      <c r="B330" s="1">
        <v>3</v>
      </c>
      <c r="C330" s="1">
        <v>3</v>
      </c>
      <c r="D330" s="546"/>
      <c r="E330" s="149"/>
      <c r="F330" s="577" t="str">
        <f>IF(F327=$F$7,$G$4,IF(ROUNDDOWN(F327,0)=$F$4,$H$4,$G$4))</f>
        <v>■レベル　3</v>
      </c>
      <c r="G330" s="3157" t="s">
        <v>1234</v>
      </c>
      <c r="H330" s="3158"/>
      <c r="I330" s="3157" t="s">
        <v>1235</v>
      </c>
      <c r="J330" s="3158"/>
      <c r="K330" s="577" t="str">
        <f>IF(K327=$F$7,$G$4,IF(ROUNDDOWN(K327,0)=$F$4,$H$4,$G$4))</f>
        <v>■レベル　3</v>
      </c>
      <c r="L330" s="3191" t="s">
        <v>1235</v>
      </c>
      <c r="M330" s="3192"/>
      <c r="N330" s="3192"/>
      <c r="O330" s="3193"/>
    </row>
    <row r="331" spans="2:15" ht="55.5" customHeight="1">
      <c r="B331" s="1">
        <v>4</v>
      </c>
      <c r="C331" s="1">
        <v>4</v>
      </c>
      <c r="D331" s="546"/>
      <c r="E331" s="149"/>
      <c r="F331" s="577" t="str">
        <f>IF(F327=$F$7,$G$5,IF(ROUNDDOWN(F327,0)=$F$5,$H$5,$G$5))</f>
        <v>　レベル　4</v>
      </c>
      <c r="G331" s="3157" t="s">
        <v>1236</v>
      </c>
      <c r="H331" s="3158"/>
      <c r="I331" s="3157" t="s">
        <v>1237</v>
      </c>
      <c r="J331" s="3158"/>
      <c r="K331" s="577" t="str">
        <f>IF(K327=$F$7,$G$5,IF(ROUNDDOWN(K327,0)=$F$5,$H$5,$G$5))</f>
        <v>　レベル　4</v>
      </c>
      <c r="L331" s="3191" t="s">
        <v>1237</v>
      </c>
      <c r="M331" s="3192"/>
      <c r="N331" s="3192"/>
      <c r="O331" s="3193"/>
    </row>
    <row r="332" spans="2:15" ht="42.75" customHeight="1">
      <c r="B332" s="1">
        <v>5</v>
      </c>
      <c r="C332" s="1">
        <v>5</v>
      </c>
      <c r="D332" s="546"/>
      <c r="E332" s="149"/>
      <c r="F332" s="587" t="str">
        <f>IF(F327=$F$7,$G$6,IF(ROUNDDOWN(F327,0)=$F$6,$H$6,$G$6))</f>
        <v>　レベル　5</v>
      </c>
      <c r="G332" s="3155" t="s">
        <v>11</v>
      </c>
      <c r="H332" s="3156"/>
      <c r="I332" s="3155" t="s">
        <v>1238</v>
      </c>
      <c r="J332" s="3156"/>
      <c r="K332" s="587" t="str">
        <f>IF(K327=$F$7,$G$6,IF(ROUNDDOWN(K327,0)=$F$6,$H$6,$G$6))</f>
        <v>　レベル　5</v>
      </c>
      <c r="L332" s="3182" t="s">
        <v>1238</v>
      </c>
      <c r="M332" s="3202"/>
      <c r="N332" s="3202"/>
      <c r="O332" s="3203"/>
    </row>
    <row r="333" spans="2:15" ht="15.75">
      <c r="B333" s="594">
        <v>0</v>
      </c>
      <c r="C333" s="594">
        <v>0</v>
      </c>
      <c r="D333" s="546"/>
      <c r="E333" s="149"/>
      <c r="F333" s="887" t="s">
        <v>3402</v>
      </c>
      <c r="G333" s="2423"/>
      <c r="H333" s="2399"/>
      <c r="I333" s="2396"/>
      <c r="J333" s="2397"/>
      <c r="K333" s="2576" t="s">
        <v>3767</v>
      </c>
      <c r="L333" s="1281"/>
      <c r="M333"/>
      <c r="N333"/>
      <c r="O333"/>
    </row>
    <row r="334" spans="2:15" ht="15.75">
      <c r="B334" s="918"/>
      <c r="C334" s="918"/>
      <c r="D334" s="546"/>
      <c r="E334" s="149"/>
      <c r="F334" s="149"/>
      <c r="G334"/>
      <c r="H334"/>
      <c r="I334"/>
      <c r="J334"/>
      <c r="K334"/>
      <c r="L334"/>
      <c r="M334"/>
      <c r="N334"/>
      <c r="O334"/>
    </row>
    <row r="335" spans="2:15" ht="15.75">
      <c r="D335" s="546"/>
      <c r="E335" s="149"/>
      <c r="F335" s="554" t="s">
        <v>2480</v>
      </c>
      <c r="G335"/>
      <c r="H335"/>
      <c r="I335"/>
      <c r="J335" t="str">
        <f>IF(OR(F337=0,J336=0),$L$3,"")</f>
        <v>&lt;評価しない&gt;</v>
      </c>
      <c r="K335"/>
      <c r="L335"/>
      <c r="M335"/>
      <c r="N335"/>
      <c r="O335"/>
    </row>
    <row r="336" spans="2:15" ht="16.5" hidden="1" thickBot="1">
      <c r="D336" s="546"/>
      <c r="E336" s="149"/>
      <c r="F336" s="558" t="s">
        <v>235</v>
      </c>
      <c r="G336" s="559"/>
      <c r="H336" s="560"/>
      <c r="I336" s="561" t="s">
        <v>1141</v>
      </c>
      <c r="J336" s="564">
        <f>重み!M43</f>
        <v>0</v>
      </c>
      <c r="K336"/>
      <c r="L336"/>
      <c r="M336"/>
      <c r="N336"/>
      <c r="O336"/>
    </row>
    <row r="337" spans="2:15" ht="16.5" hidden="1" thickBot="1">
      <c r="B337" s="713" t="s">
        <v>640</v>
      </c>
      <c r="D337" s="546"/>
      <c r="E337" s="149"/>
      <c r="F337" s="565">
        <v>0</v>
      </c>
      <c r="G337" s="661" t="s">
        <v>393</v>
      </c>
      <c r="H337" s="570"/>
      <c r="I337" s="570"/>
      <c r="J337" s="571"/>
      <c r="K337"/>
      <c r="L337"/>
      <c r="M337"/>
      <c r="N337"/>
      <c r="O337"/>
    </row>
    <row r="338" spans="2:15" ht="15.75" hidden="1">
      <c r="B338" s="1">
        <v>1</v>
      </c>
      <c r="D338" s="546"/>
      <c r="E338" s="149"/>
      <c r="F338" s="572" t="str">
        <f>IF(F337=$F$7,$G$2,IF(ROUNDDOWN(F337,0)=$F$2,$H$2,$G$2))</f>
        <v>　レベル　1</v>
      </c>
      <c r="G338" s="1329" t="s">
        <v>1239</v>
      </c>
      <c r="H338" s="741"/>
      <c r="I338" s="741"/>
      <c r="J338" s="742"/>
      <c r="K338"/>
      <c r="L338"/>
      <c r="M338"/>
      <c r="N338"/>
      <c r="O338"/>
    </row>
    <row r="339" spans="2:15" ht="15.75" hidden="1">
      <c r="B339" s="1" t="s">
        <v>2420</v>
      </c>
      <c r="D339" s="546"/>
      <c r="E339" s="149"/>
      <c r="F339" s="577" t="str">
        <f>IF(F337=$F$7,$G$3,IF(ROUNDDOWN(F337,0)=$F$3,$H$3,$G$3))</f>
        <v>　レベル　2</v>
      </c>
      <c r="G339" s="705" t="s">
        <v>1818</v>
      </c>
      <c r="H339" s="1898"/>
      <c r="I339" s="1898"/>
      <c r="J339" s="1899"/>
      <c r="K339"/>
      <c r="L339"/>
      <c r="M339"/>
      <c r="N339"/>
      <c r="O339"/>
    </row>
    <row r="340" spans="2:15" ht="15.75" hidden="1">
      <c r="B340" s="1">
        <v>3</v>
      </c>
      <c r="D340" s="546"/>
      <c r="E340" s="149"/>
      <c r="F340" s="577" t="str">
        <f>IF(F337=$F$7,$G$4,IF(ROUNDDOWN(F337,0)=$F$4,$H$4,$G$4))</f>
        <v>　レベル　3</v>
      </c>
      <c r="G340" s="705" t="s">
        <v>1240</v>
      </c>
      <c r="H340" s="1898"/>
      <c r="I340" s="1898"/>
      <c r="J340" s="1899"/>
      <c r="K340"/>
      <c r="L340"/>
      <c r="M340"/>
      <c r="N340"/>
      <c r="O340"/>
    </row>
    <row r="341" spans="2:15" ht="15.75" hidden="1">
      <c r="B341" s="1" t="s">
        <v>2420</v>
      </c>
      <c r="D341" s="546"/>
      <c r="E341" s="149"/>
      <c r="F341" s="577" t="str">
        <f>IF(F337=$F$7,$G$5,IF(ROUNDDOWN(F337,0)=$F$5,$H$5,$G$5))</f>
        <v>　レベル　4</v>
      </c>
      <c r="G341" s="705" t="s">
        <v>1818</v>
      </c>
      <c r="H341" s="1898"/>
      <c r="I341" s="1898"/>
      <c r="J341" s="1899"/>
      <c r="K341"/>
      <c r="L341"/>
      <c r="M341"/>
      <c r="N341"/>
      <c r="O341"/>
    </row>
    <row r="342" spans="2:15" ht="15.75" hidden="1">
      <c r="B342" s="1">
        <v>5</v>
      </c>
      <c r="D342" s="546"/>
      <c r="E342" s="149"/>
      <c r="F342" s="587" t="str">
        <f>IF(F337=$F$7,$G$6,IF(ROUNDDOWN(F337,0)=$F$6,$H$6,$G$6))</f>
        <v>　レベル　5</v>
      </c>
      <c r="G342" s="858" t="s">
        <v>1241</v>
      </c>
      <c r="H342" s="1900"/>
      <c r="I342" s="1900"/>
      <c r="J342" s="1901"/>
      <c r="K342"/>
      <c r="L342"/>
      <c r="M342"/>
      <c r="N342"/>
      <c r="O342"/>
    </row>
    <row r="343" spans="2:15" ht="15.75" hidden="1">
      <c r="B343" s="594">
        <v>0</v>
      </c>
      <c r="D343" s="546"/>
      <c r="E343" s="149"/>
      <c r="F343" s="887" t="s">
        <v>3402</v>
      </c>
      <c r="G343" s="2423"/>
      <c r="H343" s="2399"/>
      <c r="I343" s="2396"/>
      <c r="J343" s="2397"/>
      <c r="K343" s="2400" t="s">
        <v>3403</v>
      </c>
      <c r="L343" s="1281"/>
      <c r="M343"/>
      <c r="N343"/>
      <c r="O343"/>
    </row>
    <row r="344" spans="2:15" ht="15.75" hidden="1">
      <c r="D344" s="546"/>
      <c r="E344" s="149"/>
      <c r="F344" s="149"/>
      <c r="G344" t="s">
        <v>394</v>
      </c>
      <c r="H344"/>
      <c r="I344"/>
      <c r="J344"/>
      <c r="K344"/>
      <c r="L344"/>
      <c r="M344"/>
      <c r="N344"/>
      <c r="O344"/>
    </row>
    <row r="345" spans="2:15" ht="15.75" hidden="1">
      <c r="D345" s="546"/>
      <c r="E345" s="149"/>
      <c r="F345" s="149"/>
      <c r="G345" s="715" t="s">
        <v>395</v>
      </c>
      <c r="H345" s="715" t="s">
        <v>1242</v>
      </c>
      <c r="I345" s="716"/>
      <c r="J345" s="716"/>
      <c r="K345" s="716"/>
      <c r="L345" s="716"/>
      <c r="M345" s="717"/>
      <c r="N345"/>
      <c r="O345"/>
    </row>
    <row r="346" spans="2:15" ht="15.75" hidden="1">
      <c r="D346" s="546"/>
      <c r="E346" s="149"/>
      <c r="F346" s="149"/>
      <c r="G346" s="715" t="s">
        <v>396</v>
      </c>
      <c r="H346" s="715" t="s">
        <v>397</v>
      </c>
      <c r="I346" s="716"/>
      <c r="J346" s="716"/>
      <c r="K346" s="716"/>
      <c r="L346" s="716"/>
      <c r="M346" s="717"/>
      <c r="N346"/>
      <c r="O346"/>
    </row>
    <row r="347" spans="2:15" ht="15.75" hidden="1">
      <c r="D347" s="546"/>
      <c r="E347" s="149"/>
      <c r="F347" s="149"/>
      <c r="G347" s="715" t="s">
        <v>398</v>
      </c>
      <c r="H347" s="715" t="s">
        <v>399</v>
      </c>
      <c r="I347" s="716"/>
      <c r="J347" s="716"/>
      <c r="K347" s="716"/>
      <c r="L347" s="716"/>
      <c r="M347" s="717"/>
      <c r="N347"/>
      <c r="O347"/>
    </row>
    <row r="348" spans="2:15" hidden="1">
      <c r="D348"/>
      <c r="E348"/>
      <c r="F348"/>
      <c r="G348" s="715" t="s">
        <v>400</v>
      </c>
      <c r="H348" s="715" t="s">
        <v>401</v>
      </c>
      <c r="I348" s="715"/>
      <c r="J348" s="716"/>
      <c r="K348" s="716"/>
      <c r="L348" s="716"/>
      <c r="M348" s="717"/>
      <c r="N348"/>
      <c r="O348"/>
    </row>
    <row r="349" spans="2:15">
      <c r="D349"/>
      <c r="E349"/>
      <c r="F349"/>
      <c r="G349"/>
      <c r="H349"/>
      <c r="I349"/>
      <c r="J349"/>
      <c r="K349"/>
      <c r="L349"/>
      <c r="M349"/>
      <c r="N349"/>
      <c r="O349"/>
    </row>
    <row r="350" spans="2:15" ht="15.75">
      <c r="D350" s="542">
        <v>3.3</v>
      </c>
      <c r="E350" s="553" t="s">
        <v>829</v>
      </c>
      <c r="F350" s="672"/>
      <c r="G350"/>
      <c r="H350"/>
      <c r="I350"/>
      <c r="J350" t="str">
        <f>IF(OR(F352=0,AND(J351=0,O351=0)),$L$3,"")</f>
        <v/>
      </c>
      <c r="K350"/>
      <c r="L350"/>
      <c r="M350"/>
      <c r="N350"/>
      <c r="O350"/>
    </row>
    <row r="351" spans="2:15" ht="16.5" thickBot="1">
      <c r="D351" s="546"/>
      <c r="E351" s="63"/>
      <c r="F351" s="1453" t="s">
        <v>1243</v>
      </c>
      <c r="G351" s="674"/>
      <c r="H351" s="675"/>
      <c r="I351" s="561" t="s">
        <v>1141</v>
      </c>
      <c r="J351" s="559">
        <f>重み!M44</f>
        <v>0.15</v>
      </c>
      <c r="K351" s="674"/>
      <c r="L351" s="676"/>
      <c r="M351" s="1454" t="s">
        <v>1638</v>
      </c>
      <c r="N351" s="561" t="s">
        <v>1141</v>
      </c>
      <c r="O351" s="563">
        <f>重み!N44</f>
        <v>0</v>
      </c>
    </row>
    <row r="352" spans="2:15" ht="27" customHeight="1" thickBot="1">
      <c r="D352" s="546"/>
      <c r="E352" s="63"/>
      <c r="F352" s="565">
        <v>3</v>
      </c>
      <c r="G352" s="661" t="s">
        <v>2601</v>
      </c>
      <c r="H352" s="571"/>
      <c r="I352" s="666" t="s">
        <v>1244</v>
      </c>
      <c r="J352" s="678" t="s">
        <v>1245</v>
      </c>
      <c r="K352" s="678" t="s">
        <v>1246</v>
      </c>
      <c r="L352" s="679" t="s">
        <v>1575</v>
      </c>
      <c r="M352" s="565">
        <v>3</v>
      </c>
      <c r="N352" s="661" t="s">
        <v>1247</v>
      </c>
      <c r="O352" s="680" t="s">
        <v>402</v>
      </c>
    </row>
    <row r="353" spans="2:15" ht="22.5" customHeight="1">
      <c r="B353" s="1">
        <v>1</v>
      </c>
      <c r="C353" s="1">
        <v>1</v>
      </c>
      <c r="D353" s="546"/>
      <c r="E353" s="63"/>
      <c r="F353" s="572" t="str">
        <f>IF(F352=$F$7,$G$2,IF(ROUNDDOWN(F352,0)=$F$2,$H$2,$G$2))</f>
        <v>　レベル　1</v>
      </c>
      <c r="G353" s="3153" t="s">
        <v>1520</v>
      </c>
      <c r="H353" s="3159"/>
      <c r="I353" s="718" t="s">
        <v>896</v>
      </c>
      <c r="J353" s="625" t="s">
        <v>897</v>
      </c>
      <c r="K353" s="718" t="s">
        <v>898</v>
      </c>
      <c r="L353" s="718" t="s">
        <v>898</v>
      </c>
      <c r="M353" s="572" t="str">
        <f>IF(M352=$F$7,$G$2,IF(ROUNDDOWN(M352,0)=$F$2,$H$2,$G$2))</f>
        <v>　レベル　1</v>
      </c>
      <c r="N353" s="573" t="s">
        <v>899</v>
      </c>
      <c r="O353" s="719" t="s">
        <v>898</v>
      </c>
    </row>
    <row r="354" spans="2:15" ht="32.25" customHeight="1">
      <c r="B354" s="1">
        <v>2</v>
      </c>
      <c r="C354" s="1" t="s">
        <v>2418</v>
      </c>
      <c r="D354" s="546"/>
      <c r="E354" s="63"/>
      <c r="F354" s="577" t="str">
        <f>IF(F352=$F$7,$G$3,IF(ROUNDDOWN(F352,0)=$F$3,$H$3,$G$3))</f>
        <v>　レベル　2</v>
      </c>
      <c r="G354" s="3157" t="s">
        <v>10</v>
      </c>
      <c r="H354" s="3201"/>
      <c r="I354" s="2700" t="s">
        <v>1818</v>
      </c>
      <c r="J354" s="2700" t="s">
        <v>1818</v>
      </c>
      <c r="K354" s="2700" t="s">
        <v>1818</v>
      </c>
      <c r="L354" s="2700" t="s">
        <v>1818</v>
      </c>
      <c r="M354" s="577" t="str">
        <f>IF(M352=$F$7,$G$3,IF(ROUNDDOWN(M352,0)=$F$3,$H$3,$G$3))</f>
        <v>　レベル　2</v>
      </c>
      <c r="N354" s="2700" t="s">
        <v>1818</v>
      </c>
      <c r="O354" s="2700" t="s">
        <v>1818</v>
      </c>
    </row>
    <row r="355" spans="2:15" ht="91.5" customHeight="1">
      <c r="B355" s="1">
        <v>3</v>
      </c>
      <c r="C355" s="1">
        <v>3</v>
      </c>
      <c r="D355" s="546"/>
      <c r="E355" s="63"/>
      <c r="F355" s="577" t="str">
        <f>IF(F352=$F$7,$G$4,IF(ROUNDDOWN(F352,0)=$F$4,$H$4,$G$4))</f>
        <v>■レベル　3</v>
      </c>
      <c r="G355" s="3157" t="s">
        <v>306</v>
      </c>
      <c r="H355" s="3201"/>
      <c r="I355" s="720" t="s">
        <v>900</v>
      </c>
      <c r="J355" s="579" t="s">
        <v>901</v>
      </c>
      <c r="K355" s="720" t="s">
        <v>902</v>
      </c>
      <c r="L355" s="720" t="s">
        <v>902</v>
      </c>
      <c r="M355" s="577" t="str">
        <f>IF(M352=$F$7,$G$4,IF(ROUNDDOWN(M352,0)=$F$4,$H$4,$G$4))</f>
        <v>■レベル　3</v>
      </c>
      <c r="N355" s="579" t="s">
        <v>901</v>
      </c>
      <c r="O355" s="583" t="s">
        <v>902</v>
      </c>
    </row>
    <row r="356" spans="2:15" ht="99.75" customHeight="1">
      <c r="B356" s="1">
        <v>4</v>
      </c>
      <c r="C356" s="1">
        <v>4</v>
      </c>
      <c r="D356" s="546"/>
      <c r="E356" s="63"/>
      <c r="F356" s="577" t="str">
        <f>IF(F352=$F$7,$G$5,IF(ROUNDDOWN(F352,0)=$F$5,$H$5,$G$5))</f>
        <v>　レベル　4</v>
      </c>
      <c r="G356" s="3157" t="s">
        <v>305</v>
      </c>
      <c r="H356" s="3201"/>
      <c r="I356" s="684" t="s">
        <v>903</v>
      </c>
      <c r="J356" s="584" t="s">
        <v>403</v>
      </c>
      <c r="K356" s="2700" t="s">
        <v>1818</v>
      </c>
      <c r="L356" s="684" t="s">
        <v>404</v>
      </c>
      <c r="M356" s="577" t="str">
        <f>IF(M352=$F$7,$G$5,IF(ROUNDDOWN(M352,0)=$F$5,$H$5,$G$5))</f>
        <v>　レベル　4</v>
      </c>
      <c r="N356" s="579" t="s">
        <v>404</v>
      </c>
      <c r="O356" s="2700" t="s">
        <v>1818</v>
      </c>
    </row>
    <row r="357" spans="2:15" ht="115.5" customHeight="1">
      <c r="B357" s="1">
        <v>5</v>
      </c>
      <c r="C357" s="1">
        <v>5</v>
      </c>
      <c r="D357" s="546"/>
      <c r="E357" s="63"/>
      <c r="F357" s="587" t="str">
        <f>IF(F352=$F$7,$G$6,IF(ROUNDDOWN(F352,0)=$F$6,$H$6,$G$6))</f>
        <v>　レベル　5</v>
      </c>
      <c r="G357" s="3155" t="s">
        <v>2882</v>
      </c>
      <c r="H357" s="3185"/>
      <c r="I357" s="2701" t="s">
        <v>1818</v>
      </c>
      <c r="J357" s="2701" t="s">
        <v>1818</v>
      </c>
      <c r="K357" s="2701" t="s">
        <v>1818</v>
      </c>
      <c r="L357" s="2701" t="s">
        <v>1818</v>
      </c>
      <c r="M357" s="587" t="str">
        <f>IF(M352=$F$7,$G$6,IF(ROUNDDOWN(M352,0)=$F$6,$H$6,$G$6))</f>
        <v>　レベル　5</v>
      </c>
      <c r="N357" s="2701" t="s">
        <v>1818</v>
      </c>
      <c r="O357" s="694" t="s">
        <v>2439</v>
      </c>
    </row>
    <row r="358" spans="2:15" ht="15.75" hidden="1">
      <c r="B358" s="594">
        <v>0</v>
      </c>
      <c r="C358" s="594">
        <v>0</v>
      </c>
      <c r="D358" s="546"/>
      <c r="E358" s="149"/>
      <c r="F358" s="149"/>
      <c r="G358" s="712"/>
      <c r="H358" s="712"/>
      <c r="I358" s="712"/>
      <c r="J358" s="712"/>
      <c r="K358" s="721"/>
      <c r="L358" s="721"/>
      <c r="M358" s="721"/>
      <c r="N358" s="721"/>
      <c r="O358" s="721"/>
    </row>
    <row r="359" spans="2:15" ht="15.75" hidden="1">
      <c r="D359" s="546"/>
      <c r="E359" s="149"/>
      <c r="F359" s="672" t="s">
        <v>2440</v>
      </c>
      <c r="G359" s="722"/>
      <c r="H359" s="723"/>
      <c r="I359" s="724" t="s">
        <v>1141</v>
      </c>
      <c r="J359" s="563">
        <f>重み!M46</f>
        <v>0</v>
      </c>
      <c r="K359" s="644"/>
      <c r="L359" s="722"/>
      <c r="M359" s="723"/>
      <c r="N359" s="724" t="s">
        <v>1141</v>
      </c>
      <c r="O359" s="563">
        <f>重み!N46</f>
        <v>0</v>
      </c>
    </row>
    <row r="360" spans="2:15" ht="15.75" hidden="1">
      <c r="D360" s="546"/>
      <c r="E360" s="149"/>
      <c r="F360" s="3217">
        <v>3</v>
      </c>
      <c r="G360" s="725" t="s">
        <v>1680</v>
      </c>
      <c r="H360" s="560"/>
      <c r="I360" s="560"/>
      <c r="J360" s="725"/>
      <c r="K360" s="3217">
        <v>3</v>
      </c>
      <c r="L360" s="569" t="s">
        <v>1638</v>
      </c>
      <c r="M360" s="570"/>
      <c r="N360" s="570"/>
      <c r="O360" s="571"/>
    </row>
    <row r="361" spans="2:15" ht="16.5" hidden="1" thickBot="1">
      <c r="D361" s="546"/>
      <c r="E361" s="149"/>
      <c r="F361" s="3218"/>
      <c r="G361" s="661" t="s">
        <v>2441</v>
      </c>
      <c r="H361" s="571"/>
      <c r="I361" s="661"/>
      <c r="J361" s="666"/>
      <c r="K361" s="3218"/>
      <c r="L361" s="661" t="s">
        <v>904</v>
      </c>
      <c r="M361" s="571"/>
      <c r="N361" s="661"/>
      <c r="O361" s="666"/>
    </row>
    <row r="362" spans="2:15" ht="15.75" hidden="1" customHeight="1">
      <c r="D362" s="546"/>
      <c r="E362" s="149"/>
      <c r="F362" s="726" t="str">
        <f>IF(F360=$F$7,$G$2,IF(ROUNDDOWN(F360,0)=$F$2,$H$2,$G$2))</f>
        <v>　レベル　1</v>
      </c>
      <c r="G362" s="3153" t="s">
        <v>1566</v>
      </c>
      <c r="H362" s="3173"/>
      <c r="I362" s="3173"/>
      <c r="J362" s="3159"/>
      <c r="K362" s="572" t="str">
        <f>IF(K360=$F$7,$G$2,IF(ROUNDDOWN(K360,0)=$F$2,$H$2,$G$2))</f>
        <v>　レベル　1</v>
      </c>
      <c r="L362" s="3153" t="s">
        <v>1566</v>
      </c>
      <c r="M362" s="3173"/>
      <c r="N362" s="3173"/>
      <c r="O362" s="3159"/>
    </row>
    <row r="363" spans="2:15" ht="15.75" hidden="1" customHeight="1">
      <c r="D363" s="546"/>
      <c r="E363" s="149"/>
      <c r="F363" s="727" t="str">
        <f>IF(F360=$F$7,$G$3,IF(ROUNDDOWN(F360,0)=$F$3,$H$3,$G$3))</f>
        <v>　レベル　2</v>
      </c>
      <c r="G363" s="3191" t="s">
        <v>2035</v>
      </c>
      <c r="H363" s="3192"/>
      <c r="I363" s="3192"/>
      <c r="J363" s="3193"/>
      <c r="K363" s="577" t="str">
        <f>IF(K360=$F$7,$G$3,IF(ROUNDDOWN(K360,0)=$F$3,$H$3,$G$3))</f>
        <v>　レベル　2</v>
      </c>
      <c r="L363" s="3191" t="s">
        <v>2035</v>
      </c>
      <c r="M363" s="3192"/>
      <c r="N363" s="3192"/>
      <c r="O363" s="3193"/>
    </row>
    <row r="364" spans="2:15" ht="15.75" hidden="1" customHeight="1">
      <c r="D364" s="546"/>
      <c r="E364" s="149"/>
      <c r="F364" s="727" t="str">
        <f>IF(F360=$F$7,$G$4,IF(ROUNDDOWN(F360,0)=$F$4,$H$4,$G$4))</f>
        <v>■レベル　3</v>
      </c>
      <c r="G364" s="3191" t="s">
        <v>2442</v>
      </c>
      <c r="H364" s="3192"/>
      <c r="I364" s="3192"/>
      <c r="J364" s="3193"/>
      <c r="K364" s="577" t="str">
        <f>IF(K360=$F$7,$G$4,IF(ROUNDDOWN(K360,0)=$F$4,$H$4,$G$4))</f>
        <v>■レベル　3</v>
      </c>
      <c r="L364" s="3191" t="s">
        <v>2442</v>
      </c>
      <c r="M364" s="3192"/>
      <c r="N364" s="3192"/>
      <c r="O364" s="3193"/>
    </row>
    <row r="365" spans="2:15" ht="15.75" hidden="1">
      <c r="D365" s="546"/>
      <c r="E365" s="149"/>
      <c r="F365" s="727" t="str">
        <f>IF(F360=$F$7,$G$5,IF(ROUNDDOWN(F360,0)=$F$5,$H$5,$G$5))</f>
        <v>　レベル　4</v>
      </c>
      <c r="G365" s="3191" t="s">
        <v>2036</v>
      </c>
      <c r="H365" s="3192"/>
      <c r="I365" s="3192"/>
      <c r="J365" s="3193"/>
      <c r="K365" s="577" t="str">
        <f>IF(K360=$F$7,$G$5,IF(ROUNDDOWN(K360,0)=$F$5,$H$5,$G$5))</f>
        <v>　レベル　4</v>
      </c>
      <c r="L365" s="3191" t="s">
        <v>2036</v>
      </c>
      <c r="M365" s="3192"/>
      <c r="N365" s="3192"/>
      <c r="O365" s="3193"/>
    </row>
    <row r="366" spans="2:15" ht="15.75" hidden="1" customHeight="1">
      <c r="D366" s="546"/>
      <c r="E366" s="149"/>
      <c r="F366" s="728" t="str">
        <f>IF(F360=$F$7,$G$6,IF(ROUNDDOWN(F360,0)=$F$6,$H$6,$G$6))</f>
        <v>　レベル　5</v>
      </c>
      <c r="G366" s="3182" t="s">
        <v>2443</v>
      </c>
      <c r="H366" s="3202"/>
      <c r="I366" s="3202"/>
      <c r="J366" s="3203"/>
      <c r="K366" s="587" t="str">
        <f>IF(K360=$F$7,$G$6,IF(ROUNDDOWN(K360,0)=$F$6,$H$6,$G$6))</f>
        <v>　レベル　5</v>
      </c>
      <c r="L366" s="3182" t="s">
        <v>2443</v>
      </c>
      <c r="M366" s="3202"/>
      <c r="N366" s="3202"/>
      <c r="O366" s="3203"/>
    </row>
    <row r="367" spans="2:15" ht="15.75">
      <c r="D367" s="546"/>
      <c r="E367" s="149"/>
      <c r="F367" s="887" t="s">
        <v>3402</v>
      </c>
      <c r="G367" s="2423"/>
      <c r="H367" s="2399"/>
      <c r="I367" s="2396"/>
      <c r="J367" s="2397"/>
      <c r="K367" s="2400"/>
      <c r="L367" s="1281"/>
      <c r="M367"/>
      <c r="N367"/>
      <c r="O367"/>
    </row>
    <row r="368" spans="2:15" ht="15.75">
      <c r="D368" s="546"/>
      <c r="E368" s="149"/>
      <c r="F368" s="149"/>
      <c r="G368"/>
      <c r="H368"/>
      <c r="I368"/>
      <c r="J368"/>
      <c r="K368"/>
      <c r="L368"/>
      <c r="M368"/>
      <c r="N368"/>
      <c r="O368"/>
    </row>
    <row r="369" spans="2:15" ht="15.75">
      <c r="D369" s="542">
        <v>3.4</v>
      </c>
      <c r="E369" s="551" t="s">
        <v>831</v>
      </c>
      <c r="F369" s="554"/>
      <c r="G369"/>
      <c r="H369"/>
      <c r="I369"/>
      <c r="J369" t="str">
        <f>IF(OR(F371=0,AND(J370=0,O370=0)),$L$3,"")</f>
        <v/>
      </c>
      <c r="K369"/>
      <c r="L369"/>
      <c r="M369"/>
      <c r="N369"/>
      <c r="O369"/>
    </row>
    <row r="370" spans="2:15" ht="16.5" thickBot="1">
      <c r="D370" s="546"/>
      <c r="E370" s="543"/>
      <c r="F370" s="558" t="s">
        <v>1101</v>
      </c>
      <c r="G370" s="559"/>
      <c r="H370" s="560"/>
      <c r="I370" s="561" t="s">
        <v>1141</v>
      </c>
      <c r="J370" s="564">
        <f>重み!M47</f>
        <v>0.25</v>
      </c>
      <c r="K370" s="558" t="s">
        <v>1638</v>
      </c>
      <c r="L370" s="559"/>
      <c r="M370" s="560"/>
      <c r="N370" s="561" t="s">
        <v>1141</v>
      </c>
      <c r="O370" s="564">
        <f>重み!N47</f>
        <v>0</v>
      </c>
    </row>
    <row r="371" spans="2:15" ht="23.25" thickBot="1">
      <c r="D371" s="546"/>
      <c r="E371" s="543"/>
      <c r="F371" s="565">
        <v>3</v>
      </c>
      <c r="G371" s="1555" t="s">
        <v>2602</v>
      </c>
      <c r="H371" s="1556"/>
      <c r="I371" s="1562" t="s">
        <v>1142</v>
      </c>
      <c r="J371" s="1564" t="s">
        <v>1103</v>
      </c>
      <c r="K371" s="565">
        <v>3</v>
      </c>
      <c r="L371" s="661" t="s">
        <v>2037</v>
      </c>
      <c r="M371" s="571"/>
      <c r="N371" s="661" t="s">
        <v>402</v>
      </c>
      <c r="O371" s="666"/>
    </row>
    <row r="372" spans="2:15" ht="15.75" hidden="1" customHeight="1">
      <c r="B372" s="1">
        <v>1</v>
      </c>
      <c r="C372" s="1">
        <v>1</v>
      </c>
      <c r="D372" s="546"/>
      <c r="E372" s="543"/>
      <c r="F372" s="689"/>
      <c r="G372" s="661" t="s">
        <v>1054</v>
      </c>
      <c r="H372" s="570"/>
      <c r="I372" s="623"/>
      <c r="J372" s="1559" t="s">
        <v>2604</v>
      </c>
      <c r="K372" s="689"/>
      <c r="L372" s="570" t="s">
        <v>1054</v>
      </c>
      <c r="M372" s="570"/>
      <c r="N372" s="570"/>
      <c r="O372" s="571"/>
    </row>
    <row r="373" spans="2:15" ht="36.75" hidden="1" customHeight="1">
      <c r="B373" s="1" t="s">
        <v>2418</v>
      </c>
      <c r="C373" s="1" t="s">
        <v>2418</v>
      </c>
      <c r="D373" s="546"/>
      <c r="E373" s="543"/>
      <c r="F373" s="577" t="str">
        <f>IF(F371=$F$7,$G$2,IF(AND($O$9=$O$3,ROUNDDOWN(F371,0)=$F$2),$H$2,$G$2))</f>
        <v>　レベル　1</v>
      </c>
      <c r="G373" s="3153" t="s">
        <v>2038</v>
      </c>
      <c r="H373" s="3173"/>
      <c r="I373" s="625" t="s">
        <v>2444</v>
      </c>
      <c r="J373" s="1560"/>
      <c r="K373" s="577" t="str">
        <f>IF(K371=$F$7,$G$2,IF(AND($O$9=$O$3,ROUNDDOWN(K371,0)=$F$2),$H$2,$G$2))</f>
        <v>　レベル　1</v>
      </c>
      <c r="L373" s="3153" t="s">
        <v>2445</v>
      </c>
      <c r="M373" s="3159"/>
      <c r="N373" s="3153" t="s">
        <v>2445</v>
      </c>
      <c r="O373" s="3171"/>
    </row>
    <row r="374" spans="2:15" ht="15.75" hidden="1" customHeight="1">
      <c r="B374" s="1">
        <v>3</v>
      </c>
      <c r="C374" s="1">
        <v>3</v>
      </c>
      <c r="D374" s="546"/>
      <c r="E374" s="543"/>
      <c r="F374" s="577" t="str">
        <f>IF(F371=$F$7,$G$3,IF(AND($O$9=$O$3,ROUNDDOWN(F371,0)=$F$3),$H$3,$G$3))</f>
        <v>　レベル　2</v>
      </c>
      <c r="G374" s="3157" t="s">
        <v>1818</v>
      </c>
      <c r="H374" s="3174"/>
      <c r="I374" s="584" t="s">
        <v>1818</v>
      </c>
      <c r="J374" s="1560"/>
      <c r="K374" s="577" t="str">
        <f>IF(K371=$F$7,$G$3,IF(AND($O$9=$O$3,ROUNDDOWN(K371,0)=$F$3),$H$3,$G$3))</f>
        <v>　レベル　2</v>
      </c>
      <c r="L374" s="3157" t="s">
        <v>1818</v>
      </c>
      <c r="M374" s="3158"/>
      <c r="N374" s="3157" t="s">
        <v>1818</v>
      </c>
      <c r="O374" s="3158"/>
    </row>
    <row r="375" spans="2:15" ht="42" hidden="1" customHeight="1">
      <c r="B375" s="1" t="s">
        <v>2418</v>
      </c>
      <c r="C375" s="1" t="s">
        <v>2418</v>
      </c>
      <c r="D375" s="546"/>
      <c r="E375" s="543"/>
      <c r="F375" s="577" t="str">
        <f>IF(F371=$F$7,$G$4,IF(AND($O$9=$O$3,ROUNDDOWN(F371,0)=$F$4),$H$4,$G$4))</f>
        <v>　レベル　3</v>
      </c>
      <c r="G375" s="3157" t="s">
        <v>2039</v>
      </c>
      <c r="H375" s="3174"/>
      <c r="I375" s="584" t="s">
        <v>2040</v>
      </c>
      <c r="J375" s="1560"/>
      <c r="K375" s="577" t="str">
        <f>IF(K371=$F$7,$G$4,IF(AND($O$9=$O$3,ROUNDDOWN(K371,0)=$F$4),$H$4,$G$4))</f>
        <v>　レベル　3</v>
      </c>
      <c r="L375" s="3157" t="s">
        <v>2446</v>
      </c>
      <c r="M375" s="3158"/>
      <c r="N375" s="3157" t="s">
        <v>2447</v>
      </c>
      <c r="O375" s="3158"/>
    </row>
    <row r="376" spans="2:15" ht="15.75" hidden="1" customHeight="1">
      <c r="B376" s="1">
        <v>5</v>
      </c>
      <c r="C376" s="1">
        <v>5</v>
      </c>
      <c r="D376" s="546"/>
      <c r="E376" s="543"/>
      <c r="F376" s="577" t="str">
        <f>IF(F371=$F$7,$G$5,IF(AND($O$9=$O$3,ROUNDDOWN(F371,0)=$F$5),$H$5,$G$5))</f>
        <v>　レベル　4</v>
      </c>
      <c r="G376" s="3157" t="s">
        <v>1818</v>
      </c>
      <c r="H376" s="3174"/>
      <c r="I376" s="584" t="s">
        <v>1818</v>
      </c>
      <c r="J376" s="1561"/>
      <c r="K376" s="577" t="str">
        <f>IF(K371=$F$7,$G$5,IF(AND($O$9=$O$3,ROUNDDOWN(K371,0)=$F$5),$H$5,$G$5))</f>
        <v>　レベル　4</v>
      </c>
      <c r="L376" s="3157" t="s">
        <v>1818</v>
      </c>
      <c r="M376" s="3158"/>
      <c r="N376" s="3157" t="s">
        <v>1818</v>
      </c>
      <c r="O376" s="3158"/>
    </row>
    <row r="377" spans="2:15" ht="45" hidden="1" customHeight="1">
      <c r="B377" s="594">
        <v>0</v>
      </c>
      <c r="C377" s="594">
        <v>0</v>
      </c>
      <c r="D377" s="546"/>
      <c r="E377" s="543"/>
      <c r="F377" s="587" t="str">
        <f>IF(F371=$F$7,$G$6,IF(AND($O$9=$O$3,ROUNDDOWN(F371,0)=$F$6),$H$6,$G$6))</f>
        <v>　レベル　5</v>
      </c>
      <c r="G377" s="3155" t="s">
        <v>2041</v>
      </c>
      <c r="H377" s="3179"/>
      <c r="I377" s="588" t="s">
        <v>1763</v>
      </c>
      <c r="J377" s="1553"/>
      <c r="K377" s="587" t="str">
        <f>IF(K371=$F$7,$G$6,IF(AND($O$9=$O$3,ROUNDDOWN(K371,0)=$F$6),$H$6,$G$6))</f>
        <v>　レベル　5</v>
      </c>
      <c r="L377" s="3155" t="s">
        <v>2448</v>
      </c>
      <c r="M377" s="3156"/>
      <c r="N377" s="3155" t="s">
        <v>2449</v>
      </c>
      <c r="O377" s="3156"/>
    </row>
    <row r="378" spans="2:15" ht="15.75" hidden="1" customHeight="1">
      <c r="D378" s="546"/>
      <c r="E378" s="543"/>
      <c r="F378" s="663"/>
      <c r="G378" s="661" t="s">
        <v>1053</v>
      </c>
      <c r="H378" s="571"/>
      <c r="I378" s="1563"/>
      <c r="J378" s="1565"/>
      <c r="K378" s="663"/>
      <c r="L378" s="675" t="s">
        <v>1053</v>
      </c>
      <c r="M378" s="675"/>
      <c r="N378" s="661"/>
      <c r="O378" s="571"/>
    </row>
    <row r="379" spans="2:15" ht="49.5" customHeight="1">
      <c r="D379" s="546"/>
      <c r="E379" s="543"/>
      <c r="F379" s="664" t="str">
        <f>IF(F371=$F$7,$G$2,IF(AND($O$9&lt;&gt;$O$3,ROUNDDOWN(F371,0)=$F$2),$H$2,$G$2))</f>
        <v>　レベル　1</v>
      </c>
      <c r="G379" s="3153" t="s">
        <v>2042</v>
      </c>
      <c r="H379" s="3171"/>
      <c r="I379" s="625" t="s">
        <v>2043</v>
      </c>
      <c r="J379" s="3219" t="s">
        <v>2605</v>
      </c>
      <c r="K379" s="664" t="str">
        <f>IF(K371=$F$7,$G$2,IF(AND($O$9&lt;&gt;$O$3,ROUNDDOWN(K371,0)=$F$2),$H$2,$G$2))</f>
        <v>　レベル　1</v>
      </c>
      <c r="L379" s="3153" t="s">
        <v>2445</v>
      </c>
      <c r="M379" s="3159"/>
      <c r="N379" s="3153" t="s">
        <v>2044</v>
      </c>
      <c r="O379" s="3171"/>
    </row>
    <row r="380" spans="2:15" ht="23.25" customHeight="1">
      <c r="D380" s="546"/>
      <c r="E380" s="543"/>
      <c r="F380" s="577" t="str">
        <f>IF(F371=$F$7,$G$3,IF(AND($O$9&lt;&gt;$O$3,ROUNDDOWN(F371,0)=$F$3),$H$3,$G$3))</f>
        <v>　レベル　2</v>
      </c>
      <c r="G380" s="3157" t="s">
        <v>1818</v>
      </c>
      <c r="H380" s="3163"/>
      <c r="I380" s="578"/>
      <c r="J380" s="3220"/>
      <c r="K380" s="577" t="str">
        <f>IF(K371=$F$7,$G$3,IF(AND($O$9&lt;&gt;$O$3,ROUNDDOWN(K371,0)=$F$3),$H$3,$G$3))</f>
        <v>　レベル　2</v>
      </c>
      <c r="L380" s="3157" t="s">
        <v>1818</v>
      </c>
      <c r="M380" s="3158"/>
      <c r="N380" s="3157" t="s">
        <v>1818</v>
      </c>
      <c r="O380" s="3158"/>
    </row>
    <row r="381" spans="2:15" ht="77.25" customHeight="1">
      <c r="D381" s="546"/>
      <c r="E381" s="543"/>
      <c r="F381" s="577" t="str">
        <f>IF(F371=$F$7,$G$4,IF(AND($O$9&lt;&gt;$O$3,ROUNDDOWN(F371,0)=$F$4),$H$4,$G$4))</f>
        <v>■レベル　3</v>
      </c>
      <c r="G381" s="3157" t="s">
        <v>2450</v>
      </c>
      <c r="H381" s="3158"/>
      <c r="I381" s="584" t="s">
        <v>2883</v>
      </c>
      <c r="J381" s="3220"/>
      <c r="K381" s="577" t="str">
        <f>IF(K371=$F$7,$G$4,IF(AND($O$9&lt;&gt;$O$3,ROUNDDOWN(K371,0)=$F$4),$H$4,$G$4))</f>
        <v>■レベル　3</v>
      </c>
      <c r="L381" s="3157" t="s">
        <v>169</v>
      </c>
      <c r="M381" s="3158"/>
      <c r="N381" s="3157" t="s">
        <v>1762</v>
      </c>
      <c r="O381" s="3158"/>
    </row>
    <row r="382" spans="2:15" ht="15.75" customHeight="1">
      <c r="D382" s="546"/>
      <c r="E382" s="543"/>
      <c r="F382" s="577" t="str">
        <f>IF(F371=$F$7,$G$5,IF(AND($O$9&lt;&gt;$O$3,ROUNDDOWN(F371,0)=$F$5),$H$5,$G$5))</f>
        <v>　レベル　4</v>
      </c>
      <c r="G382" s="3157" t="s">
        <v>1818</v>
      </c>
      <c r="H382" s="3163"/>
      <c r="I382" s="578"/>
      <c r="J382" s="3220"/>
      <c r="K382" s="577" t="str">
        <f>IF(K371=$F$7,$G$5,IF(AND($O$9&lt;&gt;$O$3,ROUNDDOWN(K371,0)=$F$5),$H$5,$G$5))</f>
        <v>　レベル　4</v>
      </c>
      <c r="L382" s="3157" t="s">
        <v>1818</v>
      </c>
      <c r="M382" s="3158"/>
      <c r="N382" s="3157" t="s">
        <v>1818</v>
      </c>
      <c r="O382" s="3158"/>
    </row>
    <row r="383" spans="2:15" ht="56.25" customHeight="1">
      <c r="D383" s="546"/>
      <c r="E383" s="543"/>
      <c r="F383" s="587" t="str">
        <f>IF(F371=$F$7,$G$6,IF(AND($O$9&lt;&gt;$O$3,ROUNDDOWN(F371,0)=$F$6),$H$6,$G$6))</f>
        <v>　レベル　5</v>
      </c>
      <c r="G383" s="3155" t="s">
        <v>1645</v>
      </c>
      <c r="H383" s="3156"/>
      <c r="I383" s="588" t="s">
        <v>1763</v>
      </c>
      <c r="J383" s="1561"/>
      <c r="K383" s="587" t="str">
        <f>IF(K371=$F$7,$G$6,IF(AND($O$9&lt;&gt;$O$3,ROUNDDOWN(K371,0)=$F$6),$H$6,$G$6))</f>
        <v>　レベル　5</v>
      </c>
      <c r="L383" s="3155" t="s">
        <v>2448</v>
      </c>
      <c r="M383" s="3156"/>
      <c r="N383" s="3155" t="s">
        <v>1646</v>
      </c>
      <c r="O383" s="3156"/>
    </row>
    <row r="384" spans="2:15" ht="15.75">
      <c r="D384" s="546"/>
      <c r="E384" s="149"/>
      <c r="F384" s="887" t="s">
        <v>3402</v>
      </c>
      <c r="G384" s="2423"/>
      <c r="H384" s="2399"/>
      <c r="I384" s="2396"/>
      <c r="J384" s="2397"/>
      <c r="K384" s="2400"/>
      <c r="L384" s="1281"/>
      <c r="M384"/>
      <c r="N384"/>
      <c r="O384"/>
    </row>
    <row r="385" spans="2:15" ht="15.75">
      <c r="D385" s="546"/>
      <c r="E385" s="149"/>
      <c r="F385" s="149"/>
      <c r="G385"/>
      <c r="H385"/>
      <c r="I385"/>
      <c r="J385"/>
      <c r="K385"/>
      <c r="L385"/>
      <c r="M385"/>
      <c r="N385"/>
      <c r="O385"/>
    </row>
    <row r="386" spans="2:15" ht="15.75">
      <c r="D386" s="542">
        <v>4</v>
      </c>
      <c r="E386" s="553" t="s">
        <v>832</v>
      </c>
      <c r="F386" s="553"/>
      <c r="G386"/>
      <c r="H386"/>
      <c r="I386"/>
      <c r="J386"/>
      <c r="K386"/>
      <c r="L386"/>
      <c r="M386"/>
      <c r="N386"/>
      <c r="O386"/>
    </row>
    <row r="387" spans="2:15" ht="15.75">
      <c r="D387" s="542">
        <v>4.0999999999999996</v>
      </c>
      <c r="E387" s="553" t="s">
        <v>1647</v>
      </c>
      <c r="F387" s="552"/>
      <c r="G387"/>
      <c r="H387"/>
      <c r="I387"/>
      <c r="J387"/>
      <c r="K387"/>
      <c r="L387"/>
      <c r="M387"/>
      <c r="N387"/>
      <c r="O387"/>
    </row>
    <row r="388" spans="2:15" ht="15.75">
      <c r="D388" s="546"/>
      <c r="E388" s="63"/>
      <c r="F388" s="554" t="s">
        <v>1648</v>
      </c>
      <c r="G388"/>
      <c r="H388"/>
      <c r="I388"/>
      <c r="J388" t="str">
        <f>IF(OR(F390=0,AND(J389=0,O389=0)),$L$3,"")</f>
        <v/>
      </c>
      <c r="K388"/>
      <c r="L388"/>
      <c r="M388"/>
      <c r="N388"/>
      <c r="O388"/>
    </row>
    <row r="389" spans="2:15" ht="16.5" thickBot="1">
      <c r="D389" s="546"/>
      <c r="E389" s="63"/>
      <c r="F389" s="558" t="s">
        <v>1219</v>
      </c>
      <c r="G389" s="559"/>
      <c r="H389" s="560"/>
      <c r="I389" s="561" t="s">
        <v>1141</v>
      </c>
      <c r="J389" s="564">
        <f>重み!M50</f>
        <v>1</v>
      </c>
      <c r="K389" s="558" t="s">
        <v>1638</v>
      </c>
      <c r="L389" s="559"/>
      <c r="M389" s="560"/>
      <c r="N389" s="561" t="s">
        <v>1141</v>
      </c>
      <c r="O389" s="564">
        <f>重み!N50</f>
        <v>0</v>
      </c>
    </row>
    <row r="390" spans="2:15" ht="27" customHeight="1" thickBot="1">
      <c r="D390" s="546"/>
      <c r="E390" s="63"/>
      <c r="F390" s="565">
        <v>3</v>
      </c>
      <c r="G390" s="661" t="s">
        <v>1649</v>
      </c>
      <c r="H390" s="571"/>
      <c r="I390" s="2003" t="s">
        <v>1220</v>
      </c>
      <c r="J390" s="2004"/>
      <c r="K390" s="565">
        <v>3</v>
      </c>
      <c r="L390" s="661" t="s">
        <v>1650</v>
      </c>
      <c r="M390" s="571"/>
      <c r="N390" s="661"/>
      <c r="O390" s="666"/>
    </row>
    <row r="391" spans="2:15" ht="19.5" customHeight="1">
      <c r="B391" s="1" t="s">
        <v>1817</v>
      </c>
      <c r="C391" s="1" t="s">
        <v>1817</v>
      </c>
      <c r="D391" s="546"/>
      <c r="E391" s="63"/>
      <c r="F391" s="572" t="str">
        <f>IF(F390=$F$7,$G$2,IF(ROUNDDOWN(F390,0)=$F$2,$H$2,$G$2))</f>
        <v>　レベル　1</v>
      </c>
      <c r="G391" s="3153" t="s">
        <v>1818</v>
      </c>
      <c r="H391" s="3171"/>
      <c r="I391" s="3221" t="s">
        <v>369</v>
      </c>
      <c r="J391" s="3222"/>
      <c r="K391" s="572" t="str">
        <f>IF(K390=$F$7,$G$2,IF(ROUNDDOWN(K390,0)=$F$2,$H$2,$G$2))</f>
        <v>　レベル　1</v>
      </c>
      <c r="L391" s="3157" t="s">
        <v>1818</v>
      </c>
      <c r="M391" s="3163"/>
      <c r="N391" s="3163"/>
      <c r="O391" s="3158"/>
    </row>
    <row r="392" spans="2:15" ht="19.5" customHeight="1">
      <c r="B392" s="1" t="s">
        <v>1817</v>
      </c>
      <c r="C392" s="1" t="s">
        <v>1817</v>
      </c>
      <c r="D392" s="546"/>
      <c r="E392" s="63"/>
      <c r="F392" s="577" t="str">
        <f>IF(F390=$F$7,$G$3,IF(ROUNDDOWN(F390,0)=$F$3,$H$3,$G$3))</f>
        <v>　レベル　2</v>
      </c>
      <c r="G392" s="3157" t="s">
        <v>1818</v>
      </c>
      <c r="H392" s="3158"/>
      <c r="I392" s="3221" t="s">
        <v>1818</v>
      </c>
      <c r="J392" s="3223"/>
      <c r="K392" s="577" t="str">
        <f>IF(K390=$F$7,$G$3,IF(ROUNDDOWN(K390,0)=$F$3,$H$3,$G$3))</f>
        <v>　レベル　2</v>
      </c>
      <c r="L392" s="3157" t="s">
        <v>1818</v>
      </c>
      <c r="M392" s="3174"/>
      <c r="N392" s="3174"/>
      <c r="O392" s="3201"/>
    </row>
    <row r="393" spans="2:15" ht="27" customHeight="1">
      <c r="B393" s="1">
        <v>3</v>
      </c>
      <c r="C393" s="1">
        <v>3</v>
      </c>
      <c r="D393" s="546"/>
      <c r="E393" s="63"/>
      <c r="F393" s="577" t="str">
        <f>IF(F390=$F$7,$G$4,IF(ROUNDDOWN(F390,0)=$F$4,$H$4,$G$4))</f>
        <v>■レベル　3</v>
      </c>
      <c r="G393" s="3157" t="s">
        <v>1652</v>
      </c>
      <c r="H393" s="3158"/>
      <c r="I393" s="3221" t="s">
        <v>1653</v>
      </c>
      <c r="J393" s="3222"/>
      <c r="K393" s="577" t="str">
        <f>IF(K390=$F$7,$G$4,IF(ROUNDDOWN(K390,0)=$F$4,$H$4,$G$4))</f>
        <v>■レベル　3</v>
      </c>
      <c r="L393" s="3157" t="s">
        <v>1652</v>
      </c>
      <c r="M393" s="3163"/>
      <c r="N393" s="3163"/>
      <c r="O393" s="3158"/>
    </row>
    <row r="394" spans="2:15" ht="93.75" customHeight="1">
      <c r="B394" s="1">
        <v>4</v>
      </c>
      <c r="C394" s="1">
        <v>4</v>
      </c>
      <c r="D394" s="546"/>
      <c r="E394" s="63"/>
      <c r="F394" s="577" t="str">
        <f>IF(F390=$F$7,$G$5,IF(ROUNDDOWN(F390,0)=$F$5,$H$5,$G$5))</f>
        <v>　レベル　4</v>
      </c>
      <c r="G394" s="3157" t="s">
        <v>1654</v>
      </c>
      <c r="H394" s="3158"/>
      <c r="I394" s="3221" t="s">
        <v>1221</v>
      </c>
      <c r="J394" s="3222"/>
      <c r="K394" s="577" t="str">
        <f>IF(K390=$F$7,$G$5,IF(ROUNDDOWN(K390,0)=$F$5,$H$5,$G$5))</f>
        <v>　レベル　4</v>
      </c>
      <c r="L394" s="3157" t="s">
        <v>1222</v>
      </c>
      <c r="M394" s="3163"/>
      <c r="N394" s="3163"/>
      <c r="O394" s="3158"/>
    </row>
    <row r="395" spans="2:15" ht="126.75" customHeight="1">
      <c r="B395" s="1">
        <v>5</v>
      </c>
      <c r="C395" s="1">
        <v>5</v>
      </c>
      <c r="D395" s="546"/>
      <c r="E395" s="63"/>
      <c r="F395" s="587" t="str">
        <f>IF(F390=$F$7,$G$6,IF(ROUNDDOWN(F390,0)=$F$6,$H$6,$G$6))</f>
        <v>　レベル　5</v>
      </c>
      <c r="G395" s="3155" t="s">
        <v>1223</v>
      </c>
      <c r="H395" s="3156"/>
      <c r="I395" s="3224" t="s">
        <v>1224</v>
      </c>
      <c r="J395" s="3225"/>
      <c r="K395" s="587" t="str">
        <f>IF(K390=$F$7,$G$6,IF(ROUNDDOWN(K390,0)=$F$6,$H$6,$G$6))</f>
        <v>　レベル　5</v>
      </c>
      <c r="L395" s="3155" t="s">
        <v>1223</v>
      </c>
      <c r="M395" s="3162"/>
      <c r="N395" s="3162"/>
      <c r="O395" s="3156"/>
    </row>
    <row r="396" spans="2:15" ht="15.75">
      <c r="B396" s="594">
        <v>0</v>
      </c>
      <c r="C396" s="594">
        <v>0</v>
      </c>
      <c r="D396" s="546"/>
      <c r="E396" s="433"/>
      <c r="F396" s="887" t="s">
        <v>3402</v>
      </c>
      <c r="G396" s="2423"/>
      <c r="H396" s="2399"/>
      <c r="I396" s="2396"/>
      <c r="J396" s="2397"/>
      <c r="K396" s="2400"/>
      <c r="L396" s="1281"/>
      <c r="M396"/>
      <c r="N396"/>
      <c r="O396"/>
    </row>
    <row r="397" spans="2:15" ht="15.75">
      <c r="B397" s="918"/>
      <c r="C397" s="918"/>
      <c r="D397" s="546"/>
      <c r="E397" s="433"/>
      <c r="F397" s="433"/>
      <c r="G397"/>
      <c r="H397"/>
      <c r="I397"/>
      <c r="J397"/>
      <c r="K397"/>
      <c r="L397"/>
      <c r="M397"/>
      <c r="N397"/>
      <c r="O397"/>
    </row>
    <row r="398" spans="2:15" ht="15.75">
      <c r="D398" s="546"/>
      <c r="E398" s="550"/>
      <c r="F398" s="554" t="s">
        <v>1655</v>
      </c>
      <c r="G398"/>
      <c r="H398"/>
      <c r="I398"/>
      <c r="J398" t="str">
        <f>IF(OR(F400=0,AND(J399=0,O399=0)),$L$3,"")</f>
        <v>&lt;評価しない&gt;</v>
      </c>
      <c r="K398"/>
      <c r="L398"/>
      <c r="M398"/>
      <c r="N398"/>
      <c r="O398"/>
    </row>
    <row r="399" spans="2:15" ht="15.75" hidden="1">
      <c r="B399" s="713" t="s">
        <v>1656</v>
      </c>
      <c r="C399" s="713"/>
      <c r="D399" s="546"/>
      <c r="E399" s="550"/>
      <c r="F399" s="558" t="s">
        <v>2403</v>
      </c>
      <c r="G399" s="559"/>
      <c r="H399" s="560"/>
      <c r="I399" s="561" t="s">
        <v>1141</v>
      </c>
      <c r="J399" s="564">
        <f>重み!M51</f>
        <v>0</v>
      </c>
      <c r="K399" s="558" t="s">
        <v>1638</v>
      </c>
      <c r="L399" s="559"/>
      <c r="M399" s="560"/>
      <c r="N399" s="561" t="s">
        <v>1141</v>
      </c>
      <c r="O399" s="564">
        <f>重み!N51</f>
        <v>0</v>
      </c>
    </row>
    <row r="400" spans="2:15" ht="16.5" hidden="1" thickBot="1">
      <c r="D400" s="546"/>
      <c r="E400" s="550"/>
      <c r="F400" s="565">
        <v>0</v>
      </c>
      <c r="G400" s="661" t="s">
        <v>1225</v>
      </c>
      <c r="H400" s="570"/>
      <c r="I400" s="680"/>
      <c r="J400" s="571"/>
      <c r="K400" s="565">
        <v>0</v>
      </c>
      <c r="L400" s="661" t="s">
        <v>1650</v>
      </c>
      <c r="M400" s="571"/>
      <c r="N400" s="661"/>
      <c r="O400" s="666"/>
    </row>
    <row r="401" spans="2:15" ht="15.75" hidden="1">
      <c r="B401" s="1">
        <v>1</v>
      </c>
      <c r="C401" s="1">
        <v>1</v>
      </c>
      <c r="D401" s="546"/>
      <c r="E401" s="671"/>
      <c r="F401" s="572" t="str">
        <f>IF(F400=$F$7,$G$2,IF(ROUNDDOWN(F400,0)=$F$2,$H$2,$G$2))</f>
        <v>　レベル　1</v>
      </c>
      <c r="G401" s="3157" t="s">
        <v>174</v>
      </c>
      <c r="H401" s="3163"/>
      <c r="I401" s="3163"/>
      <c r="J401" s="3158"/>
      <c r="K401" s="572" t="str">
        <f>IF(K400=$F$7,$G$2,IF(ROUNDDOWN(K400,0)=$F$2,$H$2,$G$2))</f>
        <v>　レベル　1</v>
      </c>
      <c r="L401" s="3157" t="s">
        <v>174</v>
      </c>
      <c r="M401" s="3163"/>
      <c r="N401" s="3163"/>
      <c r="O401" s="3158"/>
    </row>
    <row r="402" spans="2:15" ht="15.75" hidden="1">
      <c r="B402" s="1">
        <v>2</v>
      </c>
      <c r="C402" s="1">
        <v>2</v>
      </c>
      <c r="D402" s="546"/>
      <c r="E402" s="671"/>
      <c r="F402" s="577" t="str">
        <f>IF(F400=$F$7,$G$3,IF(ROUNDDOWN(F400,0)=$F$3,$H$3,$G$3))</f>
        <v>　レベル　2</v>
      </c>
      <c r="G402" s="3157" t="s">
        <v>1657</v>
      </c>
      <c r="H402" s="3163"/>
      <c r="I402" s="3163"/>
      <c r="J402" s="3158"/>
      <c r="K402" s="577" t="str">
        <f>IF(K400=$F$7,$G$3,IF(ROUNDDOWN(K400,0)=$F$3,$H$3,$G$3))</f>
        <v>　レベル　2</v>
      </c>
      <c r="L402" s="3157" t="s">
        <v>1657</v>
      </c>
      <c r="M402" s="3163"/>
      <c r="N402" s="3163"/>
      <c r="O402" s="3158"/>
    </row>
    <row r="403" spans="2:15" ht="15.75" hidden="1">
      <c r="B403" s="1">
        <v>3</v>
      </c>
      <c r="C403" s="1">
        <v>3</v>
      </c>
      <c r="D403" s="546"/>
      <c r="E403" s="671"/>
      <c r="F403" s="577" t="str">
        <f>IF(F400=$F$7,$G$4,IF(ROUNDDOWN(F400,0)=$F$4,$H$4,$G$4))</f>
        <v>　レベル　3</v>
      </c>
      <c r="G403" s="3157" t="s">
        <v>1658</v>
      </c>
      <c r="H403" s="3163"/>
      <c r="I403" s="3163"/>
      <c r="J403" s="3158"/>
      <c r="K403" s="577" t="str">
        <f>IF(K400=$F$7,$G$4,IF(ROUNDDOWN(K400,0)=$F$4,$H$4,$G$4))</f>
        <v>　レベル　3</v>
      </c>
      <c r="L403" s="3157" t="s">
        <v>1658</v>
      </c>
      <c r="M403" s="3174"/>
      <c r="N403" s="3174"/>
      <c r="O403" s="3201"/>
    </row>
    <row r="404" spans="2:15" ht="15.75" hidden="1">
      <c r="B404" s="1" t="s">
        <v>1817</v>
      </c>
      <c r="C404" s="1" t="s">
        <v>1817</v>
      </c>
      <c r="D404" s="546"/>
      <c r="E404" s="671"/>
      <c r="F404" s="577" t="str">
        <f>IF(F400=$F$7,$G$5,IF(ROUNDDOWN(F400,0)=$F$5,$H$5,$G$5))</f>
        <v>　レベル　4</v>
      </c>
      <c r="G404" s="3157" t="s">
        <v>1818</v>
      </c>
      <c r="H404" s="3163"/>
      <c r="I404" s="3163"/>
      <c r="J404" s="3158"/>
      <c r="K404" s="577" t="str">
        <f>IF(K400=$F$7,$G$5,IF(ROUNDDOWN(K400,0)=$F$5,$H$5,$G$5))</f>
        <v>　レベル　4</v>
      </c>
      <c r="L404" s="3157" t="s">
        <v>1818</v>
      </c>
      <c r="M404" s="3163"/>
      <c r="N404" s="3163"/>
      <c r="O404" s="3158"/>
    </row>
    <row r="405" spans="2:15" ht="15.75" hidden="1">
      <c r="B405" s="1" t="s">
        <v>1817</v>
      </c>
      <c r="C405" s="1" t="s">
        <v>1817</v>
      </c>
      <c r="D405" s="546"/>
      <c r="E405" s="671"/>
      <c r="F405" s="587" t="str">
        <f>IF(F400=$F$7,$G$6,IF(ROUNDDOWN(F400,0)=$F$6,$H$6,$G$6))</f>
        <v>　レベル　5</v>
      </c>
      <c r="G405" s="3155" t="s">
        <v>1818</v>
      </c>
      <c r="H405" s="3162"/>
      <c r="I405" s="3162"/>
      <c r="J405" s="3156"/>
      <c r="K405" s="587" t="str">
        <f>IF(K400=$F$7,$G$6,IF(ROUNDDOWN(K400,0)=$F$6,$H$6,$G$6))</f>
        <v>　レベル　5</v>
      </c>
      <c r="L405" s="3157" t="s">
        <v>1818</v>
      </c>
      <c r="M405" s="3163"/>
      <c r="N405" s="3163"/>
      <c r="O405" s="3158"/>
    </row>
    <row r="406" spans="2:15" ht="15.75" hidden="1">
      <c r="B406" s="594">
        <v>0</v>
      </c>
      <c r="C406" s="594">
        <v>0</v>
      </c>
      <c r="D406" s="546"/>
      <c r="E406" s="433"/>
      <c r="F406" s="433"/>
      <c r="G406" s="617"/>
      <c r="H406" s="617"/>
      <c r="I406" s="617"/>
      <c r="J406" s="617"/>
      <c r="K406" s="617"/>
      <c r="L406" s="617"/>
      <c r="M406" s="617"/>
      <c r="N406" s="617"/>
      <c r="O406" s="617"/>
    </row>
    <row r="407" spans="2:15" ht="15.75" hidden="1">
      <c r="D407" s="546"/>
      <c r="E407" s="433"/>
      <c r="F407" s="1437" t="s">
        <v>1659</v>
      </c>
      <c r="G407" s="618"/>
      <c r="H407" s="660"/>
      <c r="I407" s="644"/>
      <c r="J407" s="621" t="str">
        <f>IF(OR(F409=0,AND(J408=0,O408=0)),$L$3,"")</f>
        <v>&lt;評価しない&gt;</v>
      </c>
      <c r="K407" s="688"/>
      <c r="L407" s="618"/>
      <c r="M407" s="660"/>
      <c r="N407" s="644"/>
      <c r="O407" s="621"/>
    </row>
    <row r="408" spans="2:15" ht="15.75" hidden="1">
      <c r="D408" s="546"/>
      <c r="E408" s="433"/>
      <c r="F408" s="558" t="s">
        <v>1243</v>
      </c>
      <c r="G408" s="559"/>
      <c r="H408" s="560"/>
      <c r="I408" s="561" t="s">
        <v>1141</v>
      </c>
      <c r="J408" s="564">
        <f>重み!M52</f>
        <v>0</v>
      </c>
      <c r="K408" s="558" t="s">
        <v>1638</v>
      </c>
      <c r="L408" s="559"/>
      <c r="M408" s="560"/>
      <c r="N408" s="561" t="s">
        <v>1141</v>
      </c>
      <c r="O408" s="564">
        <f>重み!N52</f>
        <v>0</v>
      </c>
    </row>
    <row r="409" spans="2:15" ht="16.5" hidden="1" thickBot="1">
      <c r="D409" s="546"/>
      <c r="E409" s="433"/>
      <c r="F409" s="565">
        <v>0</v>
      </c>
      <c r="G409" s="666" t="s">
        <v>1660</v>
      </c>
      <c r="H409" s="666"/>
      <c r="I409" s="729" t="s">
        <v>175</v>
      </c>
      <c r="J409" s="730"/>
      <c r="K409" s="565">
        <v>0</v>
      </c>
      <c r="L409" s="661" t="s">
        <v>752</v>
      </c>
      <c r="M409" s="571"/>
      <c r="N409" s="661"/>
      <c r="O409" s="666"/>
    </row>
    <row r="410" spans="2:15" ht="15.75" hidden="1">
      <c r="B410" s="1">
        <v>1</v>
      </c>
      <c r="C410" s="1">
        <v>1</v>
      </c>
      <c r="D410" s="546"/>
      <c r="E410" s="433"/>
      <c r="F410" s="572" t="str">
        <f>IF(F409=$F$7,$G$2,IF(ROUNDDOWN(F409,0)=$F$2,$H$2,$G$2))</f>
        <v>　レベル　1</v>
      </c>
      <c r="G410" s="3229" t="s">
        <v>176</v>
      </c>
      <c r="H410" s="3230"/>
      <c r="I410" s="3226" t="s">
        <v>176</v>
      </c>
      <c r="J410" s="3227"/>
      <c r="K410" s="572" t="str">
        <f>IF(K409=$F$7,$G$2,IF(ROUNDDOWN(K409,0)=$F$2,$H$2,$G$2))</f>
        <v>　レベル　1</v>
      </c>
      <c r="L410" s="3153" t="s">
        <v>335</v>
      </c>
      <c r="M410" s="3173"/>
      <c r="N410" s="3173"/>
      <c r="O410" s="3159"/>
    </row>
    <row r="411" spans="2:15" ht="15.75" hidden="1">
      <c r="B411" s="1" t="s">
        <v>177</v>
      </c>
      <c r="C411" s="1" t="s">
        <v>177</v>
      </c>
      <c r="D411" s="546"/>
      <c r="E411" s="433"/>
      <c r="F411" s="577" t="str">
        <f>IF(F409=$F$7,$G$3,IF(ROUNDDOWN(F409,0)=$F$3,$H$3,$G$3))</f>
        <v>　レベル　2</v>
      </c>
      <c r="G411" s="3157" t="s">
        <v>1818</v>
      </c>
      <c r="H411" s="3201"/>
      <c r="I411" s="3226" t="s">
        <v>1818</v>
      </c>
      <c r="J411" s="3228"/>
      <c r="K411" s="577" t="str">
        <f>IF(K409=$F$7,$G$3,IF(ROUNDDOWN(K409,0)=$F$3,$H$3,$G$3))</f>
        <v>　レベル　2</v>
      </c>
      <c r="L411" s="3191" t="s">
        <v>1818</v>
      </c>
      <c r="M411" s="3192"/>
      <c r="N411" s="3192"/>
      <c r="O411" s="3193"/>
    </row>
    <row r="412" spans="2:15" ht="15.75" hidden="1">
      <c r="B412" s="1">
        <v>3</v>
      </c>
      <c r="C412" s="1">
        <v>3</v>
      </c>
      <c r="D412" s="546"/>
      <c r="E412" s="433"/>
      <c r="F412" s="577" t="str">
        <f>IF(F409=$F$7,$G$4,IF(ROUNDDOWN(F409,0)=$F$4,$H$4,$G$4))</f>
        <v>　レベル　3</v>
      </c>
      <c r="G412" s="3157" t="s">
        <v>1661</v>
      </c>
      <c r="H412" s="3201"/>
      <c r="I412" s="3226" t="s">
        <v>178</v>
      </c>
      <c r="J412" s="3227"/>
      <c r="K412" s="577" t="str">
        <f>IF(K409=$F$7,$G$4,IF(ROUNDDOWN(K409,0)=$F$4,$H$4,$G$4))</f>
        <v>　レベル　3</v>
      </c>
      <c r="L412" s="3191" t="s">
        <v>179</v>
      </c>
      <c r="M412" s="3192"/>
      <c r="N412" s="3192"/>
      <c r="O412" s="3193"/>
    </row>
    <row r="413" spans="2:15" ht="15.75" hidden="1">
      <c r="B413" s="1">
        <v>4</v>
      </c>
      <c r="C413" s="1">
        <v>4</v>
      </c>
      <c r="D413" s="546"/>
      <c r="E413" s="433"/>
      <c r="F413" s="577" t="str">
        <f>IF(F409=$F$7,$G$5,IF(ROUNDDOWN(F409,0)=$F$5,$H$5,$G$5))</f>
        <v>　レベル　4</v>
      </c>
      <c r="G413" s="3157" t="s">
        <v>180</v>
      </c>
      <c r="H413" s="3201"/>
      <c r="I413" s="3226" t="s">
        <v>1818</v>
      </c>
      <c r="J413" s="3227"/>
      <c r="K413" s="577" t="str">
        <f>IF(K409=$F$7,$G$5,IF(ROUNDDOWN(K409,0)=$F$5,$H$5,$G$5))</f>
        <v>　レベル　4</v>
      </c>
      <c r="L413" s="3191" t="s">
        <v>180</v>
      </c>
      <c r="M413" s="3192"/>
      <c r="N413" s="3192"/>
      <c r="O413" s="3193"/>
    </row>
    <row r="414" spans="2:15" ht="15.75" hidden="1">
      <c r="B414" s="1">
        <v>5</v>
      </c>
      <c r="C414" s="1">
        <v>5</v>
      </c>
      <c r="D414" s="546"/>
      <c r="E414" s="433"/>
      <c r="F414" s="587" t="str">
        <f>IF(F409=$F$7,$G$6,IF(ROUNDDOWN(F409,0)=$F$6,$H$6,$G$6))</f>
        <v>　レベル　5</v>
      </c>
      <c r="G414" s="3231" t="s">
        <v>181</v>
      </c>
      <c r="H414" s="3232"/>
      <c r="I414" s="3233" t="s">
        <v>863</v>
      </c>
      <c r="J414" s="3234"/>
      <c r="K414" s="587" t="str">
        <f>IF(K409=$F$7,$G$6,IF(ROUNDDOWN(K409,0)=$F$6,$H$6,$G$6))</f>
        <v>　レベル　5</v>
      </c>
      <c r="L414" s="3182" t="s">
        <v>181</v>
      </c>
      <c r="M414" s="3202"/>
      <c r="N414" s="3202"/>
      <c r="O414" s="3203"/>
    </row>
    <row r="415" spans="2:15" ht="15.75" hidden="1">
      <c r="B415" s="594">
        <v>0</v>
      </c>
      <c r="C415" s="594">
        <v>0</v>
      </c>
      <c r="D415" s="546"/>
      <c r="E415" s="63"/>
      <c r="F415" s="63"/>
      <c r="G415" s="665"/>
      <c r="H415" s="665"/>
      <c r="I415" s="665"/>
      <c r="J415" s="665"/>
      <c r="K415" s="665"/>
      <c r="L415" s="665"/>
      <c r="M415" s="665"/>
      <c r="N415" s="665"/>
      <c r="O415" s="665"/>
    </row>
    <row r="416" spans="2:15" ht="15.75" hidden="1">
      <c r="D416" s="546"/>
      <c r="E416" s="550"/>
      <c r="F416" s="1437" t="s">
        <v>1662</v>
      </c>
      <c r="G416" s="618"/>
      <c r="H416" s="660"/>
      <c r="I416" s="644"/>
      <c r="J416" s="621" t="str">
        <f>IF(OR(F418=0,AND(J417=0,O417=0)),$L$3,"")</f>
        <v>&lt;評価しない&gt;</v>
      </c>
      <c r="K416" s="688"/>
      <c r="L416" s="618"/>
      <c r="M416" s="660"/>
      <c r="N416" s="644"/>
      <c r="O416" s="621"/>
    </row>
    <row r="417" spans="2:15" ht="15.75" hidden="1">
      <c r="D417" s="546"/>
      <c r="E417" s="550"/>
      <c r="F417" s="558" t="s">
        <v>270</v>
      </c>
      <c r="G417" s="559"/>
      <c r="H417" s="560"/>
      <c r="I417" s="561" t="s">
        <v>1141</v>
      </c>
      <c r="J417" s="564">
        <f>重み!M53</f>
        <v>0</v>
      </c>
      <c r="K417" s="558" t="s">
        <v>1638</v>
      </c>
      <c r="L417" s="559"/>
      <c r="M417" s="560"/>
      <c r="N417" s="561" t="s">
        <v>1141</v>
      </c>
      <c r="O417" s="564">
        <f>重み!N53</f>
        <v>0</v>
      </c>
    </row>
    <row r="418" spans="2:15" ht="16.5" hidden="1" thickBot="1">
      <c r="D418" s="546"/>
      <c r="E418" s="550"/>
      <c r="F418" s="565">
        <v>0</v>
      </c>
      <c r="G418" s="661" t="s">
        <v>1663</v>
      </c>
      <c r="H418" s="570"/>
      <c r="I418" s="680"/>
      <c r="J418" s="571"/>
      <c r="K418" s="565">
        <v>0</v>
      </c>
      <c r="L418" s="661" t="s">
        <v>752</v>
      </c>
      <c r="M418" s="571"/>
      <c r="N418" s="661"/>
      <c r="O418" s="666"/>
    </row>
    <row r="419" spans="2:15" ht="15.75" hidden="1">
      <c r="B419" s="1">
        <v>1</v>
      </c>
      <c r="C419" s="1">
        <v>1</v>
      </c>
      <c r="D419" s="546"/>
      <c r="E419" s="671"/>
      <c r="F419" s="572" t="str">
        <f>IF(F418=$F$7,$G$2,IF(ROUNDDOWN(F418,0)=$F$2,$H$2,$G$2))</f>
        <v>　レベル　1</v>
      </c>
      <c r="G419" s="3153" t="s">
        <v>335</v>
      </c>
      <c r="H419" s="3173"/>
      <c r="I419" s="3173"/>
      <c r="J419" s="3159"/>
      <c r="K419" s="572" t="str">
        <f>IF(K418=$F$7,$G$2,IF(ROUNDDOWN(K418,0)=$F$2,$H$2,$G$2))</f>
        <v>　レベル　1</v>
      </c>
      <c r="L419" s="3153" t="s">
        <v>335</v>
      </c>
      <c r="M419" s="3173"/>
      <c r="N419" s="3173"/>
      <c r="O419" s="3159"/>
    </row>
    <row r="420" spans="2:15" ht="15.75" hidden="1">
      <c r="B420" s="1" t="s">
        <v>177</v>
      </c>
      <c r="C420" s="1" t="s">
        <v>177</v>
      </c>
      <c r="D420" s="546"/>
      <c r="E420" s="671"/>
      <c r="F420" s="577" t="str">
        <f>IF(F418=$F$7,$G$3,IF(ROUNDDOWN(F418,0)=$F$3,$H$3,$G$3))</f>
        <v>　レベル　2</v>
      </c>
      <c r="G420" s="3157" t="s">
        <v>1818</v>
      </c>
      <c r="H420" s="3163"/>
      <c r="I420" s="3163"/>
      <c r="J420" s="3158"/>
      <c r="K420" s="577" t="str">
        <f>IF(K418=$F$7,$G$3,IF(ROUNDDOWN(K418,0)=$F$3,$H$3,$G$3))</f>
        <v>　レベル　2</v>
      </c>
      <c r="L420" s="3191" t="s">
        <v>1818</v>
      </c>
      <c r="M420" s="3192"/>
      <c r="N420" s="3192"/>
      <c r="O420" s="3193"/>
    </row>
    <row r="421" spans="2:15" ht="15.75" hidden="1">
      <c r="B421" s="1">
        <v>3</v>
      </c>
      <c r="C421" s="1">
        <v>3</v>
      </c>
      <c r="D421" s="546"/>
      <c r="E421" s="671"/>
      <c r="F421" s="577" t="str">
        <f>IF(F418=$F$7,$G$4,IF(ROUNDDOWN(F418,0)=$F$4,$H$4,$G$4))</f>
        <v>　レベル　3</v>
      </c>
      <c r="G421" s="3157" t="s">
        <v>1664</v>
      </c>
      <c r="H421" s="3163"/>
      <c r="I421" s="3163"/>
      <c r="J421" s="3158"/>
      <c r="K421" s="577" t="str">
        <f>IF(K418=$F$7,$G$4,IF(ROUNDDOWN(K418,0)=$F$4,$H$4,$G$4))</f>
        <v>　レベル　3</v>
      </c>
      <c r="L421" s="3191" t="s">
        <v>864</v>
      </c>
      <c r="M421" s="3192"/>
      <c r="N421" s="3192"/>
      <c r="O421" s="3193"/>
    </row>
    <row r="422" spans="2:15" ht="15.75" hidden="1">
      <c r="B422" s="1">
        <v>4</v>
      </c>
      <c r="C422" s="1">
        <v>4</v>
      </c>
      <c r="D422" s="546"/>
      <c r="E422" s="671"/>
      <c r="F422" s="577" t="str">
        <f>IF(F418=$F$7,$G$5,IF(ROUNDDOWN(F418,0)=$F$5,$H$5,$G$5))</f>
        <v>　レベル　4</v>
      </c>
      <c r="G422" s="3157" t="s">
        <v>1091</v>
      </c>
      <c r="H422" s="3163"/>
      <c r="I422" s="3163"/>
      <c r="J422" s="3158"/>
      <c r="K422" s="577" t="str">
        <f>IF(K418=$F$7,$G$5,IF(ROUNDDOWN(K418,0)=$F$5,$H$5,$G$5))</f>
        <v>　レベル　4</v>
      </c>
      <c r="L422" s="3191" t="s">
        <v>865</v>
      </c>
      <c r="M422" s="3192"/>
      <c r="N422" s="3192"/>
      <c r="O422" s="3193"/>
    </row>
    <row r="423" spans="2:15" ht="15.75" hidden="1">
      <c r="B423" s="1">
        <v>5</v>
      </c>
      <c r="C423" s="1">
        <v>5</v>
      </c>
      <c r="D423" s="546"/>
      <c r="E423" s="671"/>
      <c r="F423" s="587" t="str">
        <f>IF(F418=$F$7,$G$6,IF(ROUNDDOWN(F418,0)=$F$6,$H$6,$G$6))</f>
        <v>　レベル　5</v>
      </c>
      <c r="G423" s="3155" t="s">
        <v>12</v>
      </c>
      <c r="H423" s="3162"/>
      <c r="I423" s="3162"/>
      <c r="J423" s="3156"/>
      <c r="K423" s="587" t="str">
        <f>IF(K418=$F$7,$G$6,IF(ROUNDDOWN(K418,0)=$F$6,$H$6,$G$6))</f>
        <v>　レベル　5</v>
      </c>
      <c r="L423" s="3182" t="s">
        <v>12</v>
      </c>
      <c r="M423" s="3202"/>
      <c r="N423" s="3202"/>
      <c r="O423" s="3203"/>
    </row>
    <row r="424" spans="2:15" ht="15.75" hidden="1">
      <c r="B424" s="594">
        <v>0</v>
      </c>
      <c r="C424" s="594">
        <v>0</v>
      </c>
      <c r="D424" s="546"/>
      <c r="E424" s="433"/>
      <c r="F424" s="887" t="s">
        <v>3402</v>
      </c>
      <c r="G424" s="2423"/>
      <c r="H424" s="2399"/>
      <c r="I424" s="2396"/>
      <c r="J424" s="2397"/>
      <c r="K424" s="2400" t="s">
        <v>3403</v>
      </c>
      <c r="L424" s="1281"/>
      <c r="M424"/>
      <c r="N424"/>
      <c r="O424"/>
    </row>
    <row r="425" spans="2:15" ht="15.75">
      <c r="B425" s="918"/>
      <c r="C425" s="918"/>
      <c r="D425" s="546"/>
      <c r="E425" s="433"/>
      <c r="F425" s="433"/>
      <c r="G425"/>
      <c r="H425"/>
      <c r="I425"/>
      <c r="J425"/>
      <c r="K425"/>
      <c r="L425"/>
      <c r="M425"/>
      <c r="N425"/>
      <c r="O425"/>
    </row>
    <row r="426" spans="2:15" ht="15.75">
      <c r="D426" s="542">
        <v>4.2</v>
      </c>
      <c r="E426" s="553" t="s">
        <v>1092</v>
      </c>
      <c r="F426" s="552"/>
      <c r="G426" t="str">
        <f>IF(AND(J438="対象外",J438&gt;0.001),"★入力エラー：レベル１～５を選択し直してください！","")</f>
        <v/>
      </c>
      <c r="H426"/>
      <c r="I426"/>
      <c r="J426"/>
      <c r="K426"/>
      <c r="L426"/>
      <c r="M426"/>
      <c r="N426"/>
      <c r="O426"/>
    </row>
    <row r="427" spans="2:15" ht="15.75">
      <c r="D427" s="546"/>
      <c r="E427" s="550"/>
      <c r="F427" s="554" t="s">
        <v>1093</v>
      </c>
      <c r="G427"/>
      <c r="H427"/>
      <c r="I427"/>
      <c r="J427" t="str">
        <f>IF(OR(F429=0,AND(J428=0,O428=0)),$L$3,"")</f>
        <v/>
      </c>
      <c r="K427"/>
      <c r="L427"/>
      <c r="M427"/>
      <c r="N427"/>
      <c r="O427"/>
    </row>
    <row r="428" spans="2:15" ht="16.5" thickBot="1">
      <c r="D428" s="546"/>
      <c r="E428" s="550"/>
      <c r="F428" s="558" t="s">
        <v>1140</v>
      </c>
      <c r="G428" s="559"/>
      <c r="H428" s="560"/>
      <c r="I428" s="561" t="s">
        <v>1141</v>
      </c>
      <c r="J428" s="564">
        <f>重み!M55</f>
        <v>0.33333333333333331</v>
      </c>
      <c r="K428" s="558" t="s">
        <v>1638</v>
      </c>
      <c r="L428" s="559"/>
      <c r="M428" s="560"/>
      <c r="N428" s="561" t="s">
        <v>1141</v>
      </c>
      <c r="O428" s="564">
        <f>重み!N55</f>
        <v>0</v>
      </c>
    </row>
    <row r="429" spans="2:15" ht="27" customHeight="1" thickBot="1">
      <c r="D429" s="546"/>
      <c r="E429" s="671"/>
      <c r="F429" s="565">
        <v>3</v>
      </c>
      <c r="G429" s="1555" t="s">
        <v>1094</v>
      </c>
      <c r="H429" s="1556"/>
      <c r="I429" s="680" t="s">
        <v>393</v>
      </c>
      <c r="J429" s="571"/>
      <c r="K429" s="565">
        <v>3</v>
      </c>
      <c r="L429" s="661" t="s">
        <v>752</v>
      </c>
      <c r="M429" s="571"/>
      <c r="N429" s="661"/>
      <c r="O429" s="666"/>
    </row>
    <row r="430" spans="2:15" ht="15.75" customHeight="1">
      <c r="B430" s="1">
        <v>1</v>
      </c>
      <c r="C430" s="1">
        <v>1</v>
      </c>
      <c r="D430" s="546"/>
      <c r="E430" s="63"/>
      <c r="F430" s="572" t="str">
        <f>IF(F429=$F$7,$G$2,IF(ROUNDDOWN(F429,0)=$F$2,$H$2,$G$2))</f>
        <v>　レベル　1</v>
      </c>
      <c r="G430" s="3157" t="s">
        <v>369</v>
      </c>
      <c r="H430" s="3205"/>
      <c r="I430" s="3157" t="s">
        <v>1818</v>
      </c>
      <c r="J430" s="3205"/>
      <c r="K430" s="572" t="str">
        <f>IF(K429=$F$7,$G$2,IF(ROUNDDOWN(K429,0)=$F$2,$H$2,$G$2))</f>
        <v>　レベル　1</v>
      </c>
      <c r="L430" s="3157" t="s">
        <v>369</v>
      </c>
      <c r="M430" s="3163"/>
      <c r="N430" s="3163"/>
      <c r="O430" s="3158"/>
    </row>
    <row r="431" spans="2:15" ht="15.75" customHeight="1">
      <c r="B431" s="1" t="s">
        <v>2420</v>
      </c>
      <c r="C431" s="1" t="s">
        <v>2420</v>
      </c>
      <c r="D431" s="546"/>
      <c r="E431" s="63"/>
      <c r="F431" s="577" t="str">
        <f>IF(F429=$F$7,$G$3,IF(ROUNDDOWN(F429,0)=$F$3,$H$3,$G$3))</f>
        <v>　レベル　2</v>
      </c>
      <c r="G431" s="3157" t="s">
        <v>1818</v>
      </c>
      <c r="H431" s="3174"/>
      <c r="I431" s="3157" t="s">
        <v>1818</v>
      </c>
      <c r="J431" s="3201"/>
      <c r="K431" s="577" t="str">
        <f>IF(K429=$F$7,$G$3,IF(ROUNDDOWN(K429,0)=$F$3,$H$3,$G$3))</f>
        <v>　レベル　2</v>
      </c>
      <c r="L431" s="3157" t="s">
        <v>1818</v>
      </c>
      <c r="M431" s="3236"/>
      <c r="N431" s="3236"/>
      <c r="O431" s="3205"/>
    </row>
    <row r="432" spans="2:15" ht="84" customHeight="1">
      <c r="B432" s="1">
        <v>3</v>
      </c>
      <c r="C432" s="1">
        <v>3</v>
      </c>
      <c r="D432" s="546"/>
      <c r="E432" s="63"/>
      <c r="F432" s="577" t="str">
        <f>IF(F429=$F$7,$G$4,IF(ROUNDDOWN(F429,0)=$F$4,$H$4,$G$4))</f>
        <v>■レベル　3</v>
      </c>
      <c r="G432" s="3157" t="s">
        <v>866</v>
      </c>
      <c r="H432" s="3205"/>
      <c r="I432" s="3157" t="s">
        <v>2884</v>
      </c>
      <c r="J432" s="3235"/>
      <c r="K432" s="577" t="str">
        <f>IF(K429=$F$7,$G$4,IF(ROUNDDOWN(K429,0)=$F$4,$H$4,$G$4))</f>
        <v>■レベル　3</v>
      </c>
      <c r="L432" s="3157" t="s">
        <v>866</v>
      </c>
      <c r="M432" s="3163"/>
      <c r="N432" s="3163"/>
      <c r="O432" s="3158"/>
    </row>
    <row r="433" spans="2:15" ht="84" customHeight="1">
      <c r="B433" s="1">
        <v>4</v>
      </c>
      <c r="C433" s="1">
        <v>4</v>
      </c>
      <c r="D433" s="546"/>
      <c r="E433" s="63"/>
      <c r="F433" s="577" t="str">
        <f>IF(F429=$F$7,$G$5,IF(ROUNDDOWN(F429,0)=$F$5,$H$5,$G$5))</f>
        <v>　レベル　4</v>
      </c>
      <c r="G433" s="3157" t="s">
        <v>1095</v>
      </c>
      <c r="H433" s="3205"/>
      <c r="I433" s="3157" t="s">
        <v>2885</v>
      </c>
      <c r="J433" s="3235"/>
      <c r="K433" s="577" t="str">
        <f>IF(K429=$F$7,$G$5,IF(ROUNDDOWN(K429,0)=$F$5,$H$5,$G$5))</f>
        <v>　レベル　4</v>
      </c>
      <c r="L433" s="3157" t="s">
        <v>1095</v>
      </c>
      <c r="M433" s="3163"/>
      <c r="N433" s="3163"/>
      <c r="O433" s="3158"/>
    </row>
    <row r="434" spans="2:15" ht="84" customHeight="1">
      <c r="B434" s="1">
        <v>5</v>
      </c>
      <c r="C434" s="1">
        <v>5</v>
      </c>
      <c r="D434" s="546"/>
      <c r="E434" s="63"/>
      <c r="F434" s="587" t="str">
        <f>IF(F429=$F$7,$G$6,IF(ROUNDDOWN(F429,0)=$F$6,$H$6,$G$6))</f>
        <v>　レベル　5</v>
      </c>
      <c r="G434" s="3155" t="s">
        <v>1096</v>
      </c>
      <c r="H434" s="3156"/>
      <c r="I434" s="3155" t="s">
        <v>2886</v>
      </c>
      <c r="J434" s="3237"/>
      <c r="K434" s="587" t="str">
        <f>IF(K429=$F$7,$G$6,IF(ROUNDDOWN(K429,0)=$F$6,$H$6,$G$6))</f>
        <v>　レベル　5</v>
      </c>
      <c r="L434" s="3155" t="s">
        <v>1096</v>
      </c>
      <c r="M434" s="3162"/>
      <c r="N434" s="3162"/>
      <c r="O434" s="3156"/>
    </row>
    <row r="435" spans="2:15" ht="15.75">
      <c r="B435" s="594">
        <v>0</v>
      </c>
      <c r="C435" s="594">
        <v>0</v>
      </c>
      <c r="D435" s="546"/>
      <c r="E435" s="63"/>
      <c r="F435" s="887" t="s">
        <v>3402</v>
      </c>
      <c r="G435" s="2423"/>
      <c r="H435" s="2399"/>
      <c r="I435" s="2396"/>
      <c r="J435" s="2397"/>
      <c r="K435" s="2400"/>
      <c r="L435" s="1281"/>
      <c r="M435"/>
      <c r="N435"/>
      <c r="O435"/>
    </row>
    <row r="436" spans="2:15" ht="15.75">
      <c r="B436" s="918"/>
      <c r="C436" s="918"/>
      <c r="D436" s="546"/>
      <c r="E436" s="63"/>
      <c r="F436" s="433"/>
      <c r="G436"/>
      <c r="H436"/>
      <c r="I436"/>
      <c r="J436"/>
      <c r="K436"/>
      <c r="L436"/>
      <c r="M436"/>
      <c r="N436"/>
      <c r="O436"/>
    </row>
    <row r="437" spans="2:15" ht="15.75">
      <c r="D437" s="546"/>
      <c r="E437" s="63"/>
      <c r="F437" s="554" t="s">
        <v>1097</v>
      </c>
      <c r="G437"/>
      <c r="H437"/>
      <c r="I437"/>
      <c r="J437" t="str">
        <f>IF(OR(F439=0,AND(J438=0,O438=0)),$L$3,"")</f>
        <v/>
      </c>
      <c r="K437"/>
      <c r="L437"/>
      <c r="M437"/>
      <c r="N437"/>
      <c r="O437"/>
    </row>
    <row r="438" spans="2:15" ht="16.5" thickBot="1">
      <c r="D438" s="546"/>
      <c r="E438" s="63"/>
      <c r="F438" s="558" t="s">
        <v>2083</v>
      </c>
      <c r="G438" s="559"/>
      <c r="H438" s="560"/>
      <c r="I438" s="561" t="s">
        <v>1141</v>
      </c>
      <c r="J438" s="564">
        <f>重み!M56</f>
        <v>0.33333333333333331</v>
      </c>
      <c r="K438" s="558" t="s">
        <v>1638</v>
      </c>
      <c r="L438" s="559"/>
      <c r="M438" s="560"/>
      <c r="N438" s="561" t="s">
        <v>1141</v>
      </c>
      <c r="O438" s="564">
        <f>重み!N56</f>
        <v>0</v>
      </c>
    </row>
    <row r="439" spans="2:15" ht="27" customHeight="1" thickBot="1">
      <c r="D439" s="546"/>
      <c r="E439" s="63"/>
      <c r="F439" s="565">
        <v>3</v>
      </c>
      <c r="G439" s="661" t="s">
        <v>2603</v>
      </c>
      <c r="H439" s="570"/>
      <c r="I439" s="680" t="s">
        <v>18</v>
      </c>
      <c r="J439" s="571"/>
      <c r="K439" s="565">
        <v>3</v>
      </c>
      <c r="L439" s="661" t="s">
        <v>1867</v>
      </c>
      <c r="M439" s="571"/>
      <c r="N439" s="661" t="s">
        <v>1575</v>
      </c>
      <c r="O439" s="571"/>
    </row>
    <row r="440" spans="2:15" ht="15.75" customHeight="1">
      <c r="B440" s="1">
        <v>1</v>
      </c>
      <c r="C440" s="1">
        <v>1</v>
      </c>
      <c r="D440" s="546"/>
      <c r="E440" s="63"/>
      <c r="F440" s="572" t="str">
        <f>IF(F439=$F$7,$G$2,IF(ROUNDDOWN(F439,0)=$F$2,$H$2,$G$2))</f>
        <v>　レベル　1</v>
      </c>
      <c r="G440" s="3153" t="s">
        <v>335</v>
      </c>
      <c r="H440" s="3159"/>
      <c r="I440" s="3153" t="s">
        <v>335</v>
      </c>
      <c r="J440" s="3159"/>
      <c r="K440" s="572" t="str">
        <f>IF(K439=$F$7,$G$2,IF(ROUNDDOWN(K439,0)=$F$2,$H$2,$G$2))</f>
        <v>　レベル　1</v>
      </c>
      <c r="L440" s="3153" t="s">
        <v>1363</v>
      </c>
      <c r="M440" s="3171"/>
      <c r="N440" s="3153" t="s">
        <v>1363</v>
      </c>
      <c r="O440" s="3171"/>
    </row>
    <row r="441" spans="2:15" ht="15.75" customHeight="1">
      <c r="B441" s="1" t="s">
        <v>2418</v>
      </c>
      <c r="C441" s="1" t="s">
        <v>2418</v>
      </c>
      <c r="D441" s="546"/>
      <c r="E441" s="63"/>
      <c r="F441" s="577" t="str">
        <f>IF(F439=$F$7,$G$3,IF(ROUNDDOWN(F439,0)=$F$3,$H$3,$G$3))</f>
        <v>　レベル　2</v>
      </c>
      <c r="G441" s="3157" t="s">
        <v>1818</v>
      </c>
      <c r="H441" s="3201"/>
      <c r="I441" s="3157" t="s">
        <v>1818</v>
      </c>
      <c r="J441" s="3201"/>
      <c r="K441" s="577" t="str">
        <f>IF(K439=$F$7,$G$3,IF(ROUNDDOWN(K439,0)=$F$3,$H$3,$G$3))</f>
        <v>　レベル　2</v>
      </c>
      <c r="L441" s="3157" t="s">
        <v>1818</v>
      </c>
      <c r="M441" s="3158"/>
      <c r="N441" s="3157" t="s">
        <v>1818</v>
      </c>
      <c r="O441" s="3158"/>
    </row>
    <row r="442" spans="2:15" ht="81" customHeight="1">
      <c r="B442" s="1">
        <v>3</v>
      </c>
      <c r="C442" s="1">
        <v>3</v>
      </c>
      <c r="D442" s="546"/>
      <c r="E442" s="63"/>
      <c r="F442" s="577" t="str">
        <f>IF(F439=$F$7,$G$4,IF(ROUNDDOWN(F439,0)=$F$4,$H$4,$G$4))</f>
        <v>■レベル　3</v>
      </c>
      <c r="G442" s="3157" t="s">
        <v>307</v>
      </c>
      <c r="H442" s="3201"/>
      <c r="I442" s="3157" t="s">
        <v>15</v>
      </c>
      <c r="J442" s="3201"/>
      <c r="K442" s="577" t="str">
        <f>IF(K439=$F$7,$G$4,IF(ROUNDDOWN(K439,0)=$F$4,$H$4,$G$4))</f>
        <v>■レベル　3</v>
      </c>
      <c r="L442" s="3157" t="s">
        <v>308</v>
      </c>
      <c r="M442" s="3158"/>
      <c r="N442" s="3157" t="s">
        <v>1788</v>
      </c>
      <c r="O442" s="3158"/>
    </row>
    <row r="443" spans="2:15" ht="111" customHeight="1">
      <c r="B443" s="1">
        <v>4</v>
      </c>
      <c r="C443" s="1">
        <v>4</v>
      </c>
      <c r="D443" s="546"/>
      <c r="E443" s="63"/>
      <c r="F443" s="577" t="str">
        <f>IF(F439=$F$7,$G$5,IF(ROUNDDOWN(F439,0)=$F$5,$H$5,$G$5))</f>
        <v>　レベル　4</v>
      </c>
      <c r="G443" s="3157" t="s">
        <v>13</v>
      </c>
      <c r="H443" s="3201"/>
      <c r="I443" s="3157" t="s">
        <v>16</v>
      </c>
      <c r="J443" s="3201"/>
      <c r="K443" s="577" t="str">
        <f>IF(K439=$F$7,$G$5,IF(ROUNDDOWN(K439,0)=$F$5,$H$5,$G$5))</f>
        <v>　レベル　4</v>
      </c>
      <c r="L443" s="3157" t="s">
        <v>615</v>
      </c>
      <c r="M443" s="3158"/>
      <c r="N443" s="3157" t="s">
        <v>1409</v>
      </c>
      <c r="O443" s="3158"/>
    </row>
    <row r="444" spans="2:15" ht="128.25" customHeight="1">
      <c r="B444" s="1">
        <v>5</v>
      </c>
      <c r="C444" s="1">
        <v>5</v>
      </c>
      <c r="D444" s="546"/>
      <c r="E444" s="63"/>
      <c r="F444" s="587" t="str">
        <f>IF(F439=$F$7,$G$6,IF(ROUNDDOWN(F439,0)=$F$6,$H$6,$G$6))</f>
        <v>　レベル　5</v>
      </c>
      <c r="G444" s="3155" t="s">
        <v>14</v>
      </c>
      <c r="H444" s="3185"/>
      <c r="I444" s="3155" t="s">
        <v>17</v>
      </c>
      <c r="J444" s="3185"/>
      <c r="K444" s="587" t="str">
        <f>IF(K439=$F$7,$G$6,IF(ROUNDDOWN(K439,0)=$F$6,$H$6,$G$6))</f>
        <v>　レベル　5</v>
      </c>
      <c r="L444" s="3155" t="s">
        <v>309</v>
      </c>
      <c r="M444" s="3156"/>
      <c r="N444" s="3155" t="s">
        <v>616</v>
      </c>
      <c r="O444" s="3156"/>
    </row>
    <row r="445" spans="2:15" ht="15.75">
      <c r="B445" s="594">
        <v>0</v>
      </c>
      <c r="C445" s="594">
        <v>0</v>
      </c>
      <c r="D445" s="546"/>
      <c r="E445" s="63"/>
      <c r="F445" s="887" t="s">
        <v>3402</v>
      </c>
      <c r="G445" s="2423"/>
      <c r="H445" s="2399"/>
      <c r="I445" s="2396"/>
      <c r="J445" s="2397"/>
      <c r="K445" s="2400"/>
      <c r="L445" s="1281"/>
      <c r="M445"/>
      <c r="N445"/>
      <c r="O445"/>
    </row>
    <row r="446" spans="2:15" ht="15.75">
      <c r="B446" s="918"/>
      <c r="C446" s="918"/>
      <c r="D446" s="546"/>
      <c r="E446" s="63"/>
      <c r="F446"/>
      <c r="G446" s="2459" t="s">
        <v>3370</v>
      </c>
      <c r="H446" s="2556">
        <f>1/30</f>
        <v>3.3333333333333333E-2</v>
      </c>
      <c r="I446"/>
      <c r="J446" s="543"/>
      <c r="K446" s="2400"/>
      <c r="L446" s="1281"/>
      <c r="M446"/>
      <c r="N446"/>
      <c r="O446"/>
    </row>
    <row r="447" spans="2:15" ht="15.75">
      <c r="B447" s="918"/>
      <c r="C447" s="918"/>
      <c r="D447" s="546"/>
      <c r="E447" s="63"/>
      <c r="F447" s="433"/>
      <c r="G447"/>
      <c r="H447"/>
      <c r="I447"/>
      <c r="J447"/>
      <c r="K447"/>
      <c r="L447"/>
      <c r="M447"/>
      <c r="N447"/>
      <c r="O447"/>
    </row>
    <row r="448" spans="2:15" ht="15.75">
      <c r="D448" s="546"/>
      <c r="E448" s="550"/>
      <c r="F448" s="554" t="s">
        <v>1501</v>
      </c>
      <c r="G448"/>
      <c r="H448"/>
      <c r="I448"/>
      <c r="J448" t="str">
        <f>IF(OR(F450=0,AND(J449=0,O449=0)),$L$3,"")</f>
        <v/>
      </c>
      <c r="K448"/>
      <c r="L448"/>
      <c r="M448"/>
      <c r="N448"/>
      <c r="O448"/>
    </row>
    <row r="449" spans="2:15" ht="16.5" thickBot="1">
      <c r="D449" s="546"/>
      <c r="E449" s="550"/>
      <c r="F449" s="558" t="s">
        <v>1101</v>
      </c>
      <c r="G449" s="559"/>
      <c r="H449" s="560"/>
      <c r="I449" s="561" t="s">
        <v>1141</v>
      </c>
      <c r="J449" s="564">
        <f>重み!M57</f>
        <v>0.33333333333333331</v>
      </c>
      <c r="K449" s="558" t="s">
        <v>1638</v>
      </c>
      <c r="L449" s="559"/>
      <c r="M449" s="560"/>
      <c r="N449" s="561" t="s">
        <v>1141</v>
      </c>
      <c r="O449" s="564">
        <f>重み!N57</f>
        <v>0</v>
      </c>
    </row>
    <row r="450" spans="2:15" ht="27" customHeight="1" thickBot="1">
      <c r="D450" s="546"/>
      <c r="E450" s="550"/>
      <c r="F450" s="565">
        <v>3</v>
      </c>
      <c r="G450" s="661" t="s">
        <v>2374</v>
      </c>
      <c r="H450" s="570"/>
      <c r="I450" s="661" t="s">
        <v>1575</v>
      </c>
      <c r="J450" s="571"/>
      <c r="K450" s="565">
        <v>3</v>
      </c>
      <c r="L450" s="661" t="s">
        <v>2247</v>
      </c>
      <c r="M450" s="571"/>
      <c r="N450" s="661" t="s">
        <v>1575</v>
      </c>
      <c r="O450" s="571"/>
    </row>
    <row r="451" spans="2:15" ht="15.75" customHeight="1">
      <c r="B451" s="1">
        <v>1</v>
      </c>
      <c r="C451" s="1">
        <v>1</v>
      </c>
      <c r="D451" s="546"/>
      <c r="E451" s="671"/>
      <c r="F451" s="572" t="str">
        <f>IF(F450=$F$7,$G$2,IF(ROUNDDOWN(F450,0)=$F$2,$H$2,$G$2))</f>
        <v>　レベル　1</v>
      </c>
      <c r="G451" s="3153" t="s">
        <v>335</v>
      </c>
      <c r="H451" s="3159"/>
      <c r="I451" s="3153" t="s">
        <v>1363</v>
      </c>
      <c r="J451" s="3171"/>
      <c r="K451" s="572" t="str">
        <f>IF(K450=$F$7,$G$2,IF(ROUNDDOWN(K450,0)=$F$2,$H$2,$G$2))</f>
        <v>　レベル　1</v>
      </c>
      <c r="L451" s="3153" t="s">
        <v>1363</v>
      </c>
      <c r="M451" s="3171"/>
      <c r="N451" s="3153" t="s">
        <v>1363</v>
      </c>
      <c r="O451" s="3171"/>
    </row>
    <row r="452" spans="2:15" ht="15.75">
      <c r="B452" s="1" t="s">
        <v>2418</v>
      </c>
      <c r="C452" s="1" t="s">
        <v>2418</v>
      </c>
      <c r="D452" s="546"/>
      <c r="E452" s="671"/>
      <c r="F452" s="577" t="str">
        <f>IF(F450=$F$7,$G$3,IF(ROUNDDOWN(F450,0)=$F$3,$H$3,$G$3))</f>
        <v>　レベル　2</v>
      </c>
      <c r="G452" s="3157" t="s">
        <v>1818</v>
      </c>
      <c r="H452" s="3158"/>
      <c r="I452" s="3157" t="s">
        <v>1818</v>
      </c>
      <c r="J452" s="3158"/>
      <c r="K452" s="577" t="str">
        <f>IF(K450=$F$7,$G$3,IF(ROUNDDOWN(K450,0)=$F$3,$H$3,$G$3))</f>
        <v>　レベル　2</v>
      </c>
      <c r="L452" s="3157" t="s">
        <v>1818</v>
      </c>
      <c r="M452" s="3158"/>
      <c r="N452" s="3157" t="s">
        <v>1818</v>
      </c>
      <c r="O452" s="3158"/>
    </row>
    <row r="453" spans="2:15" ht="72.75" customHeight="1">
      <c r="B453" s="1">
        <v>3</v>
      </c>
      <c r="C453" s="1">
        <v>3</v>
      </c>
      <c r="D453" s="546"/>
      <c r="E453" s="671"/>
      <c r="F453" s="577" t="str">
        <f>IF(F450=$F$7,$G$4,IF(ROUNDDOWN(F450,0)=$F$4,$H$4,$G$4))</f>
        <v>■レベル　3</v>
      </c>
      <c r="G453" s="3157" t="s">
        <v>2375</v>
      </c>
      <c r="H453" s="3158"/>
      <c r="I453" s="3157" t="s">
        <v>1823</v>
      </c>
      <c r="J453" s="3158"/>
      <c r="K453" s="577" t="str">
        <f>IF(K450=$F$7,$G$4,IF(ROUNDDOWN(K450,0)=$F$4,$H$4,$G$4))</f>
        <v>■レベル　3</v>
      </c>
      <c r="L453" s="3157" t="s">
        <v>1824</v>
      </c>
      <c r="M453" s="3158"/>
      <c r="N453" s="3157" t="s">
        <v>1823</v>
      </c>
      <c r="O453" s="3158"/>
    </row>
    <row r="454" spans="2:15" ht="61.5" customHeight="1">
      <c r="B454" s="1">
        <v>4</v>
      </c>
      <c r="C454" s="1">
        <v>4</v>
      </c>
      <c r="D454" s="546"/>
      <c r="E454" s="671"/>
      <c r="F454" s="577" t="str">
        <f>IF(F450=$F$7,$G$5,IF(ROUNDDOWN(F450,0)=$F$5,$H$5,$G$5))</f>
        <v>　レベル　4</v>
      </c>
      <c r="G454" s="3157" t="s">
        <v>387</v>
      </c>
      <c r="H454" s="3158"/>
      <c r="I454" s="3157" t="s">
        <v>1818</v>
      </c>
      <c r="J454" s="3158"/>
      <c r="K454" s="577" t="str">
        <f>IF(K450=$F$7,$G$5,IF(ROUNDDOWN(K450,0)=$F$5,$H$5,$G$5))</f>
        <v>　レベル　4</v>
      </c>
      <c r="L454" s="3157" t="s">
        <v>387</v>
      </c>
      <c r="M454" s="3158"/>
      <c r="N454" s="3157" t="s">
        <v>1818</v>
      </c>
      <c r="O454" s="3158"/>
    </row>
    <row r="455" spans="2:15" ht="70.5" customHeight="1">
      <c r="B455" s="1">
        <v>5</v>
      </c>
      <c r="C455" s="1">
        <v>5</v>
      </c>
      <c r="D455" s="546"/>
      <c r="E455" s="671"/>
      <c r="F455" s="587" t="str">
        <f>IF(F450=$F$7,$G$6,IF(ROUNDDOWN(F450,0)=$F$6,$H$6,$G$6))</f>
        <v>　レベル　5</v>
      </c>
      <c r="G455" s="3155" t="s">
        <v>1845</v>
      </c>
      <c r="H455" s="3156"/>
      <c r="I455" s="3155" t="s">
        <v>1824</v>
      </c>
      <c r="J455" s="3156"/>
      <c r="K455" s="587" t="str">
        <f>IF(K450=$F$7,$G$6,IF(ROUNDDOWN(K450,0)=$F$6,$H$6,$G$6))</f>
        <v>　レベル　5</v>
      </c>
      <c r="L455" s="3155" t="s">
        <v>1825</v>
      </c>
      <c r="M455" s="3156"/>
      <c r="N455" s="3155" t="s">
        <v>1824</v>
      </c>
      <c r="O455" s="3156"/>
    </row>
    <row r="456" spans="2:15" ht="15.75" hidden="1">
      <c r="B456" s="594">
        <v>0</v>
      </c>
      <c r="C456" s="594">
        <v>0</v>
      </c>
      <c r="D456" s="546"/>
      <c r="E456" s="671"/>
      <c r="F456" s="671"/>
      <c r="G456" s="711"/>
      <c r="H456" s="711"/>
      <c r="I456" s="711"/>
      <c r="J456" s="711"/>
      <c r="K456" s="711"/>
      <c r="L456" s="711"/>
      <c r="M456" s="711"/>
      <c r="N456" s="711"/>
      <c r="O456" s="711"/>
    </row>
    <row r="457" spans="2:15" ht="15.75" hidden="1">
      <c r="D457" s="546"/>
      <c r="E457" s="671"/>
      <c r="F457" s="1437" t="s">
        <v>1846</v>
      </c>
      <c r="G457" s="618"/>
      <c r="H457" s="660"/>
      <c r="I457" s="644"/>
      <c r="J457" s="621" t="str">
        <f>IF(OR(F459=0,AND(J458=0,O458=0)),$L$3,"")</f>
        <v>&lt;評価しない&gt;</v>
      </c>
      <c r="K457" s="688"/>
      <c r="L457" s="618"/>
      <c r="M457" s="660"/>
      <c r="N457" s="644"/>
      <c r="O457" s="621"/>
    </row>
    <row r="458" spans="2:15" ht="15.75" hidden="1">
      <c r="D458" s="546"/>
      <c r="E458" s="671"/>
      <c r="F458" s="558" t="s">
        <v>2403</v>
      </c>
      <c r="G458" s="559"/>
      <c r="H458" s="560"/>
      <c r="I458" s="561" t="s">
        <v>1141</v>
      </c>
      <c r="J458" s="564">
        <f>重み!M58</f>
        <v>0</v>
      </c>
      <c r="K458" s="558" t="s">
        <v>1638</v>
      </c>
      <c r="L458" s="559"/>
      <c r="M458" s="560"/>
      <c r="N458" s="561" t="s">
        <v>1141</v>
      </c>
      <c r="O458" s="564">
        <f>重み!N58</f>
        <v>0</v>
      </c>
    </row>
    <row r="459" spans="2:15" ht="16.5" hidden="1" thickBot="1">
      <c r="D459" s="546"/>
      <c r="E459" s="671"/>
      <c r="F459" s="565">
        <v>0</v>
      </c>
      <c r="G459" s="661" t="s">
        <v>2100</v>
      </c>
      <c r="H459" s="570"/>
      <c r="I459" s="680"/>
      <c r="J459" s="571"/>
      <c r="K459" s="565">
        <v>0</v>
      </c>
      <c r="L459" s="661" t="s">
        <v>752</v>
      </c>
      <c r="M459" s="571"/>
      <c r="N459" s="661"/>
      <c r="O459" s="666"/>
    </row>
    <row r="460" spans="2:15" ht="15.75" hidden="1" customHeight="1">
      <c r="B460" s="1">
        <v>1</v>
      </c>
      <c r="C460" s="1">
        <v>1</v>
      </c>
      <c r="D460" s="546"/>
      <c r="E460" s="671"/>
      <c r="F460" s="572" t="str">
        <f>IF(F459=$F$7,$G$2,IF(ROUNDDOWN(F459,0)=$F$2,$H$2,$G$2))</f>
        <v>　レベル　1</v>
      </c>
      <c r="G460" s="3153" t="s">
        <v>335</v>
      </c>
      <c r="H460" s="3173"/>
      <c r="I460" s="3173"/>
      <c r="J460" s="3159"/>
      <c r="K460" s="572" t="str">
        <f>IF(K459=$F$7,$G$2,IF(ROUNDDOWN(K459,0)=$F$2,$H$2,$G$2))</f>
        <v>　レベル　1</v>
      </c>
      <c r="L460" s="3153" t="s">
        <v>335</v>
      </c>
      <c r="M460" s="3173"/>
      <c r="N460" s="3173"/>
      <c r="O460" s="3159"/>
    </row>
    <row r="461" spans="2:15" ht="15.75" hidden="1">
      <c r="B461" s="1" t="s">
        <v>177</v>
      </c>
      <c r="C461" s="1" t="s">
        <v>177</v>
      </c>
      <c r="D461" s="546"/>
      <c r="E461" s="671"/>
      <c r="F461" s="577" t="str">
        <f>IF(F459=$F$7,$G$3,IF(ROUNDDOWN(F459,0)=$F$3,$H$3,$G$3))</f>
        <v>　レベル　2</v>
      </c>
      <c r="G461" s="3157" t="s">
        <v>1818</v>
      </c>
      <c r="H461" s="3163"/>
      <c r="I461" s="3163"/>
      <c r="J461" s="3158"/>
      <c r="K461" s="577" t="str">
        <f>IF(K459=$F$7,$G$3,IF(ROUNDDOWN(K459,0)=$F$3,$H$3,$G$3))</f>
        <v>　レベル　2</v>
      </c>
      <c r="L461" s="3191" t="s">
        <v>1818</v>
      </c>
      <c r="M461" s="3192"/>
      <c r="N461" s="3192"/>
      <c r="O461" s="3193"/>
    </row>
    <row r="462" spans="2:15" ht="52.5" hidden="1" customHeight="1">
      <c r="B462" s="1">
        <v>3</v>
      </c>
      <c r="C462" s="1">
        <v>3</v>
      </c>
      <c r="D462" s="546"/>
      <c r="E462" s="671"/>
      <c r="F462" s="577" t="str">
        <f>IF(F459=$F$7,$G$4,IF(ROUNDDOWN(F459,0)=$F$4,$H$4,$G$4))</f>
        <v>　レベル　3</v>
      </c>
      <c r="G462" s="3157" t="s">
        <v>2101</v>
      </c>
      <c r="H462" s="3163"/>
      <c r="I462" s="3163"/>
      <c r="J462" s="3158"/>
      <c r="K462" s="577" t="str">
        <f>IF(K459=$F$7,$G$4,IF(ROUNDDOWN(K459,0)=$F$4,$H$4,$G$4))</f>
        <v>　レベル　3</v>
      </c>
      <c r="L462" s="3191" t="s">
        <v>1826</v>
      </c>
      <c r="M462" s="3192"/>
      <c r="N462" s="3192"/>
      <c r="O462" s="3193"/>
    </row>
    <row r="463" spans="2:15" ht="15.75" hidden="1">
      <c r="B463" s="1" t="s">
        <v>177</v>
      </c>
      <c r="C463" s="1" t="s">
        <v>177</v>
      </c>
      <c r="D463" s="546"/>
      <c r="E463" s="671"/>
      <c r="F463" s="577" t="str">
        <f>IF(F459=$F$7,$G$5,IF(ROUNDDOWN(F459,0)=$F$5,$H$5,$G$5))</f>
        <v>　レベル　4</v>
      </c>
      <c r="G463" s="3157" t="s">
        <v>1818</v>
      </c>
      <c r="H463" s="3163"/>
      <c r="I463" s="3163"/>
      <c r="J463" s="3158"/>
      <c r="K463" s="577" t="str">
        <f>IF(K459=$F$7,$G$5,IF(ROUNDDOWN(K459,0)=$F$5,$H$5,$G$5))</f>
        <v>　レベル　4</v>
      </c>
      <c r="L463" s="3191" t="s">
        <v>1818</v>
      </c>
      <c r="M463" s="3192"/>
      <c r="N463" s="3192"/>
      <c r="O463" s="3193"/>
    </row>
    <row r="464" spans="2:15" ht="6" hidden="1" customHeight="1">
      <c r="B464" s="1">
        <v>5</v>
      </c>
      <c r="C464" s="1">
        <v>5</v>
      </c>
      <c r="D464" s="546"/>
      <c r="E464" s="671"/>
      <c r="F464" s="587" t="str">
        <f>IF(F459=$F$7,$G$6,IF(ROUNDDOWN(F459,0)=$F$6,$H$6,$G$6))</f>
        <v>　レベル　5</v>
      </c>
      <c r="G464" s="3155" t="s">
        <v>2102</v>
      </c>
      <c r="H464" s="3162"/>
      <c r="I464" s="3162"/>
      <c r="J464" s="3156"/>
      <c r="K464" s="587" t="str">
        <f>IF(K459=$F$7,$G$6,IF(ROUNDDOWN(K459,0)=$F$6,$H$6,$G$6))</f>
        <v>　レベル　5</v>
      </c>
      <c r="L464" s="3182" t="s">
        <v>1382</v>
      </c>
      <c r="M464" s="3202"/>
      <c r="N464" s="3202"/>
      <c r="O464" s="3203"/>
    </row>
    <row r="465" spans="2:17" ht="15.75">
      <c r="B465" s="594">
        <v>0</v>
      </c>
      <c r="C465" s="594">
        <v>0</v>
      </c>
      <c r="D465" s="546"/>
      <c r="E465" s="63"/>
      <c r="F465" s="887" t="s">
        <v>3402</v>
      </c>
      <c r="G465" s="2423"/>
      <c r="H465" s="2399"/>
      <c r="I465" s="2396"/>
      <c r="J465" s="2397"/>
      <c r="K465" s="2400"/>
      <c r="L465" s="1281"/>
      <c r="M465"/>
      <c r="N465"/>
      <c r="O465"/>
    </row>
    <row r="466" spans="2:17" ht="15.75">
      <c r="B466" s="918"/>
      <c r="C466" s="918"/>
      <c r="D466" s="546"/>
      <c r="E466" s="63"/>
      <c r="F466" s="63"/>
      <c r="G466"/>
      <c r="H466"/>
      <c r="I466"/>
      <c r="J466"/>
      <c r="K466"/>
      <c r="L466"/>
      <c r="M466"/>
      <c r="N466"/>
      <c r="O466"/>
    </row>
    <row r="467" spans="2:17" ht="15.75">
      <c r="D467" s="542">
        <v>4.3</v>
      </c>
      <c r="E467" s="553" t="s">
        <v>1973</v>
      </c>
      <c r="F467" s="552"/>
      <c r="G467"/>
      <c r="H467"/>
      <c r="I467"/>
      <c r="J467"/>
      <c r="K467"/>
      <c r="L467"/>
      <c r="M467"/>
      <c r="N467"/>
      <c r="O467"/>
    </row>
    <row r="468" spans="2:17" ht="15.75">
      <c r="D468" s="546"/>
      <c r="E468" s="63"/>
      <c r="F468" s="554" t="s">
        <v>1383</v>
      </c>
      <c r="G468"/>
      <c r="H468"/>
      <c r="I468"/>
      <c r="J468" t="str">
        <f>IF(OR(F470=0,J469=0),$L$3,"")</f>
        <v/>
      </c>
      <c r="K468" s="554" t="s">
        <v>1544</v>
      </c>
      <c r="L468"/>
      <c r="M468"/>
      <c r="N468"/>
      <c r="O468" t="str">
        <f>IF(OR(K470=0,O469=0),$L$3,"")</f>
        <v/>
      </c>
    </row>
    <row r="469" spans="2:17" ht="16.5" thickBot="1">
      <c r="D469" s="546"/>
      <c r="E469" s="63"/>
      <c r="F469" s="558" t="s">
        <v>1384</v>
      </c>
      <c r="G469" s="559"/>
      <c r="H469" s="560"/>
      <c r="I469" s="561" t="s">
        <v>1141</v>
      </c>
      <c r="J469" s="564">
        <f>重み!M60</f>
        <v>0.5</v>
      </c>
      <c r="K469" s="558" t="s">
        <v>1680</v>
      </c>
      <c r="L469" s="559"/>
      <c r="M469" s="560"/>
      <c r="N469" s="561" t="s">
        <v>1141</v>
      </c>
      <c r="O469" s="564">
        <f>重み!M61</f>
        <v>0.5</v>
      </c>
    </row>
    <row r="470" spans="2:17" ht="27" customHeight="1" thickBot="1">
      <c r="D470" s="546"/>
      <c r="E470" s="63"/>
      <c r="F470" s="565">
        <v>3</v>
      </c>
      <c r="G470" s="661" t="s">
        <v>1545</v>
      </c>
      <c r="H470" s="570"/>
      <c r="I470" s="680"/>
      <c r="J470" s="571"/>
      <c r="K470" s="565">
        <v>3</v>
      </c>
      <c r="L470" s="661" t="s">
        <v>1546</v>
      </c>
      <c r="M470" s="571"/>
      <c r="N470" s="661"/>
      <c r="O470" s="666"/>
    </row>
    <row r="471" spans="2:17" ht="15.75">
      <c r="B471" s="1">
        <v>1</v>
      </c>
      <c r="C471" s="1">
        <v>1</v>
      </c>
      <c r="D471" s="546"/>
      <c r="E471" s="63"/>
      <c r="F471" s="572" t="str">
        <f>IF(F470=$F$7,$G$2,IF(ROUNDDOWN(F470,0)=$F$2,$H$2,$G$2))</f>
        <v>　レベル　1</v>
      </c>
      <c r="G471" s="3153" t="s">
        <v>335</v>
      </c>
      <c r="H471" s="3173"/>
      <c r="I471" s="3173"/>
      <c r="J471" s="3159"/>
      <c r="K471" s="572" t="str">
        <f>IF(K470=$F$7,$G$2,IF(ROUNDDOWN(K470,0)=$F$2,$H$2,$G$2))</f>
        <v>　レベル　1</v>
      </c>
      <c r="L471" s="3153" t="s">
        <v>335</v>
      </c>
      <c r="M471" s="3173"/>
      <c r="N471" s="3173"/>
      <c r="O471" s="3159"/>
    </row>
    <row r="472" spans="2:17" ht="15.75">
      <c r="B472" s="1" t="s">
        <v>1817</v>
      </c>
      <c r="C472" s="1" t="s">
        <v>1817</v>
      </c>
      <c r="D472" s="546"/>
      <c r="E472" s="63"/>
      <c r="F472" s="577" t="str">
        <f>IF(F470=$F$7,$G$3,IF(ROUNDDOWN(F470,0)=$F$3,$H$3,$G$3))</f>
        <v>　レベル　2</v>
      </c>
      <c r="G472" s="3157" t="s">
        <v>1818</v>
      </c>
      <c r="H472" s="3163"/>
      <c r="I472" s="3163"/>
      <c r="J472" s="3158"/>
      <c r="K472" s="577" t="str">
        <f>IF(K470=$F$7,$G$3,IF(ROUNDDOWN(K470,0)=$F$3,$H$3,$G$3))</f>
        <v>　レベル　2</v>
      </c>
      <c r="L472" s="3157" t="s">
        <v>1818</v>
      </c>
      <c r="M472" s="3163"/>
      <c r="N472" s="3163"/>
      <c r="O472" s="3158"/>
    </row>
    <row r="473" spans="2:17" ht="45" customHeight="1">
      <c r="B473" s="1">
        <v>3</v>
      </c>
      <c r="C473" s="1">
        <v>3</v>
      </c>
      <c r="D473" s="546"/>
      <c r="E473" s="63"/>
      <c r="F473" s="577" t="str">
        <f>IF(F470=$F$7,$G$4,IF(ROUNDDOWN(F470,0)=$F$4,$H$4,$G$4))</f>
        <v>■レベル　3</v>
      </c>
      <c r="G473" s="3157" t="s">
        <v>1547</v>
      </c>
      <c r="H473" s="3163"/>
      <c r="I473" s="3163"/>
      <c r="J473" s="3158"/>
      <c r="K473" s="577" t="str">
        <f>IF(K470=$F$7,$G$4,IF(ROUNDDOWN(K470,0)=$F$4,$H$4,$G$4))</f>
        <v>■レベル　3</v>
      </c>
      <c r="L473" s="3157" t="s">
        <v>1548</v>
      </c>
      <c r="M473" s="3163"/>
      <c r="N473" s="3163"/>
      <c r="O473" s="3158"/>
    </row>
    <row r="474" spans="2:17" ht="45" customHeight="1">
      <c r="B474" s="1">
        <v>4</v>
      </c>
      <c r="C474" s="1" t="s">
        <v>1817</v>
      </c>
      <c r="D474" s="546"/>
      <c r="E474" s="63"/>
      <c r="F474" s="577" t="str">
        <f>IF(F470=$F$7,$G$5,IF(ROUNDDOWN(F470,0)=$F$5,$H$5,$G$5))</f>
        <v>　レベル　4</v>
      </c>
      <c r="G474" s="3157" t="s">
        <v>1549</v>
      </c>
      <c r="H474" s="3163"/>
      <c r="I474" s="3163"/>
      <c r="J474" s="3158"/>
      <c r="K474" s="577" t="str">
        <f>IF(K470=$F$7,$G$5,IF(ROUNDDOWN(K470,0)=$F$5,$H$5,$G$5))</f>
        <v>　レベル　4</v>
      </c>
      <c r="L474" s="3157" t="s">
        <v>1818</v>
      </c>
      <c r="M474" s="3163"/>
      <c r="N474" s="3163"/>
      <c r="O474" s="3158"/>
    </row>
    <row r="475" spans="2:17" ht="45" customHeight="1">
      <c r="B475" s="1">
        <v>5</v>
      </c>
      <c r="C475" s="1">
        <v>5</v>
      </c>
      <c r="D475" s="546"/>
      <c r="E475" s="63"/>
      <c r="F475" s="587" t="str">
        <f>IF(F470=$F$7,$G$6,IF(ROUNDDOWN(F470,0)=$F$6,$H$6,$G$6))</f>
        <v>　レベル　5</v>
      </c>
      <c r="G475" s="3155" t="s">
        <v>1385</v>
      </c>
      <c r="H475" s="3162"/>
      <c r="I475" s="3162"/>
      <c r="J475" s="3156"/>
      <c r="K475" s="587" t="str">
        <f>IF(K470=$F$7,$G$6,IF(ROUNDDOWN(K470,0)=$F$6,$H$6,$G$6))</f>
        <v>　レベル　5</v>
      </c>
      <c r="L475" s="3155" t="s">
        <v>1550</v>
      </c>
      <c r="M475" s="3162"/>
      <c r="N475" s="3162"/>
      <c r="O475" s="3156"/>
    </row>
    <row r="476" spans="2:17">
      <c r="B476" s="594">
        <v>0</v>
      </c>
      <c r="C476" s="594">
        <v>0</v>
      </c>
      <c r="F476" s="887" t="s">
        <v>3402</v>
      </c>
      <c r="G476" s="2423"/>
      <c r="H476" s="2399"/>
      <c r="I476" s="2396"/>
      <c r="J476" s="2397"/>
      <c r="K476" s="887" t="s">
        <v>3402</v>
      </c>
      <c r="L476" s="2423"/>
      <c r="M476" s="2399"/>
      <c r="N476" s="2396"/>
      <c r="O476" s="2397"/>
      <c r="P476" s="2459"/>
      <c r="Q476" s="1281"/>
    </row>
    <row r="480" spans="2:17"/>
    <row r="481"/>
    <row r="482"/>
    <row r="483"/>
    <row r="484"/>
    <row r="485"/>
    <row r="486"/>
    <row r="487"/>
    <row r="488"/>
    <row r="489"/>
    <row r="490"/>
    <row r="491"/>
    <row r="492"/>
    <row r="493"/>
    <row r="494"/>
    <row r="495"/>
    <row r="496"/>
    <row r="497"/>
    <row r="498"/>
    <row r="499"/>
    <row r="500"/>
    <row r="501"/>
    <row r="502"/>
    <row r="503"/>
  </sheetData>
  <sheetProtection algorithmName="SHA-512" hashValue="nHwJ+SLwjY82m+muBGbUdZ9Rj1EXvVJSYKxGDk+DScD7R4eXJsb53DTYq//KFYBPAeHwg1JQ5Ni6oIl87zh1Ww==" saltValue="E/S8GEpaMy27MeDSvKDIRw==" spinCount="100000" sheet="1" objects="1" scenarios="1"/>
  <mergeCells count="408">
    <mergeCell ref="G474:J474"/>
    <mergeCell ref="L474:O474"/>
    <mergeCell ref="G475:J475"/>
    <mergeCell ref="L475:O475"/>
    <mergeCell ref="G472:J472"/>
    <mergeCell ref="L472:O472"/>
    <mergeCell ref="G473:J473"/>
    <mergeCell ref="L473:O473"/>
    <mergeCell ref="G464:J464"/>
    <mergeCell ref="L464:O464"/>
    <mergeCell ref="G471:J471"/>
    <mergeCell ref="L471:O471"/>
    <mergeCell ref="G462:J462"/>
    <mergeCell ref="L462:O462"/>
    <mergeCell ref="G463:J463"/>
    <mergeCell ref="L463:O463"/>
    <mergeCell ref="G460:J460"/>
    <mergeCell ref="L460:O460"/>
    <mergeCell ref="G461:J461"/>
    <mergeCell ref="L461:O461"/>
    <mergeCell ref="G455:H455"/>
    <mergeCell ref="I455:J455"/>
    <mergeCell ref="L455:M455"/>
    <mergeCell ref="N455:O455"/>
    <mergeCell ref="G454:H454"/>
    <mergeCell ref="I454:J454"/>
    <mergeCell ref="L454:M454"/>
    <mergeCell ref="N454:O454"/>
    <mergeCell ref="G453:H453"/>
    <mergeCell ref="I453:J453"/>
    <mergeCell ref="L453:M453"/>
    <mergeCell ref="N453:O453"/>
    <mergeCell ref="G452:H452"/>
    <mergeCell ref="I452:J452"/>
    <mergeCell ref="L452:M452"/>
    <mergeCell ref="N452:O452"/>
    <mergeCell ref="G451:H451"/>
    <mergeCell ref="I451:J451"/>
    <mergeCell ref="L451:M451"/>
    <mergeCell ref="N451:O451"/>
    <mergeCell ref="L443:M443"/>
    <mergeCell ref="N443:O443"/>
    <mergeCell ref="L444:M444"/>
    <mergeCell ref="N444:O444"/>
    <mergeCell ref="G443:H443"/>
    <mergeCell ref="G444:H444"/>
    <mergeCell ref="I443:J443"/>
    <mergeCell ref="I444:J444"/>
    <mergeCell ref="L441:M441"/>
    <mergeCell ref="N441:O441"/>
    <mergeCell ref="L442:M442"/>
    <mergeCell ref="N442:O442"/>
    <mergeCell ref="G441:H441"/>
    <mergeCell ref="G442:H442"/>
    <mergeCell ref="I441:J441"/>
    <mergeCell ref="I442:J442"/>
    <mergeCell ref="G434:H434"/>
    <mergeCell ref="I434:J434"/>
    <mergeCell ref="L434:O434"/>
    <mergeCell ref="L440:M440"/>
    <mergeCell ref="N440:O440"/>
    <mergeCell ref="G440:H440"/>
    <mergeCell ref="I440:J440"/>
    <mergeCell ref="G432:H432"/>
    <mergeCell ref="I432:J432"/>
    <mergeCell ref="L432:O432"/>
    <mergeCell ref="G433:H433"/>
    <mergeCell ref="I433:J433"/>
    <mergeCell ref="L433:O433"/>
    <mergeCell ref="G430:H430"/>
    <mergeCell ref="I430:J430"/>
    <mergeCell ref="L430:O430"/>
    <mergeCell ref="G431:H431"/>
    <mergeCell ref="I431:J431"/>
    <mergeCell ref="L431:O431"/>
    <mergeCell ref="G423:J423"/>
    <mergeCell ref="L423:O423"/>
    <mergeCell ref="G420:J420"/>
    <mergeCell ref="L420:O420"/>
    <mergeCell ref="G421:J421"/>
    <mergeCell ref="L421:O421"/>
    <mergeCell ref="G422:J422"/>
    <mergeCell ref="L422:O422"/>
    <mergeCell ref="G414:H414"/>
    <mergeCell ref="I414:J414"/>
    <mergeCell ref="L414:O414"/>
    <mergeCell ref="G419:J419"/>
    <mergeCell ref="L419:O419"/>
    <mergeCell ref="I410:J410"/>
    <mergeCell ref="L410:O410"/>
    <mergeCell ref="G411:H411"/>
    <mergeCell ref="I411:J411"/>
    <mergeCell ref="L411:O411"/>
    <mergeCell ref="G413:H413"/>
    <mergeCell ref="I413:J413"/>
    <mergeCell ref="L413:O413"/>
    <mergeCell ref="G402:J402"/>
    <mergeCell ref="L402:O402"/>
    <mergeCell ref="G403:J403"/>
    <mergeCell ref="L403:O403"/>
    <mergeCell ref="G412:H412"/>
    <mergeCell ref="I412:J412"/>
    <mergeCell ref="L412:O412"/>
    <mergeCell ref="G405:J405"/>
    <mergeCell ref="L405:O405"/>
    <mergeCell ref="G410:H410"/>
    <mergeCell ref="G394:H394"/>
    <mergeCell ref="I394:J394"/>
    <mergeCell ref="G404:J404"/>
    <mergeCell ref="L404:O404"/>
    <mergeCell ref="G395:H395"/>
    <mergeCell ref="I395:J395"/>
    <mergeCell ref="L395:O395"/>
    <mergeCell ref="G401:J401"/>
    <mergeCell ref="L401:O401"/>
    <mergeCell ref="L394:O394"/>
    <mergeCell ref="G391:H391"/>
    <mergeCell ref="I391:J391"/>
    <mergeCell ref="L391:O391"/>
    <mergeCell ref="G392:H392"/>
    <mergeCell ref="I392:J392"/>
    <mergeCell ref="L392:O392"/>
    <mergeCell ref="G393:H393"/>
    <mergeCell ref="I393:J393"/>
    <mergeCell ref="L393:O393"/>
    <mergeCell ref="G382:H382"/>
    <mergeCell ref="L382:M382"/>
    <mergeCell ref="N382:O382"/>
    <mergeCell ref="G383:H383"/>
    <mergeCell ref="L383:M383"/>
    <mergeCell ref="N383:O383"/>
    <mergeCell ref="G380:H380"/>
    <mergeCell ref="L380:M380"/>
    <mergeCell ref="N380:O380"/>
    <mergeCell ref="G381:H381"/>
    <mergeCell ref="L381:M381"/>
    <mergeCell ref="N381:O381"/>
    <mergeCell ref="J379:J382"/>
    <mergeCell ref="G379:H379"/>
    <mergeCell ref="L379:M379"/>
    <mergeCell ref="N379:O379"/>
    <mergeCell ref="G377:H377"/>
    <mergeCell ref="L377:M377"/>
    <mergeCell ref="N377:O377"/>
    <mergeCell ref="G376:H376"/>
    <mergeCell ref="L376:M376"/>
    <mergeCell ref="N376:O376"/>
    <mergeCell ref="G375:H375"/>
    <mergeCell ref="L375:M375"/>
    <mergeCell ref="N375:O375"/>
    <mergeCell ref="F360:F361"/>
    <mergeCell ref="K360:K361"/>
    <mergeCell ref="G353:H353"/>
    <mergeCell ref="G354:H354"/>
    <mergeCell ref="G355:H355"/>
    <mergeCell ref="G374:H374"/>
    <mergeCell ref="L374:M374"/>
    <mergeCell ref="N374:O374"/>
    <mergeCell ref="G366:J366"/>
    <mergeCell ref="L366:O366"/>
    <mergeCell ref="G373:H373"/>
    <mergeCell ref="L373:M373"/>
    <mergeCell ref="N373:O373"/>
    <mergeCell ref="G364:J364"/>
    <mergeCell ref="L364:O364"/>
    <mergeCell ref="G365:J365"/>
    <mergeCell ref="L365:O365"/>
    <mergeCell ref="L331:O331"/>
    <mergeCell ref="L332:O332"/>
    <mergeCell ref="G331:H331"/>
    <mergeCell ref="I331:J331"/>
    <mergeCell ref="G332:H332"/>
    <mergeCell ref="I332:J332"/>
    <mergeCell ref="G362:J362"/>
    <mergeCell ref="L362:O362"/>
    <mergeCell ref="G363:J363"/>
    <mergeCell ref="L363:O363"/>
    <mergeCell ref="G356:H356"/>
    <mergeCell ref="G357:H357"/>
    <mergeCell ref="L329:O329"/>
    <mergeCell ref="L330:O330"/>
    <mergeCell ref="G329:H329"/>
    <mergeCell ref="I329:J329"/>
    <mergeCell ref="G330:H330"/>
    <mergeCell ref="I330:J330"/>
    <mergeCell ref="L328:O328"/>
    <mergeCell ref="G328:H328"/>
    <mergeCell ref="I328:J328"/>
    <mergeCell ref="G311:H311"/>
    <mergeCell ref="I311:J311"/>
    <mergeCell ref="L311:O311"/>
    <mergeCell ref="G312:H312"/>
    <mergeCell ref="I312:J312"/>
    <mergeCell ref="L312:O312"/>
    <mergeCell ref="G309:H309"/>
    <mergeCell ref="I309:J309"/>
    <mergeCell ref="L309:O309"/>
    <mergeCell ref="G310:H310"/>
    <mergeCell ref="I310:J310"/>
    <mergeCell ref="L310:O310"/>
    <mergeCell ref="G302:J302"/>
    <mergeCell ref="G308:H308"/>
    <mergeCell ref="I308:J308"/>
    <mergeCell ref="L308:O308"/>
    <mergeCell ref="G298:J298"/>
    <mergeCell ref="G299:J299"/>
    <mergeCell ref="G300:J300"/>
    <mergeCell ref="G301:J301"/>
    <mergeCell ref="G290:J290"/>
    <mergeCell ref="L290:M290"/>
    <mergeCell ref="N290:O290"/>
    <mergeCell ref="G291:J291"/>
    <mergeCell ref="L291:M291"/>
    <mergeCell ref="N291:O291"/>
    <mergeCell ref="G288:J288"/>
    <mergeCell ref="L288:M288"/>
    <mergeCell ref="N288:O288"/>
    <mergeCell ref="G289:J289"/>
    <mergeCell ref="L289:M289"/>
    <mergeCell ref="N289:O289"/>
    <mergeCell ref="G279:J279"/>
    <mergeCell ref="L279:O279"/>
    <mergeCell ref="G287:J287"/>
    <mergeCell ref="L287:M287"/>
    <mergeCell ref="N287:O287"/>
    <mergeCell ref="G277:J277"/>
    <mergeCell ref="L277:O277"/>
    <mergeCell ref="G278:J278"/>
    <mergeCell ref="L278:O278"/>
    <mergeCell ref="G275:J275"/>
    <mergeCell ref="L275:O275"/>
    <mergeCell ref="G276:J276"/>
    <mergeCell ref="L276:O276"/>
    <mergeCell ref="N268:O268"/>
    <mergeCell ref="G269:H269"/>
    <mergeCell ref="I269:J269"/>
    <mergeCell ref="L269:M269"/>
    <mergeCell ref="N269:O269"/>
    <mergeCell ref="G267:H267"/>
    <mergeCell ref="I267:J267"/>
    <mergeCell ref="L267:M267"/>
    <mergeCell ref="N267:O267"/>
    <mergeCell ref="G265:H265"/>
    <mergeCell ref="I265:J265"/>
    <mergeCell ref="L265:M265"/>
    <mergeCell ref="N265:O265"/>
    <mergeCell ref="I262:J262"/>
    <mergeCell ref="N262:O262"/>
    <mergeCell ref="G263:H263"/>
    <mergeCell ref="I263:J263"/>
    <mergeCell ref="L263:M263"/>
    <mergeCell ref="N263:O263"/>
    <mergeCell ref="G250:H250"/>
    <mergeCell ref="L250:M250"/>
    <mergeCell ref="N250:O250"/>
    <mergeCell ref="N251:O251"/>
    <mergeCell ref="I260:J260"/>
    <mergeCell ref="G261:H261"/>
    <mergeCell ref="I261:J261"/>
    <mergeCell ref="L261:M261"/>
    <mergeCell ref="N261:O261"/>
    <mergeCell ref="N252:O252"/>
    <mergeCell ref="G259:H259"/>
    <mergeCell ref="I259:J259"/>
    <mergeCell ref="L259:M259"/>
    <mergeCell ref="N259:O259"/>
    <mergeCell ref="G252:H252"/>
    <mergeCell ref="L252:M252"/>
    <mergeCell ref="G257:H257"/>
    <mergeCell ref="G248:H248"/>
    <mergeCell ref="L248:M248"/>
    <mergeCell ref="N248:O248"/>
    <mergeCell ref="N249:O249"/>
    <mergeCell ref="G245:H245"/>
    <mergeCell ref="L245:M245"/>
    <mergeCell ref="N245:O245"/>
    <mergeCell ref="G246:H246"/>
    <mergeCell ref="L246:M246"/>
    <mergeCell ref="N246:O246"/>
    <mergeCell ref="G243:H243"/>
    <mergeCell ref="L243:M243"/>
    <mergeCell ref="N243:O243"/>
    <mergeCell ref="G244:H244"/>
    <mergeCell ref="L244:M244"/>
    <mergeCell ref="N244:O244"/>
    <mergeCell ref="G235:J235"/>
    <mergeCell ref="L235:O235"/>
    <mergeCell ref="G242:H242"/>
    <mergeCell ref="L242:M242"/>
    <mergeCell ref="N242:O242"/>
    <mergeCell ref="G233:J233"/>
    <mergeCell ref="L233:O233"/>
    <mergeCell ref="G234:J234"/>
    <mergeCell ref="L234:O234"/>
    <mergeCell ref="G231:J231"/>
    <mergeCell ref="L231:O231"/>
    <mergeCell ref="G232:J232"/>
    <mergeCell ref="L232:O232"/>
    <mergeCell ref="G224:H224"/>
    <mergeCell ref="I224:J224"/>
    <mergeCell ref="G226:H226"/>
    <mergeCell ref="I226:J226"/>
    <mergeCell ref="G221:H221"/>
    <mergeCell ref="I221:J221"/>
    <mergeCell ref="G222:H222"/>
    <mergeCell ref="I222:J222"/>
    <mergeCell ref="G215:J215"/>
    <mergeCell ref="L215:O215"/>
    <mergeCell ref="L216:O216"/>
    <mergeCell ref="G217:J217"/>
    <mergeCell ref="L217:O217"/>
    <mergeCell ref="G213:J213"/>
    <mergeCell ref="L213:O213"/>
    <mergeCell ref="G214:J214"/>
    <mergeCell ref="L214:O214"/>
    <mergeCell ref="G207:I207"/>
    <mergeCell ref="J207:L207"/>
    <mergeCell ref="M207:N207"/>
    <mergeCell ref="G208:I208"/>
    <mergeCell ref="J208:L208"/>
    <mergeCell ref="M208:N208"/>
    <mergeCell ref="G204:I204"/>
    <mergeCell ref="J204:L204"/>
    <mergeCell ref="M204:N204"/>
    <mergeCell ref="G206:I206"/>
    <mergeCell ref="J206:L206"/>
    <mergeCell ref="M206:N206"/>
    <mergeCell ref="G192:J192"/>
    <mergeCell ref="G193:J193"/>
    <mergeCell ref="L193:M193"/>
    <mergeCell ref="I198:O198"/>
    <mergeCell ref="G187:J187"/>
    <mergeCell ref="L187:M187"/>
    <mergeCell ref="G189:J189"/>
    <mergeCell ref="L189:M189"/>
    <mergeCell ref="G190:J190"/>
    <mergeCell ref="G191:J191"/>
    <mergeCell ref="L191:M191"/>
    <mergeCell ref="M104:O104"/>
    <mergeCell ref="G183:J183"/>
    <mergeCell ref="G185:J185"/>
    <mergeCell ref="L183:M183"/>
    <mergeCell ref="N183:O183"/>
    <mergeCell ref="L184:M184"/>
    <mergeCell ref="N184:O184"/>
    <mergeCell ref="L185:M185"/>
    <mergeCell ref="N185:O185"/>
    <mergeCell ref="G161:J161"/>
    <mergeCell ref="N165:O165"/>
    <mergeCell ref="N166:O166"/>
    <mergeCell ref="N167:O167"/>
    <mergeCell ref="L186:M186"/>
    <mergeCell ref="N186:O186"/>
    <mergeCell ref="G167:J167"/>
    <mergeCell ref="M100:O100"/>
    <mergeCell ref="M101:O101"/>
    <mergeCell ref="M102:O102"/>
    <mergeCell ref="M103:O103"/>
    <mergeCell ref="N94:O94"/>
    <mergeCell ref="L96:M96"/>
    <mergeCell ref="N96:O96"/>
    <mergeCell ref="L98:M98"/>
    <mergeCell ref="N98:O98"/>
    <mergeCell ref="J67:K67"/>
    <mergeCell ref="J68:K68"/>
    <mergeCell ref="J69:K69"/>
    <mergeCell ref="L94:M94"/>
    <mergeCell ref="G63:G64"/>
    <mergeCell ref="H65:I65"/>
    <mergeCell ref="J65:K65"/>
    <mergeCell ref="J66:K66"/>
    <mergeCell ref="J56:K56"/>
    <mergeCell ref="L56:M56"/>
    <mergeCell ref="L58:M58"/>
    <mergeCell ref="N56:O56"/>
    <mergeCell ref="J57:K57"/>
    <mergeCell ref="L57:M57"/>
    <mergeCell ref="N57:O57"/>
    <mergeCell ref="N42:O42"/>
    <mergeCell ref="G43:H43"/>
    <mergeCell ref="I43:J43"/>
    <mergeCell ref="N43:O43"/>
    <mergeCell ref="H52:I52"/>
    <mergeCell ref="J52:K52"/>
    <mergeCell ref="F25:F26"/>
    <mergeCell ref="F34:F35"/>
    <mergeCell ref="N40:O40"/>
    <mergeCell ref="G41:H41"/>
    <mergeCell ref="I41:J41"/>
    <mergeCell ref="N193:O193"/>
    <mergeCell ref="N189:O189"/>
    <mergeCell ref="N190:O190"/>
    <mergeCell ref="N191:O191"/>
    <mergeCell ref="N192:O192"/>
    <mergeCell ref="N187:O187"/>
    <mergeCell ref="N41:O41"/>
    <mergeCell ref="I40:J40"/>
    <mergeCell ref="N44:O44"/>
    <mergeCell ref="G45:H45"/>
    <mergeCell ref="I45:J45"/>
    <mergeCell ref="N45:O45"/>
    <mergeCell ref="G44:H44"/>
    <mergeCell ref="I44:J44"/>
    <mergeCell ref="G42:H42"/>
    <mergeCell ref="I42:J42"/>
    <mergeCell ref="N58:O58"/>
    <mergeCell ref="L59:M59"/>
    <mergeCell ref="N59:O59"/>
  </mergeCells>
  <phoneticPr fontId="22"/>
  <conditionalFormatting sqref="F14 F75 F92 F109 F126 F143 F155 F171 F181 F203 F212 F221 F230 F240 F257 F274 F286 F297 F307 F318 F327 F337 F352 F371 F390 F400 F409 F418 F429 F439 F450 F459 F470">
    <cfRule type="expression" dxfId="88" priority="15" stopIfTrue="1">
      <formula>AND(OR(F14&lt;1,F14&gt;5),F14&lt;&gt;0)</formula>
    </cfRule>
    <cfRule type="expression" dxfId="87" priority="16" stopIfTrue="1">
      <formula>$J13&gt;0</formula>
    </cfRule>
  </conditionalFormatting>
  <conditionalFormatting sqref="F47">
    <cfRule type="expression" dxfId="86" priority="24" stopIfTrue="1">
      <formula>$M$51&lt;2000</formula>
    </cfRule>
  </conditionalFormatting>
  <conditionalFormatting sqref="F50">
    <cfRule type="expression" dxfId="85" priority="465" stopIfTrue="1">
      <formula>AND(OR($F$50&lt;1,$F$50&gt;5),$F$50&lt;&gt;$R$46)</formula>
    </cfRule>
    <cfRule type="expression" dxfId="84" priority="466" stopIfTrue="1">
      <formula>AND(J39&gt;0,$M$51&gt;0,I50=$N$4)</formula>
    </cfRule>
  </conditionalFormatting>
  <conditionalFormatting sqref="F360 K360">
    <cfRule type="expression" dxfId="83" priority="5" stopIfTrue="1">
      <formula>AND(OR(F360&lt;1,F360&gt;5),F360&lt;&gt;R367)</formula>
    </cfRule>
    <cfRule type="expression" dxfId="82" priority="6" stopIfTrue="1">
      <formula>J359&gt;0</formula>
    </cfRule>
  </conditionalFormatting>
  <conditionalFormatting sqref="F361 K361">
    <cfRule type="expression" dxfId="81" priority="7" stopIfTrue="1">
      <formula>AND(OR(F361&lt;1,F361&gt;5),F361&lt;&gt;#REF!)</formula>
    </cfRule>
    <cfRule type="expression" dxfId="80" priority="8" stopIfTrue="1">
      <formula>J360&gt;0</formula>
    </cfRule>
  </conditionalFormatting>
  <conditionalFormatting sqref="F52:G55">
    <cfRule type="expression" dxfId="79" priority="459" stopIfTrue="1">
      <formula>AND($J$39&gt;0,$M$51&gt;2000)</formula>
    </cfRule>
    <cfRule type="expression" dxfId="78" priority="460" stopIfTrue="1">
      <formula>AND($J$39&gt;0,$M$51&lt;2000,$F$47=$M$3)</formula>
    </cfRule>
  </conditionalFormatting>
  <conditionalFormatting sqref="F56:G59">
    <cfRule type="expression" dxfId="77" priority="21" stopIfTrue="1">
      <formula>$J$39&gt;0</formula>
    </cfRule>
  </conditionalFormatting>
  <conditionalFormatting sqref="G50">
    <cfRule type="expression" dxfId="76" priority="461" stopIfTrue="1">
      <formula>AND(OR($G$50&lt;1,$G$50&gt;5),$G$50&lt;&gt;$R$46)</formula>
    </cfRule>
    <cfRule type="expression" dxfId="75" priority="462" stopIfTrue="1">
      <formula>AND(O39&gt;0,O$51&gt;0,I50=$N$4)</formula>
    </cfRule>
  </conditionalFormatting>
  <conditionalFormatting sqref="G62">
    <cfRule type="expression" dxfId="74" priority="463" stopIfTrue="1">
      <formula>AND(OR($G$62&lt;1,$G$62&gt;5),$G$62&lt;&gt;$W$46)</formula>
    </cfRule>
    <cfRule type="expression" dxfId="73" priority="464" stopIfTrue="1">
      <formula>AND(O39&gt;0,K63&gt;0,I62=$N$4)</formula>
    </cfRule>
  </conditionalFormatting>
  <conditionalFormatting sqref="G65:G69">
    <cfRule type="expression" dxfId="72" priority="457" stopIfTrue="1">
      <formula>$I$62=$N$4</formula>
    </cfRule>
    <cfRule type="expression" dxfId="71" priority="458" stopIfTrue="1">
      <formula>AND($O$39&gt;0,$K$63&gt;0)</formula>
    </cfRule>
  </conditionalFormatting>
  <conditionalFormatting sqref="I50">
    <cfRule type="expression" dxfId="70" priority="1" stopIfTrue="1">
      <formula>AND(J39&gt;0,$M$51&gt;0)</formula>
    </cfRule>
  </conditionalFormatting>
  <conditionalFormatting sqref="I62">
    <cfRule type="expression" dxfId="69" priority="2" stopIfTrue="1">
      <formula>AND(O39&gt;0,K63&gt;0)</formula>
    </cfRule>
  </conditionalFormatting>
  <conditionalFormatting sqref="L14 K75 K92 K109 K126 K143 M155 K181 K212 K230 K240 K257 K274 K286 K307 K327 M352 K371 K390 K400 K409 K418 K429 K439 K450 K459 K470">
    <cfRule type="expression" dxfId="68" priority="3" stopIfTrue="1">
      <formula>AND(OR(K14&lt;1,K14&gt;5),K14&lt;&gt;0)</formula>
    </cfRule>
    <cfRule type="expression" dxfId="67" priority="4" stopIfTrue="1">
      <formula>$O13&gt;0</formula>
    </cfRule>
  </conditionalFormatting>
  <dataValidations count="10">
    <dataValidation type="list" allowBlank="1" showInputMessage="1" sqref="K360 F360" xr:uid="{00000000-0002-0000-0800-000000000000}">
      <formula1>R362:R367</formula1>
    </dataValidation>
    <dataValidation type="list" allowBlank="1" showInputMessage="1" sqref="L14 M155 K75 K126 K109 K92 K143 K212 K230 K181 K257 K286 K307 K318 K327 M352 K371 K390 K400 K409 K418 K429 K439 K450 K459 K470 K274 K240" xr:uid="{00000000-0002-0000-0800-000001000000}">
      <formula1>$C15:$C20</formula1>
    </dataValidation>
    <dataValidation type="list" allowBlank="1" showInputMessage="1" sqref="K361 F361" xr:uid="{00000000-0002-0000-0800-000002000000}">
      <formula1>R363:R367</formula1>
    </dataValidation>
    <dataValidation type="list" allowBlank="1" showInputMessage="1" sqref="F14 F155 F181 F143 F126 F109 F92 F75 F221 F230 F240 F286 F297 F307 F318 F327 F352 F371 F203 F409 F429 F439 F459 F470 F400 F337 F257 F450 F418 F274 F212 F171 F390" xr:uid="{00000000-0002-0000-0800-000003000000}">
      <formula1>$B15:$B20</formula1>
    </dataValidation>
    <dataValidation type="list" allowBlank="1" showInputMessage="1" showErrorMessage="1" sqref="G65:G69 F52:G59" xr:uid="{00000000-0002-0000-0800-000004000000}">
      <formula1>"○,　"</formula1>
    </dataValidation>
    <dataValidation type="list" allowBlank="1" sqref="G62" xr:uid="{00000000-0002-0000-0800-000005000000}">
      <formula1>$B$63:$B$68</formula1>
    </dataValidation>
    <dataValidation type="list" allowBlank="1" showInputMessage="1" sqref="G50" xr:uid="{00000000-0002-0000-0800-000006000000}">
      <formula1>$C$51:$C$56</formula1>
    </dataValidation>
    <dataValidation type="list" allowBlank="1" showInputMessage="1" sqref="F50" xr:uid="{00000000-0002-0000-0800-000007000000}">
      <formula1>$B$51:$B$56</formula1>
    </dataValidation>
    <dataValidation type="list" allowBlank="1" showInputMessage="1" showErrorMessage="1" sqref="I62 I50" xr:uid="{00000000-0002-0000-0800-000008000000}">
      <formula1>$N$3:$N$4</formula1>
    </dataValidation>
    <dataValidation type="list" allowBlank="1" showInputMessage="1" showErrorMessage="1" sqref="F47" xr:uid="{00000000-0002-0000-0800-000009000000}">
      <formula1>$M$3:$M$4</formula1>
    </dataValidation>
  </dataValidations>
  <printOptions horizontalCentered="1"/>
  <pageMargins left="0.59055118110236227" right="0.59055118110236227" top="0.78740157480314965" bottom="0.59055118110236227" header="0.51181102362204722" footer="0.51181102362204722"/>
  <pageSetup paperSize="9" scale="80" fitToHeight="0" orientation="portrait" verticalDpi="4294967293" r:id="rId1"/>
  <headerFooter alignWithMargins="0">
    <oddHeader>&amp;L&amp;F&amp;R&amp;A</oddHeader>
    <oddFooter>&amp;C&amp;P/&amp;N</oddFooter>
  </headerFooter>
  <rowBreaks count="8" manualBreakCount="8">
    <brk id="140" min="3" max="15" man="1"/>
    <brk id="178" min="3" max="15" man="1"/>
    <brk id="237" min="3" max="15" man="1"/>
    <brk id="281" min="3" max="15" man="1"/>
    <brk id="349" min="3" max="15" man="1"/>
    <brk id="385" min="3" max="15" man="1"/>
    <brk id="436" min="3" max="15" man="1"/>
    <brk id="466" min="3" max="15"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autoPageBreaks="0" fitToPage="1"/>
  </sheetPr>
  <dimension ref="A1:AI428"/>
  <sheetViews>
    <sheetView showGridLines="0" topLeftCell="A50" zoomScaleNormal="100" workbookViewId="0">
      <selection activeCell="O64" sqref="O64"/>
    </sheetView>
  </sheetViews>
  <sheetFormatPr defaultColWidth="0" defaultRowHeight="13.5" zeroHeight="1"/>
  <cols>
    <col min="1" max="1" width="2.625" customWidth="1"/>
    <col min="2" max="3" width="6" hidden="1" customWidth="1"/>
    <col min="4" max="4" width="5" style="1474" customWidth="1"/>
    <col min="5" max="5" width="1.5" style="44" customWidth="1"/>
    <col min="6" max="15" width="10.625" style="44" customWidth="1"/>
    <col min="16" max="16" width="2.875" customWidth="1"/>
    <col min="17" max="21" width="5.875" hidden="1" customWidth="1"/>
    <col min="22" max="16384" width="5.5" hidden="1"/>
  </cols>
  <sheetData>
    <row r="1" spans="2:15" ht="15.75">
      <c r="D1" s="542"/>
      <c r="E1" s="543"/>
      <c r="F1" s="543"/>
      <c r="G1" s="543"/>
      <c r="H1" s="543"/>
      <c r="I1" s="543"/>
      <c r="J1" s="543"/>
      <c r="K1" s="543"/>
      <c r="L1" s="543"/>
      <c r="M1" s="544" t="s">
        <v>2279</v>
      </c>
      <c r="N1" s="545" t="str">
        <f>メイン!C11</f>
        <v>○○ビル</v>
      </c>
      <c r="O1" s="545"/>
    </row>
    <row r="2" spans="2:15" ht="15.75" hidden="1">
      <c r="D2" s="542"/>
      <c r="E2" s="543"/>
      <c r="F2">
        <v>1</v>
      </c>
      <c r="G2" t="s">
        <v>1390</v>
      </c>
      <c r="H2" t="s">
        <v>2226</v>
      </c>
      <c r="I2"/>
      <c r="J2" s="543"/>
      <c r="K2" s="543"/>
      <c r="L2" s="543"/>
      <c r="M2" s="2467"/>
      <c r="N2" s="474"/>
      <c r="O2" s="474"/>
    </row>
    <row r="3" spans="2:15" ht="15.75" hidden="1">
      <c r="D3" s="542"/>
      <c r="E3" s="543"/>
      <c r="F3">
        <v>2</v>
      </c>
      <c r="G3" t="s">
        <v>1113</v>
      </c>
      <c r="H3" t="s">
        <v>1114</v>
      </c>
      <c r="I3"/>
      <c r="J3" s="543"/>
      <c r="K3" t="s">
        <v>1112</v>
      </c>
      <c r="L3" t="s">
        <v>1138</v>
      </c>
      <c r="M3" t="s">
        <v>1634</v>
      </c>
      <c r="N3" t="s">
        <v>2841</v>
      </c>
      <c r="O3" t="str">
        <f>メイン!I37</f>
        <v>基本設計段階</v>
      </c>
    </row>
    <row r="4" spans="2:15" ht="15.75" hidden="1">
      <c r="D4" s="542"/>
      <c r="E4" s="543"/>
      <c r="F4">
        <v>3</v>
      </c>
      <c r="G4" t="s">
        <v>1119</v>
      </c>
      <c r="H4" t="s">
        <v>1120</v>
      </c>
      <c r="I4"/>
      <c r="J4" s="543"/>
      <c r="K4" s="543"/>
      <c r="L4"/>
      <c r="M4"/>
      <c r="N4" t="s">
        <v>2844</v>
      </c>
      <c r="O4" t="str">
        <f>メイン!I38</f>
        <v>実施設計段階</v>
      </c>
    </row>
    <row r="5" spans="2:15" ht="15.75" hidden="1">
      <c r="D5" s="542"/>
      <c r="E5" s="543"/>
      <c r="F5">
        <v>4</v>
      </c>
      <c r="G5" t="s">
        <v>1015</v>
      </c>
      <c r="H5" t="s">
        <v>1016</v>
      </c>
      <c r="I5"/>
      <c r="J5" s="543"/>
      <c r="K5" s="543"/>
      <c r="L5"/>
      <c r="M5"/>
      <c r="N5"/>
      <c r="O5" t="str">
        <f>メイン!I39</f>
        <v>竣工段階</v>
      </c>
    </row>
    <row r="6" spans="2:15" ht="15.75" hidden="1">
      <c r="D6" s="542"/>
      <c r="E6" s="543"/>
      <c r="F6">
        <v>5</v>
      </c>
      <c r="G6" t="s">
        <v>1022</v>
      </c>
      <c r="H6" t="s">
        <v>1023</v>
      </c>
      <c r="I6"/>
      <c r="J6" s="543"/>
      <c r="K6" s="543"/>
      <c r="L6"/>
      <c r="M6" t="s">
        <v>1387</v>
      </c>
      <c r="N6"/>
      <c r="O6">
        <f>メイン!Q42</f>
        <v>0</v>
      </c>
    </row>
    <row r="7" spans="2:15" ht="15.75" hidden="1">
      <c r="D7" s="542"/>
      <c r="E7" s="543"/>
      <c r="F7">
        <v>0</v>
      </c>
      <c r="G7" t="s">
        <v>2232</v>
      </c>
      <c r="H7" t="s">
        <v>2232</v>
      </c>
      <c r="I7"/>
      <c r="J7" s="543"/>
      <c r="K7" s="543"/>
      <c r="L7"/>
      <c r="M7" t="s">
        <v>1388</v>
      </c>
      <c r="N7" t="s">
        <v>1551</v>
      </c>
      <c r="O7"/>
    </row>
    <row r="8" spans="2:15" ht="16.5" thickBot="1">
      <c r="D8" s="542"/>
      <c r="E8" s="543"/>
      <c r="F8"/>
      <c r="G8"/>
      <c r="H8"/>
      <c r="I8"/>
      <c r="J8" s="543"/>
      <c r="K8" s="543"/>
      <c r="L8" s="543"/>
      <c r="N8" s="543"/>
      <c r="O8" s="543"/>
    </row>
    <row r="9" spans="2:15" ht="18.75" thickBot="1">
      <c r="D9" s="834" t="s">
        <v>1386</v>
      </c>
      <c r="E9" s="547"/>
      <c r="F9" s="433"/>
      <c r="G9" s="433"/>
      <c r="H9" s="433"/>
      <c r="I9" s="548"/>
      <c r="J9" s="549" t="str">
        <f>採点Q1!J9</f>
        <v>色欄について、プルダウンメニューから選択、または数値・コメント※を記入。</v>
      </c>
      <c r="K9" s="63"/>
      <c r="L9" s="63"/>
      <c r="M9" s="433"/>
      <c r="N9" s="433"/>
      <c r="O9" s="550" t="str">
        <f>IF(メイン!E39=0,"",メイン!E39)</f>
        <v/>
      </c>
    </row>
    <row r="10" spans="2:15" ht="17.25">
      <c r="D10" s="546"/>
      <c r="E10" s="547"/>
      <c r="F10" s="433"/>
      <c r="G10" s="433"/>
      <c r="H10" s="433"/>
      <c r="I10" s="433"/>
      <c r="J10" s="2743" t="str">
        <f>採点Q1!J10</f>
        <v>※環境配慮の概要は最長30字程度。レベル３を超える場合は必ず記入し、多い場合は配慮シートに記述する。</v>
      </c>
      <c r="K10" s="63"/>
      <c r="L10" s="63"/>
      <c r="M10" s="433"/>
      <c r="N10" s="433"/>
      <c r="O10" s="433"/>
    </row>
    <row r="11" spans="2:15" ht="15.75">
      <c r="D11" s="542">
        <v>1</v>
      </c>
      <c r="E11" s="551" t="s">
        <v>784</v>
      </c>
      <c r="F11" s="551"/>
      <c r="G11" s="551"/>
      <c r="H11" s="551"/>
      <c r="I11" s="551"/>
      <c r="J11" s="551"/>
      <c r="K11" s="551"/>
      <c r="L11" s="551"/>
      <c r="M11" s="551"/>
      <c r="N11" s="551"/>
      <c r="O11" s="551"/>
    </row>
    <row r="12" spans="2:15" ht="15.75">
      <c r="D12" s="542">
        <v>1.1000000000000001</v>
      </c>
      <c r="E12" s="551" t="s">
        <v>1977</v>
      </c>
      <c r="F12" s="551"/>
      <c r="G12" s="555"/>
      <c r="H12" s="551"/>
      <c r="I12" s="551"/>
      <c r="J12" s="551"/>
      <c r="K12" s="551"/>
      <c r="L12" s="555"/>
      <c r="M12" s="551"/>
      <c r="N12" s="551"/>
      <c r="O12" s="551"/>
    </row>
    <row r="13" spans="2:15" ht="15.75">
      <c r="D13" s="546"/>
      <c r="E13" s="63"/>
      <c r="F13" s="554" t="s">
        <v>1552</v>
      </c>
      <c r="G13" s="555"/>
      <c r="H13" s="551"/>
      <c r="I13" s="543"/>
      <c r="J13" s="621" t="str">
        <f>IF(OR(F15=0,AND(J14=0,O14=0)),$L$3,"")</f>
        <v/>
      </c>
      <c r="K13" s="554"/>
      <c r="L13" s="555"/>
      <c r="M13" s="551"/>
      <c r="N13" s="543"/>
      <c r="O13" s="556"/>
    </row>
    <row r="14" spans="2:15" ht="15.75" customHeight="1" thickBot="1">
      <c r="D14" s="546"/>
      <c r="E14" s="63"/>
      <c r="F14" s="558" t="s">
        <v>392</v>
      </c>
      <c r="G14" s="559"/>
      <c r="H14" s="1530"/>
      <c r="I14" s="561" t="s">
        <v>1141</v>
      </c>
      <c r="J14" s="564">
        <f>重み!M65</f>
        <v>0.33333333333333331</v>
      </c>
      <c r="K14" s="558" t="s">
        <v>1638</v>
      </c>
      <c r="L14" s="559"/>
      <c r="M14" s="1530"/>
      <c r="N14" s="561" t="s">
        <v>1141</v>
      </c>
      <c r="O14" s="564">
        <f>重み!N65</f>
        <v>0</v>
      </c>
    </row>
    <row r="15" spans="2:15" ht="27" customHeight="1" thickBot="1">
      <c r="D15" s="546"/>
      <c r="E15" s="63"/>
      <c r="F15" s="565">
        <v>3</v>
      </c>
      <c r="G15" s="661" t="s">
        <v>1553</v>
      </c>
      <c r="H15" s="571"/>
      <c r="I15" s="729" t="s">
        <v>1487</v>
      </c>
      <c r="J15" s="847"/>
      <c r="K15" s="565">
        <v>3</v>
      </c>
      <c r="L15" s="661" t="s">
        <v>1554</v>
      </c>
      <c r="M15" s="571"/>
      <c r="N15" s="661" t="s">
        <v>1389</v>
      </c>
      <c r="O15" s="571"/>
    </row>
    <row r="16" spans="2:15" ht="30.75" customHeight="1">
      <c r="B16" s="731">
        <v>1</v>
      </c>
      <c r="C16" s="1">
        <v>1</v>
      </c>
      <c r="D16" s="546"/>
      <c r="E16" s="63"/>
      <c r="F16" s="572" t="str">
        <f>IF(F15=$F$7,$G$2,IF(ROUNDDOWN(F15,0)=$F$2,$H$2,$G$2))</f>
        <v>　レベル　1</v>
      </c>
      <c r="G16" s="1329" t="s">
        <v>1903</v>
      </c>
      <c r="H16" s="1717"/>
      <c r="I16" s="2534" t="s">
        <v>1904</v>
      </c>
      <c r="J16" s="1905"/>
      <c r="K16" s="572" t="str">
        <f>IF(K15=$F$7,$G$2,IF(ROUNDDOWN(K15,0)=$F$2,$H$2,$G$2))</f>
        <v>　レベル　1</v>
      </c>
      <c r="L16" s="1329" t="s">
        <v>1363</v>
      </c>
      <c r="M16" s="2478"/>
      <c r="N16" s="2499" t="s">
        <v>1363</v>
      </c>
      <c r="O16" s="2478"/>
    </row>
    <row r="17" spans="2:35" ht="30.75" customHeight="1">
      <c r="B17" s="731" t="s">
        <v>2418</v>
      </c>
      <c r="C17" s="1" t="s">
        <v>2418</v>
      </c>
      <c r="D17" s="546"/>
      <c r="E17" s="63"/>
      <c r="F17" s="577" t="str">
        <f>IF(F15=$F$7,$G$3,IF(ROUNDDOWN(F15,0)=$F$3,$H$3,$G$3))</f>
        <v>　レベル　2</v>
      </c>
      <c r="G17" s="705" t="s">
        <v>1818</v>
      </c>
      <c r="H17" s="586"/>
      <c r="I17" s="2535" t="s">
        <v>1905</v>
      </c>
      <c r="J17" s="1906"/>
      <c r="K17" s="577" t="str">
        <f>IF(K15=$F$7,$G$3,IF(ROUNDDOWN(K15,0)=$F$3,$H$3,$G$3))</f>
        <v>　レベル　2</v>
      </c>
      <c r="L17" s="705" t="s">
        <v>1818</v>
      </c>
      <c r="M17" s="1971"/>
      <c r="N17" s="1964" t="s">
        <v>1818</v>
      </c>
      <c r="O17" s="1971"/>
    </row>
    <row r="18" spans="2:35" ht="30.75" customHeight="1">
      <c r="B18" s="1">
        <v>3</v>
      </c>
      <c r="C18" s="1">
        <v>3</v>
      </c>
      <c r="D18" s="546"/>
      <c r="E18" s="63"/>
      <c r="F18" s="577" t="str">
        <f>IF(F15=$F$7,$G$4,IF(ROUNDDOWN(F15,0)=$F$4,$H$4,$G$4))</f>
        <v>■レベル　3</v>
      </c>
      <c r="G18" s="3157" t="s">
        <v>1906</v>
      </c>
      <c r="H18" s="3201"/>
      <c r="I18" s="2535" t="s">
        <v>1907</v>
      </c>
      <c r="J18" s="1906"/>
      <c r="K18" s="577" t="str">
        <f>IF(K15=$F$7,$G$4,IF(ROUNDDOWN(K15,0)=$F$4,$H$4,$G$4))</f>
        <v>■レベル　3</v>
      </c>
      <c r="L18" s="3157" t="s">
        <v>2227</v>
      </c>
      <c r="M18" s="3244"/>
      <c r="N18" s="3238" t="s">
        <v>2228</v>
      </c>
      <c r="O18" s="3244"/>
    </row>
    <row r="19" spans="2:35" ht="30.75" customHeight="1">
      <c r="B19" s="731">
        <v>4</v>
      </c>
      <c r="C19" s="1">
        <v>4</v>
      </c>
      <c r="D19" s="546"/>
      <c r="E19" s="63"/>
      <c r="F19" s="577" t="str">
        <f>IF(F15=$F$7,$G$5,IF(ROUNDDOWN(F15,0)=$F$5,$H$5,$G$5))</f>
        <v>　レベル　4</v>
      </c>
      <c r="G19" s="3157" t="s">
        <v>1541</v>
      </c>
      <c r="H19" s="3244"/>
      <c r="I19" s="2535" t="s">
        <v>1908</v>
      </c>
      <c r="J19" s="1906"/>
      <c r="K19" s="577" t="str">
        <f>IF(K15=$F$7,$G$5,IF(ROUNDDOWN(K15,0)=$F$5,$H$5,$G$5))</f>
        <v>　レベル　4</v>
      </c>
      <c r="L19" s="705" t="s">
        <v>1818</v>
      </c>
      <c r="M19" s="1971"/>
      <c r="N19" s="3238" t="s">
        <v>2229</v>
      </c>
      <c r="O19" s="3244"/>
    </row>
    <row r="20" spans="2:35" ht="30.75" customHeight="1">
      <c r="B20" s="731">
        <v>5</v>
      </c>
      <c r="C20" s="1">
        <v>5</v>
      </c>
      <c r="D20" s="546"/>
      <c r="E20" s="63"/>
      <c r="F20" s="587" t="str">
        <f>IF(F15=$F$7,$G$6,IF(ROUNDDOWN(F15,0)=$F$6,$H$6,$G$6))</f>
        <v>　レベル　5</v>
      </c>
      <c r="G20" s="3155" t="s">
        <v>1909</v>
      </c>
      <c r="H20" s="3243"/>
      <c r="I20" s="2536" t="s">
        <v>1908</v>
      </c>
      <c r="J20" s="1907"/>
      <c r="K20" s="587" t="str">
        <f>IF(K15=$F$7,$G$6,IF(ROUNDDOWN(K15,0)=$F$6,$H$6,$G$6))</f>
        <v>　レベル　5</v>
      </c>
      <c r="L20" s="3155" t="s">
        <v>2230</v>
      </c>
      <c r="M20" s="3243"/>
      <c r="N20" s="3241" t="s">
        <v>2231</v>
      </c>
      <c r="O20" s="3243"/>
    </row>
    <row r="21" spans="2:35" ht="15.75">
      <c r="B21" s="594">
        <v>0</v>
      </c>
      <c r="C21" s="594">
        <v>0</v>
      </c>
      <c r="D21" s="546"/>
      <c r="E21" s="546"/>
      <c r="F21" s="887" t="s">
        <v>3402</v>
      </c>
      <c r="G21" s="2423"/>
      <c r="H21" s="2399"/>
      <c r="I21" s="2396"/>
      <c r="J21" s="2397"/>
      <c r="K21" s="2459"/>
      <c r="L21" s="1281"/>
      <c r="M21" s="1281"/>
      <c r="N21" s="1281"/>
      <c r="O21" s="1281"/>
      <c r="P21" s="546"/>
      <c r="Q21" s="546"/>
      <c r="R21" s="546"/>
      <c r="S21" s="546"/>
      <c r="T21" s="546"/>
      <c r="U21" s="546"/>
      <c r="V21" s="546"/>
      <c r="W21" s="546"/>
      <c r="X21" s="546"/>
      <c r="Y21" s="546"/>
      <c r="Z21" s="546"/>
      <c r="AA21" s="546"/>
      <c r="AB21" s="546"/>
      <c r="AC21" s="546"/>
      <c r="AD21" s="546"/>
      <c r="AE21" s="546"/>
      <c r="AF21" s="546"/>
      <c r="AG21" s="546"/>
      <c r="AH21" s="546"/>
      <c r="AI21" s="546"/>
    </row>
    <row r="22" spans="2:35" ht="15.75">
      <c r="B22" s="918"/>
      <c r="C22" s="918"/>
      <c r="D22" s="546"/>
      <c r="E22" s="546"/>
      <c r="G22" s="2459" t="s">
        <v>3721</v>
      </c>
      <c r="H22" s="2702">
        <v>6</v>
      </c>
      <c r="I22" s="2459" t="s">
        <v>3722</v>
      </c>
      <c r="J22" s="2702">
        <v>8</v>
      </c>
      <c r="K22" s="2459" t="s">
        <v>3723</v>
      </c>
      <c r="L22" s="2702">
        <v>15</v>
      </c>
      <c r="M22" s="2459" t="s">
        <v>3724</v>
      </c>
      <c r="N22" s="2702">
        <v>22</v>
      </c>
      <c r="P22" s="546"/>
      <c r="Q22" s="546"/>
      <c r="R22" s="546"/>
      <c r="S22" s="546"/>
      <c r="T22" s="546"/>
      <c r="U22" s="546"/>
      <c r="V22" s="546"/>
      <c r="W22" s="546"/>
      <c r="X22" s="546"/>
      <c r="Y22" s="546"/>
      <c r="Z22" s="546"/>
      <c r="AA22" s="546"/>
      <c r="AB22" s="546"/>
      <c r="AC22" s="546"/>
      <c r="AD22" s="546"/>
      <c r="AE22" s="546"/>
      <c r="AF22" s="546"/>
      <c r="AG22" s="546"/>
      <c r="AH22" s="546"/>
      <c r="AI22" s="546"/>
    </row>
    <row r="23" spans="2:35" ht="15.75">
      <c r="B23" s="918"/>
      <c r="C23" s="918"/>
      <c r="D23" s="546"/>
      <c r="E23" s="546"/>
      <c r="F23" s="546"/>
      <c r="G23" s="546"/>
      <c r="H23" s="546"/>
      <c r="I23" s="546"/>
      <c r="J23" s="546"/>
      <c r="K23" s="546"/>
      <c r="L23" s="546"/>
      <c r="M23" s="546"/>
      <c r="N23" s="546"/>
      <c r="O23" s="546"/>
      <c r="P23" s="546"/>
      <c r="Q23" s="546"/>
      <c r="R23" s="546"/>
      <c r="S23" s="546"/>
      <c r="T23" s="546"/>
      <c r="U23" s="546"/>
      <c r="V23" s="546"/>
      <c r="W23" s="546"/>
      <c r="X23" s="546"/>
      <c r="Y23" s="546"/>
      <c r="Z23" s="546"/>
      <c r="AA23" s="546"/>
      <c r="AB23" s="546"/>
      <c r="AC23" s="546"/>
      <c r="AD23" s="546"/>
      <c r="AE23" s="546"/>
      <c r="AF23" s="546"/>
      <c r="AG23" s="546"/>
      <c r="AH23" s="546"/>
      <c r="AI23" s="546"/>
    </row>
    <row r="24" spans="2:35" ht="15.75">
      <c r="D24" s="546"/>
      <c r="E24" s="433"/>
      <c r="F24" s="554" t="s">
        <v>1542</v>
      </c>
      <c r="G24"/>
      <c r="H24"/>
      <c r="I24"/>
      <c r="J24" t="str">
        <f>IF(OR(F26=0,AND(J25=0,O25=0)),$L$3,"")</f>
        <v/>
      </c>
      <c r="K24"/>
      <c r="L24"/>
      <c r="M24"/>
      <c r="N24"/>
      <c r="O24"/>
    </row>
    <row r="25" spans="2:35" ht="15.75" customHeight="1" thickBot="1">
      <c r="D25" s="546"/>
      <c r="E25" s="433"/>
      <c r="F25" s="558" t="s">
        <v>2233</v>
      </c>
      <c r="G25" s="559"/>
      <c r="H25" s="1530"/>
      <c r="I25" s="561" t="s">
        <v>1141</v>
      </c>
      <c r="J25" s="564">
        <f>重み!M66</f>
        <v>0.33333333333333331</v>
      </c>
      <c r="K25" s="558" t="s">
        <v>1638</v>
      </c>
      <c r="L25" s="559"/>
      <c r="M25" s="1530"/>
      <c r="N25" s="561" t="s">
        <v>1141</v>
      </c>
      <c r="O25" s="564">
        <f>重み!N66</f>
        <v>0</v>
      </c>
    </row>
    <row r="26" spans="2:35" ht="27" customHeight="1" thickBot="1">
      <c r="D26" s="546"/>
      <c r="E26" s="433"/>
      <c r="F26" s="565">
        <v>3</v>
      </c>
      <c r="G26" s="661" t="s">
        <v>1553</v>
      </c>
      <c r="H26" s="570"/>
      <c r="I26" s="570"/>
      <c r="J26" s="571"/>
      <c r="K26" s="565">
        <v>3</v>
      </c>
      <c r="L26" s="661" t="s">
        <v>2234</v>
      </c>
      <c r="M26" s="570"/>
      <c r="N26" s="570"/>
      <c r="O26" s="571"/>
    </row>
    <row r="27" spans="2:35" ht="21" customHeight="1">
      <c r="B27" s="1">
        <v>1</v>
      </c>
      <c r="C27" s="1">
        <v>1</v>
      </c>
      <c r="D27" s="546"/>
      <c r="E27" s="433"/>
      <c r="F27" s="572" t="str">
        <f>IF(F26=$F$7,$G$2,IF(ROUNDDOWN(F26,0)=$F$2,$H$2,$G$2))</f>
        <v>　レベル　1</v>
      </c>
      <c r="G27" s="2499" t="s">
        <v>1690</v>
      </c>
      <c r="H27" s="2477"/>
      <c r="I27" s="2477"/>
      <c r="J27" s="2478"/>
      <c r="K27" s="2481" t="str">
        <f>IF(K26=$F$7,$G$2,IF(ROUNDDOWN(K26,0)=$F$2,$H$2,$G$2))</f>
        <v>　レベル　1</v>
      </c>
      <c r="L27" s="2499" t="s">
        <v>1690</v>
      </c>
      <c r="M27" s="2477"/>
      <c r="N27" s="2477"/>
      <c r="O27" s="2478"/>
    </row>
    <row r="28" spans="2:35" ht="54.75" customHeight="1">
      <c r="B28" s="1">
        <v>2</v>
      </c>
      <c r="C28" s="1">
        <v>2</v>
      </c>
      <c r="D28" s="546"/>
      <c r="E28" s="433"/>
      <c r="F28" s="577" t="str">
        <f>IF(F26=$F$7,$G$3,IF(ROUNDDOWN(F26,0)=$F$3,$H$3,$G$3))</f>
        <v>　レベル　2</v>
      </c>
      <c r="G28" s="3238" t="s">
        <v>1408</v>
      </c>
      <c r="H28" s="3245"/>
      <c r="I28" s="3245"/>
      <c r="J28" s="3244"/>
      <c r="K28" s="2481" t="str">
        <f>IF(K26=$F$7,$G$3,IF(ROUNDDOWN(K26,0)=$F$3,$H$3,$G$3))</f>
        <v>　レベル　2</v>
      </c>
      <c r="L28" s="3259" t="s">
        <v>1914</v>
      </c>
      <c r="M28" s="3245"/>
      <c r="N28" s="3245"/>
      <c r="O28" s="3244"/>
    </row>
    <row r="29" spans="2:35" ht="67.5" customHeight="1">
      <c r="B29" s="1">
        <v>3</v>
      </c>
      <c r="C29" s="1">
        <v>3</v>
      </c>
      <c r="D29" s="546"/>
      <c r="E29" s="433"/>
      <c r="F29" s="577" t="str">
        <f>IF(F26=$F$7,$G$4,IF(ROUNDDOWN(F26,0)=$F$4,$H$4,$G$4))</f>
        <v>■レベル　3</v>
      </c>
      <c r="G29" s="3238" t="s">
        <v>1915</v>
      </c>
      <c r="H29" s="3245"/>
      <c r="I29" s="3245"/>
      <c r="J29" s="3244"/>
      <c r="K29" s="2481" t="str">
        <f>IF(K26=$F$7,$G$4,IF(ROUNDDOWN(K26,0)=$F$4,$H$4,$G$4))</f>
        <v>■レベル　3</v>
      </c>
      <c r="L29" s="3259" t="s">
        <v>1916</v>
      </c>
      <c r="M29" s="3245"/>
      <c r="N29" s="3245"/>
      <c r="O29" s="3244"/>
    </row>
    <row r="30" spans="2:35" ht="69.75" customHeight="1">
      <c r="B30" s="1">
        <v>4</v>
      </c>
      <c r="C30" s="1">
        <v>4</v>
      </c>
      <c r="D30" s="546"/>
      <c r="E30" s="433"/>
      <c r="F30" s="577" t="str">
        <f>IF(F26=$F$7,$G$5,IF(ROUNDDOWN(F26,0)=$F$5,$H$5,$G$5))</f>
        <v>　レベル　4</v>
      </c>
      <c r="G30" s="3238" t="s">
        <v>1917</v>
      </c>
      <c r="H30" s="3245"/>
      <c r="I30" s="3245"/>
      <c r="J30" s="3244"/>
      <c r="K30" s="2481" t="str">
        <f>IF(K26=$F$7,$G$5,IF(ROUNDDOWN(K26,0)=$F$5,$H$5,$G$5))</f>
        <v>　レベル　4</v>
      </c>
      <c r="L30" s="3259" t="s">
        <v>1292</v>
      </c>
      <c r="M30" s="3245"/>
      <c r="N30" s="3245"/>
      <c r="O30" s="3244"/>
    </row>
    <row r="31" spans="2:35" ht="69.75" customHeight="1">
      <c r="B31" s="1">
        <v>5</v>
      </c>
      <c r="C31" s="1">
        <v>5</v>
      </c>
      <c r="D31" s="546"/>
      <c r="E31" s="433"/>
      <c r="F31" s="587" t="str">
        <f>IF(F26=$F$7,$G$6,IF(ROUNDDOWN(F26,0)=$F$6,$H$6,$G$6))</f>
        <v>　レベル　5</v>
      </c>
      <c r="G31" s="3241" t="s">
        <v>1918</v>
      </c>
      <c r="H31" s="3242"/>
      <c r="I31" s="3242"/>
      <c r="J31" s="3243"/>
      <c r="K31" s="2482" t="str">
        <f>IF(K26=$F$7,$G$6,IF(ROUNDDOWN(K26,0)=$F$6,$H$6,$G$6))</f>
        <v>　レベル　5</v>
      </c>
      <c r="L31" s="3260" t="s">
        <v>1919</v>
      </c>
      <c r="M31" s="3242"/>
      <c r="N31" s="3242"/>
      <c r="O31" s="3243"/>
    </row>
    <row r="32" spans="2:35">
      <c r="B32" s="594">
        <v>0</v>
      </c>
      <c r="C32" s="594">
        <v>0</v>
      </c>
      <c r="D32"/>
      <c r="E32"/>
      <c r="F32" s="887" t="s">
        <v>3402</v>
      </c>
      <c r="G32" s="2423"/>
      <c r="H32" s="2399"/>
      <c r="I32" s="2396"/>
      <c r="J32" s="2397"/>
      <c r="K32" s="2400"/>
      <c r="L32" s="1281"/>
      <c r="M32"/>
      <c r="N32"/>
      <c r="O32"/>
    </row>
    <row r="33" spans="2:15">
      <c r="B33" s="918"/>
      <c r="C33" s="918"/>
      <c r="D33"/>
      <c r="E33"/>
      <c r="F33" s="2459" t="s">
        <v>3377</v>
      </c>
      <c r="G33" s="2557">
        <v>30</v>
      </c>
      <c r="H33" s="2431" t="s">
        <v>3563</v>
      </c>
      <c r="I33" s="543"/>
      <c r="J33" s="543"/>
      <c r="K33" s="2400"/>
      <c r="L33" s="1281"/>
      <c r="M33"/>
      <c r="N33"/>
      <c r="O33"/>
    </row>
    <row r="34" spans="2:15">
      <c r="B34" s="918"/>
      <c r="C34" s="918"/>
      <c r="D34"/>
      <c r="E34"/>
      <c r="F34"/>
      <c r="G34"/>
      <c r="H34"/>
      <c r="I34"/>
      <c r="J34"/>
      <c r="K34"/>
      <c r="L34"/>
      <c r="M34"/>
      <c r="N34"/>
      <c r="O34"/>
    </row>
    <row r="35" spans="2:15">
      <c r="D35"/>
      <c r="E35"/>
      <c r="F35" s="554" t="s">
        <v>1293</v>
      </c>
      <c r="G35"/>
      <c r="H35"/>
      <c r="I35"/>
      <c r="J35" t="str">
        <f>IF(OR(F37=0,J36=0),$L$3,"")</f>
        <v/>
      </c>
      <c r="K35"/>
      <c r="L35"/>
      <c r="M35"/>
      <c r="N35"/>
      <c r="O35"/>
    </row>
    <row r="36" spans="2:15" ht="15.75" customHeight="1" thickBot="1">
      <c r="D36" s="546"/>
      <c r="E36" s="433"/>
      <c r="F36" s="673" t="s">
        <v>270</v>
      </c>
      <c r="G36" s="559"/>
      <c r="H36" s="1530"/>
      <c r="I36" s="561" t="s">
        <v>1141</v>
      </c>
      <c r="J36" s="562">
        <f>重み!M67</f>
        <v>0.33333333333333331</v>
      </c>
      <c r="K36" s="559"/>
      <c r="L36" s="1530"/>
      <c r="M36" s="559"/>
      <c r="N36" s="1908"/>
      <c r="O36" s="617"/>
    </row>
    <row r="37" spans="2:15" ht="27" customHeight="1" thickBot="1">
      <c r="D37" s="546"/>
      <c r="E37" s="433"/>
      <c r="F37" s="565">
        <v>3</v>
      </c>
      <c r="G37" s="661" t="s">
        <v>1294</v>
      </c>
      <c r="H37" s="570"/>
      <c r="I37" s="570"/>
      <c r="J37" s="571"/>
      <c r="K37" s="2575" t="s">
        <v>1295</v>
      </c>
      <c r="L37" s="679"/>
      <c r="M37" s="2575" t="s">
        <v>1296</v>
      </c>
      <c r="N37" s="666"/>
      <c r="O37" s="617"/>
    </row>
    <row r="38" spans="2:15" ht="21" customHeight="1">
      <c r="B38" s="1">
        <v>1</v>
      </c>
      <c r="C38" s="1">
        <v>1</v>
      </c>
      <c r="D38" s="546"/>
      <c r="E38" s="433"/>
      <c r="F38" s="572" t="str">
        <f>IF(F37=$F$7,$G$2,IF(ROUNDDOWN(F37,0)=$F$2,$H$2,$G$2))</f>
        <v>　レベル　1</v>
      </c>
      <c r="G38" s="2499" t="s">
        <v>1651</v>
      </c>
      <c r="H38" s="2523"/>
      <c r="I38" s="2523"/>
      <c r="J38" s="2537"/>
      <c r="K38" s="2499" t="s">
        <v>1651</v>
      </c>
      <c r="L38" s="2528"/>
      <c r="M38" s="2528"/>
      <c r="N38" s="2524"/>
      <c r="O38" s="617"/>
    </row>
    <row r="39" spans="2:15" ht="21" customHeight="1">
      <c r="B39" s="1" t="s">
        <v>1920</v>
      </c>
      <c r="C39" s="1" t="s">
        <v>1920</v>
      </c>
      <c r="D39" s="546"/>
      <c r="E39" s="433"/>
      <c r="F39" s="577" t="str">
        <f>IF(F37=$F$7,$G$3,IF(ROUNDDOWN(F37,0)=$F$3,$H$3,$G$3))</f>
        <v>　レベル　2</v>
      </c>
      <c r="G39" s="1964" t="s">
        <v>1818</v>
      </c>
      <c r="H39" s="1962"/>
      <c r="I39" s="1962"/>
      <c r="J39" s="1965"/>
      <c r="K39" s="1964" t="s">
        <v>1818</v>
      </c>
      <c r="L39" s="1962"/>
      <c r="M39" s="1962"/>
      <c r="N39" s="1965"/>
      <c r="O39" s="617"/>
    </row>
    <row r="40" spans="2:15" ht="39" customHeight="1">
      <c r="B40" s="1">
        <v>3</v>
      </c>
      <c r="C40" s="1">
        <v>3</v>
      </c>
      <c r="D40" s="546"/>
      <c r="E40" s="433"/>
      <c r="F40" s="577" t="str">
        <f>IF(F37=$F$7,$G$4,IF(ROUNDDOWN(F37,0)=$F$4,$H$4,$G$4))</f>
        <v>■レベル　3</v>
      </c>
      <c r="G40" s="3238" t="s">
        <v>1921</v>
      </c>
      <c r="H40" s="3245"/>
      <c r="I40" s="3245"/>
      <c r="J40" s="3244"/>
      <c r="K40" s="3238" t="s">
        <v>1297</v>
      </c>
      <c r="L40" s="3245"/>
      <c r="M40" s="3245"/>
      <c r="N40" s="3244"/>
      <c r="O40" s="617"/>
    </row>
    <row r="41" spans="2:15" ht="39" customHeight="1">
      <c r="B41" s="1">
        <v>4</v>
      </c>
      <c r="C41" s="1">
        <v>4</v>
      </c>
      <c r="D41" s="546"/>
      <c r="E41" s="433"/>
      <c r="F41" s="577" t="str">
        <f>IF(F37=$F$7,$G$5,IF(ROUNDDOWN(F37,0)=$F$5,$H$5,$G$5))</f>
        <v>　レベル　4</v>
      </c>
      <c r="G41" s="3238" t="s">
        <v>1922</v>
      </c>
      <c r="H41" s="3245"/>
      <c r="I41" s="3245"/>
      <c r="J41" s="3244"/>
      <c r="K41" s="3238" t="s">
        <v>1298</v>
      </c>
      <c r="L41" s="3245"/>
      <c r="M41" s="3245"/>
      <c r="N41" s="3244"/>
      <c r="O41" s="617"/>
    </row>
    <row r="42" spans="2:15" ht="39" customHeight="1">
      <c r="B42" s="1">
        <v>5</v>
      </c>
      <c r="C42" s="1">
        <v>5</v>
      </c>
      <c r="D42" s="546"/>
      <c r="E42" s="433"/>
      <c r="F42" s="587" t="str">
        <f>IF(F37=$F$7,$G$6,IF(ROUNDDOWN(F37,0)=$F$6,$H$6,$G$6))</f>
        <v>　レベル　5</v>
      </c>
      <c r="G42" s="3241" t="s">
        <v>1923</v>
      </c>
      <c r="H42" s="3242"/>
      <c r="I42" s="3242"/>
      <c r="J42" s="3243"/>
      <c r="K42" s="3241" t="s">
        <v>1299</v>
      </c>
      <c r="L42" s="3242"/>
      <c r="M42" s="3242"/>
      <c r="N42" s="3243"/>
      <c r="O42" s="617"/>
    </row>
    <row r="43" spans="2:15" ht="15.75">
      <c r="B43" s="594">
        <v>0</v>
      </c>
      <c r="C43" s="594">
        <v>0</v>
      </c>
      <c r="D43" s="546"/>
      <c r="E43" s="433"/>
      <c r="F43" s="887" t="s">
        <v>3402</v>
      </c>
      <c r="G43" s="2423"/>
      <c r="H43" s="2399"/>
      <c r="I43" s="2396"/>
      <c r="J43" s="2397"/>
      <c r="K43" s="2400"/>
      <c r="L43" s="1281"/>
      <c r="M43"/>
      <c r="N43"/>
      <c r="O43"/>
    </row>
    <row r="44" spans="2:15" ht="15.75">
      <c r="B44" s="918"/>
      <c r="C44" s="918"/>
      <c r="D44" s="546"/>
      <c r="E44" s="433"/>
      <c r="F44"/>
      <c r="G44"/>
      <c r="H44"/>
      <c r="I44"/>
      <c r="J44"/>
      <c r="K44"/>
      <c r="L44"/>
      <c r="M44"/>
      <c r="N44"/>
      <c r="O44"/>
    </row>
    <row r="45" spans="2:15" ht="15.75">
      <c r="D45" s="542">
        <v>1.2</v>
      </c>
      <c r="E45" s="551" t="s">
        <v>1300</v>
      </c>
      <c r="F45"/>
      <c r="G45"/>
      <c r="H45"/>
      <c r="I45"/>
      <c r="J45"/>
      <c r="K45"/>
      <c r="L45"/>
      <c r="M45"/>
      <c r="N45"/>
      <c r="O45"/>
    </row>
    <row r="46" spans="2:15" ht="15.75">
      <c r="D46" s="546"/>
      <c r="E46" s="63"/>
      <c r="F46" s="554" t="s">
        <v>3726</v>
      </c>
      <c r="G46"/>
      <c r="H46"/>
      <c r="I46"/>
      <c r="J46" t="str">
        <f>IF(OR(F48=0,AND(J47=0,O47=0)),$L$3,"")</f>
        <v/>
      </c>
      <c r="K46"/>
      <c r="L46"/>
      <c r="M46"/>
      <c r="N46"/>
      <c r="O46"/>
    </row>
    <row r="47" spans="2:15" ht="15.75" customHeight="1" thickBot="1">
      <c r="B47" s="713" t="s">
        <v>1301</v>
      </c>
      <c r="D47" s="546"/>
      <c r="E47" s="63"/>
      <c r="F47" s="673" t="s">
        <v>1361</v>
      </c>
      <c r="G47" s="559"/>
      <c r="H47" s="1530"/>
      <c r="I47" s="561" t="s">
        <v>1141</v>
      </c>
      <c r="J47" s="562">
        <f>重み!M69</f>
        <v>0.33333333333333331</v>
      </c>
      <c r="K47" s="674"/>
      <c r="L47" s="676"/>
      <c r="M47" s="1909" t="s">
        <v>1638</v>
      </c>
      <c r="N47" s="561" t="s">
        <v>1141</v>
      </c>
      <c r="O47" s="563">
        <f>重み!N69</f>
        <v>0</v>
      </c>
    </row>
    <row r="48" spans="2:15" ht="27" customHeight="1" thickBot="1">
      <c r="D48" s="546"/>
      <c r="E48" s="63"/>
      <c r="F48" s="565">
        <v>3</v>
      </c>
      <c r="G48" s="661" t="s">
        <v>1553</v>
      </c>
      <c r="H48" s="571"/>
      <c r="I48" s="679" t="s">
        <v>1302</v>
      </c>
      <c r="J48" s="571"/>
      <c r="K48" s="567" t="s">
        <v>365</v>
      </c>
      <c r="L48" s="568" t="s">
        <v>393</v>
      </c>
      <c r="M48" s="565">
        <v>3</v>
      </c>
      <c r="N48" s="661" t="s">
        <v>752</v>
      </c>
      <c r="O48" s="571"/>
    </row>
    <row r="49" spans="2:15" ht="21" customHeight="1">
      <c r="B49" s="1">
        <v>1</v>
      </c>
      <c r="C49" s="1">
        <v>1</v>
      </c>
      <c r="D49" s="546"/>
      <c r="E49" s="63"/>
      <c r="F49" s="572" t="str">
        <f>IF(F48=$F$7,$G$2,IF(ROUNDDOWN(F48,0)=$F$2,$H$2,$G$2))</f>
        <v>　レベル　1</v>
      </c>
      <c r="G49" s="1329" t="s">
        <v>1239</v>
      </c>
      <c r="H49" s="2524"/>
      <c r="I49" s="1964" t="s">
        <v>1239</v>
      </c>
      <c r="J49" s="1965"/>
      <c r="K49" s="2483" t="s">
        <v>1690</v>
      </c>
      <c r="L49" s="2483" t="s">
        <v>369</v>
      </c>
      <c r="M49" s="1985" t="str">
        <f>IF(M48=$F$7,$G$2,IF(ROUNDDOWN(M48,0)=$F$2,$H$2,$G$2))</f>
        <v>　レベル　1</v>
      </c>
      <c r="N49" s="1964" t="s">
        <v>1239</v>
      </c>
      <c r="O49" s="1965"/>
    </row>
    <row r="50" spans="2:15" ht="32.25" customHeight="1">
      <c r="B50" s="1">
        <v>2</v>
      </c>
      <c r="C50" s="1" t="s">
        <v>2420</v>
      </c>
      <c r="D50" s="546"/>
      <c r="E50" s="63"/>
      <c r="F50" s="577" t="str">
        <f>IF(F48=$F$7,$G$3,IF(ROUNDDOWN(F48,0)=$F$3,$H$3,$G$3))</f>
        <v>　レベル　2</v>
      </c>
      <c r="G50" s="705" t="s">
        <v>1818</v>
      </c>
      <c r="H50" s="1965"/>
      <c r="I50" s="1964" t="s">
        <v>1818</v>
      </c>
      <c r="J50" s="1965"/>
      <c r="K50" s="2484" t="s">
        <v>2257</v>
      </c>
      <c r="L50" s="2485" t="s">
        <v>295</v>
      </c>
      <c r="M50" s="1987" t="str">
        <f>IF(M48=$F$7,$G$3,IF(ROUNDDOWN(M48,0)=$F$3,$H$3,$G$3))</f>
        <v>　レベル　2</v>
      </c>
      <c r="N50" s="1964" t="s">
        <v>1818</v>
      </c>
      <c r="O50" s="1965"/>
    </row>
    <row r="51" spans="2:15" ht="57" customHeight="1">
      <c r="B51" s="1">
        <v>3</v>
      </c>
      <c r="C51" s="1">
        <v>3</v>
      </c>
      <c r="D51" s="546"/>
      <c r="E51" s="63"/>
      <c r="F51" s="577" t="str">
        <f>IF(F48=$F$7,$G$4,IF(ROUNDDOWN(F48,0)=$F$4,$H$4,$G$4))</f>
        <v>■レベル　3</v>
      </c>
      <c r="G51" s="3157" t="s">
        <v>2382</v>
      </c>
      <c r="H51" s="3244"/>
      <c r="I51" s="1964" t="s">
        <v>2383</v>
      </c>
      <c r="J51" s="1965"/>
      <c r="K51" s="2484" t="s">
        <v>2258</v>
      </c>
      <c r="L51" s="2485" t="s">
        <v>757</v>
      </c>
      <c r="M51" s="1987" t="str">
        <f>IF(M48=$F$7,$G$4,IF(ROUNDDOWN(M48,0)=$F$4,$H$4,$G$4))</f>
        <v>■レベル　3</v>
      </c>
      <c r="N51" s="3238" t="s">
        <v>2384</v>
      </c>
      <c r="O51" s="3244"/>
    </row>
    <row r="52" spans="2:15" ht="57" customHeight="1">
      <c r="B52" s="1">
        <v>4</v>
      </c>
      <c r="C52" s="1">
        <v>4</v>
      </c>
      <c r="D52" s="546"/>
      <c r="E52" s="63"/>
      <c r="F52" s="577" t="str">
        <f>IF(F48=$F$7,$G$5,IF(ROUNDDOWN(F48,0)=$F$5,$H$5,$G$5))</f>
        <v>　レベル　4</v>
      </c>
      <c r="G52" s="3157" t="s">
        <v>2385</v>
      </c>
      <c r="H52" s="3244"/>
      <c r="I52" s="1964" t="s">
        <v>2386</v>
      </c>
      <c r="J52" s="1965"/>
      <c r="K52" s="2484" t="s">
        <v>2259</v>
      </c>
      <c r="L52" s="2485" t="s">
        <v>295</v>
      </c>
      <c r="M52" s="1987" t="str">
        <f>IF(M48=$F$7,$G$5,IF(ROUNDDOWN(M48,0)=$F$5,$H$5,$G$5))</f>
        <v>　レベル　4</v>
      </c>
      <c r="N52" s="3238" t="s">
        <v>2387</v>
      </c>
      <c r="O52" s="3244"/>
    </row>
    <row r="53" spans="2:15" ht="57" customHeight="1">
      <c r="B53" s="1">
        <v>5</v>
      </c>
      <c r="C53" s="1">
        <v>5</v>
      </c>
      <c r="D53" s="546"/>
      <c r="E53" s="63"/>
      <c r="F53" s="587" t="str">
        <f>IF(F48=$F$7,$G$6,IF(ROUNDDOWN(F48,0)=$F$6,$H$6,$G$6))</f>
        <v>　レベル　5</v>
      </c>
      <c r="G53" s="3155" t="s">
        <v>1079</v>
      </c>
      <c r="H53" s="3243"/>
      <c r="I53" s="2492" t="s">
        <v>1080</v>
      </c>
      <c r="J53" s="1972"/>
      <c r="K53" s="2486" t="s">
        <v>2260</v>
      </c>
      <c r="L53" s="2480" t="s">
        <v>758</v>
      </c>
      <c r="M53" s="1989" t="str">
        <f>IF(M48=$F$7,$G$6,IF(ROUNDDOWN(M48,0)=$F$6,$H$6,$G$6))</f>
        <v>　レベル　5</v>
      </c>
      <c r="N53" s="3241" t="s">
        <v>1081</v>
      </c>
      <c r="O53" s="3243"/>
    </row>
    <row r="54" spans="2:15" ht="15.75">
      <c r="B54" s="594">
        <v>0</v>
      </c>
      <c r="C54" s="594">
        <v>0</v>
      </c>
      <c r="D54" s="546"/>
      <c r="E54" s="433"/>
      <c r="F54" s="887" t="s">
        <v>3402</v>
      </c>
      <c r="G54" s="2423"/>
      <c r="H54" s="2399"/>
      <c r="I54" s="2396"/>
      <c r="J54" s="2397"/>
      <c r="K54" s="2459" t="s">
        <v>3725</v>
      </c>
      <c r="L54" s="2424">
        <v>2.5</v>
      </c>
      <c r="M54"/>
      <c r="N54"/>
      <c r="O54"/>
    </row>
    <row r="55" spans="2:15">
      <c r="B55" s="918"/>
      <c r="C55" s="918"/>
      <c r="D55"/>
      <c r="E55"/>
      <c r="F55"/>
      <c r="G55"/>
      <c r="H55"/>
      <c r="I55"/>
      <c r="J55"/>
      <c r="K55"/>
      <c r="L55"/>
      <c r="M55"/>
      <c r="N55"/>
      <c r="O55"/>
    </row>
    <row r="56" spans="2:15">
      <c r="D56"/>
      <c r="E56"/>
      <c r="F56" s="554" t="s">
        <v>3727</v>
      </c>
      <c r="G56"/>
      <c r="H56"/>
      <c r="I56"/>
      <c r="J56" t="str">
        <f>IF(OR(F58=0,J57=0),$L$3,"")</f>
        <v/>
      </c>
      <c r="K56"/>
      <c r="L56"/>
      <c r="M56"/>
      <c r="N56"/>
      <c r="O56"/>
    </row>
    <row r="57" spans="2:15" ht="15.75" customHeight="1" thickBot="1">
      <c r="D57" s="546"/>
      <c r="E57" s="671"/>
      <c r="F57" s="673" t="s">
        <v>918</v>
      </c>
      <c r="G57" s="559"/>
      <c r="H57" s="1530"/>
      <c r="I57" s="561" t="s">
        <v>1141</v>
      </c>
      <c r="J57" s="562">
        <f>重み!M71</f>
        <v>0.33333333333333331</v>
      </c>
      <c r="K57" s="559"/>
      <c r="L57" s="1530"/>
      <c r="M57" s="559"/>
      <c r="N57" s="559"/>
      <c r="O57" s="563"/>
    </row>
    <row r="58" spans="2:15" ht="27" customHeight="1" thickBot="1">
      <c r="D58" s="546"/>
      <c r="E58" s="671"/>
      <c r="F58" s="565">
        <v>2</v>
      </c>
      <c r="G58" s="2575" t="s">
        <v>1553</v>
      </c>
      <c r="H58" s="679"/>
      <c r="I58" s="679"/>
      <c r="J58" s="679"/>
      <c r="K58" s="679"/>
      <c r="L58" s="2575" t="s">
        <v>2261</v>
      </c>
      <c r="M58" s="679"/>
      <c r="N58" s="679"/>
      <c r="O58" s="666"/>
    </row>
    <row r="59" spans="2:15" ht="21" customHeight="1">
      <c r="B59" s="1" t="s">
        <v>874</v>
      </c>
      <c r="C59" s="1">
        <v>1</v>
      </c>
      <c r="D59" s="546"/>
      <c r="E59" s="734"/>
      <c r="F59" s="572" t="str">
        <f>IF(F58=$F$7,$G$2,IF(ROUNDDOWN(F58,0)=$F$2,$H$2,$G$2))</f>
        <v>　レベル　1</v>
      </c>
      <c r="G59" s="1329" t="s">
        <v>1520</v>
      </c>
      <c r="H59" s="741"/>
      <c r="I59" s="741"/>
      <c r="J59" s="741"/>
      <c r="K59" s="741"/>
      <c r="L59" s="1329" t="s">
        <v>295</v>
      </c>
      <c r="M59" s="741"/>
      <c r="N59" s="741"/>
      <c r="O59" s="742"/>
    </row>
    <row r="60" spans="2:15" ht="21" customHeight="1">
      <c r="B60" s="1">
        <v>2</v>
      </c>
      <c r="C60" s="1">
        <v>2</v>
      </c>
      <c r="D60" s="546"/>
      <c r="E60" s="734"/>
      <c r="F60" s="577" t="str">
        <f>IF(F58=$F$7,$G$3,IF(ROUNDDOWN(F58,0)=$F$3,$H$3,$G$3))</f>
        <v>■レベル　2</v>
      </c>
      <c r="G60" s="705" t="s">
        <v>19</v>
      </c>
      <c r="H60" s="706"/>
      <c r="I60" s="706"/>
      <c r="J60" s="706"/>
      <c r="K60" s="706"/>
      <c r="L60" s="705" t="s">
        <v>22</v>
      </c>
      <c r="M60" s="706"/>
      <c r="N60" s="706"/>
      <c r="O60" s="744"/>
    </row>
    <row r="61" spans="2:15" ht="21" customHeight="1">
      <c r="B61" s="1">
        <v>3</v>
      </c>
      <c r="C61" s="1">
        <v>3</v>
      </c>
      <c r="D61" s="546"/>
      <c r="E61" s="734"/>
      <c r="F61" s="577" t="str">
        <f>IF(F58=$F$7,$G$4,IF(ROUNDDOWN(F58,0)=$F$4,$H$4,$G$4))</f>
        <v>　レベル　3</v>
      </c>
      <c r="G61" s="705" t="s">
        <v>310</v>
      </c>
      <c r="H61" s="706"/>
      <c r="I61" s="706"/>
      <c r="J61" s="706"/>
      <c r="K61" s="706"/>
      <c r="L61" s="705" t="s">
        <v>1082</v>
      </c>
      <c r="M61" s="706"/>
      <c r="N61" s="706"/>
      <c r="O61" s="744"/>
    </row>
    <row r="62" spans="2:15" ht="21" customHeight="1">
      <c r="B62" s="1">
        <v>4</v>
      </c>
      <c r="C62" s="1">
        <v>4</v>
      </c>
      <c r="D62" s="546"/>
      <c r="E62" s="734"/>
      <c r="F62" s="577" t="str">
        <f>IF(F58=$F$7,$G$5,IF(ROUNDDOWN(F58,0)=$F$5,$H$5,$G$5))</f>
        <v>　レベル　4</v>
      </c>
      <c r="G62" s="705" t="s">
        <v>20</v>
      </c>
      <c r="H62" s="706"/>
      <c r="I62" s="706"/>
      <c r="J62" s="706"/>
      <c r="K62" s="706"/>
      <c r="L62" s="705" t="s">
        <v>1083</v>
      </c>
      <c r="M62" s="706"/>
      <c r="N62" s="706"/>
      <c r="O62" s="744"/>
    </row>
    <row r="63" spans="2:15" ht="26.25" customHeight="1">
      <c r="B63" s="1">
        <v>5</v>
      </c>
      <c r="C63" s="1">
        <v>5</v>
      </c>
      <c r="D63" s="546"/>
      <c r="E63" s="734"/>
      <c r="F63" s="587" t="str">
        <f>IF(F58=$F$7,$G$6,IF(ROUNDDOWN(F58,0)=$F$6,$H$6,$G$6))</f>
        <v>　レベル　5</v>
      </c>
      <c r="G63" s="858" t="s">
        <v>21</v>
      </c>
      <c r="H63" s="746"/>
      <c r="I63" s="746"/>
      <c r="J63" s="746"/>
      <c r="K63" s="746"/>
      <c r="L63" s="858" t="s">
        <v>1084</v>
      </c>
      <c r="M63" s="746"/>
      <c r="N63" s="746"/>
      <c r="O63" s="747"/>
    </row>
    <row r="64" spans="2:15">
      <c r="B64" s="594">
        <v>0</v>
      </c>
      <c r="C64" s="594">
        <v>0</v>
      </c>
      <c r="D64"/>
      <c r="E64"/>
      <c r="F64" s="887" t="s">
        <v>3402</v>
      </c>
      <c r="G64" s="2423"/>
      <c r="H64" s="2399"/>
      <c r="I64" s="2396"/>
      <c r="J64" s="2397"/>
      <c r="K64" s="2400"/>
      <c r="L64" s="2459" t="s">
        <v>1603</v>
      </c>
      <c r="M64" s="2556" t="s">
        <v>804</v>
      </c>
      <c r="N64" s="2459" t="s">
        <v>3380</v>
      </c>
      <c r="O64" s="2556" t="s">
        <v>804</v>
      </c>
    </row>
    <row r="65" spans="2:15">
      <c r="B65" s="918"/>
      <c r="C65" s="918"/>
      <c r="D65"/>
      <c r="E65"/>
      <c r="K65" s="2400"/>
      <c r="L65" s="1281"/>
      <c r="M65"/>
      <c r="N65"/>
      <c r="O65"/>
    </row>
    <row r="66" spans="2:15">
      <c r="D66"/>
      <c r="E66"/>
      <c r="F66" s="554" t="s">
        <v>2262</v>
      </c>
      <c r="G66"/>
      <c r="H66"/>
      <c r="I66"/>
      <c r="J66" t="str">
        <f>IF(OR(F68=0,AND(J67=0,O67=0)),$L$3,"")</f>
        <v/>
      </c>
      <c r="K66"/>
      <c r="L66"/>
      <c r="M66"/>
      <c r="N66"/>
      <c r="O66"/>
    </row>
    <row r="67" spans="2:15" ht="15.75" customHeight="1" thickBot="1">
      <c r="D67" s="546"/>
      <c r="E67" s="433"/>
      <c r="F67" s="558" t="s">
        <v>2403</v>
      </c>
      <c r="G67" s="559"/>
      <c r="H67" s="1530"/>
      <c r="I67" s="561" t="s">
        <v>1141</v>
      </c>
      <c r="J67" s="564">
        <f>重み!M72</f>
        <v>0.33333333333333331</v>
      </c>
      <c r="K67" s="558" t="s">
        <v>1638</v>
      </c>
      <c r="L67" s="559"/>
      <c r="M67" s="1530"/>
      <c r="N67" s="561" t="s">
        <v>1141</v>
      </c>
      <c r="O67" s="564">
        <f>重み!N72</f>
        <v>0</v>
      </c>
    </row>
    <row r="68" spans="2:15" ht="27" customHeight="1" thickBot="1">
      <c r="B68" t="s">
        <v>3432</v>
      </c>
      <c r="C68" t="s">
        <v>3432</v>
      </c>
      <c r="D68" s="546"/>
      <c r="E68" s="433"/>
      <c r="F68" s="1978">
        <f>G76</f>
        <v>3</v>
      </c>
      <c r="G68" s="661" t="s">
        <v>1225</v>
      </c>
      <c r="H68" s="570"/>
      <c r="I68" s="570"/>
      <c r="J68" s="571"/>
      <c r="K68" s="1978">
        <f>L76</f>
        <v>3</v>
      </c>
      <c r="L68" s="661" t="s">
        <v>752</v>
      </c>
      <c r="M68" s="570"/>
      <c r="N68" s="570"/>
      <c r="O68" s="571"/>
    </row>
    <row r="69" spans="2:15" ht="21" customHeight="1">
      <c r="B69">
        <v>0</v>
      </c>
      <c r="C69">
        <v>0</v>
      </c>
      <c r="D69" s="546"/>
      <c r="E69" s="433"/>
      <c r="F69" s="572" t="str">
        <f>IF(F68=$F$7,$G$2,IF(ROUNDDOWN(F68,0)=$F$2,$H$2,$G$2))</f>
        <v>　レベル　1</v>
      </c>
      <c r="G69" s="574" t="s">
        <v>335</v>
      </c>
      <c r="H69" s="1984"/>
      <c r="I69" s="1984"/>
      <c r="J69" s="1970"/>
      <c r="K69" s="1985" t="str">
        <f>IF(K68=$F$7,$G$2,IF(ROUNDDOWN(K68,0)=$F$2,$H$2,$G$2))</f>
        <v>　レベル　1</v>
      </c>
      <c r="L69" s="1993" t="s">
        <v>335</v>
      </c>
      <c r="M69" s="1984"/>
      <c r="N69" s="1984"/>
      <c r="O69" s="1970"/>
    </row>
    <row r="70" spans="2:15" ht="21" customHeight="1">
      <c r="B70">
        <v>2</v>
      </c>
      <c r="C70">
        <v>2</v>
      </c>
      <c r="D70" s="546"/>
      <c r="E70" s="433"/>
      <c r="F70" s="577" t="str">
        <f>IF(F68=$F$7,$G$3,IF(ROUNDDOWN(F68,0)=$F$3,$H$3,$G$3))</f>
        <v>　レベル　2</v>
      </c>
      <c r="G70" s="580" t="s">
        <v>1818</v>
      </c>
      <c r="H70" s="1986"/>
      <c r="I70" s="1986"/>
      <c r="J70" s="1971"/>
      <c r="K70" s="1987" t="str">
        <f>IF(K68=$F$7,$G$3,IF(ROUNDDOWN(K68,0)=$F$3,$H$3,$G$3))</f>
        <v>　レベル　2</v>
      </c>
      <c r="L70" s="1994" t="s">
        <v>1818</v>
      </c>
      <c r="M70" s="1986"/>
      <c r="N70" s="1986"/>
      <c r="O70" s="1971"/>
    </row>
    <row r="71" spans="2:15" ht="21" customHeight="1">
      <c r="B71">
        <v>2</v>
      </c>
      <c r="C71">
        <v>2</v>
      </c>
      <c r="D71" s="546"/>
      <c r="E71" s="433"/>
      <c r="F71" s="577" t="str">
        <f>IF(F68=$F$7,$G$4,IF(ROUNDDOWN(F68,0)=$F$4,$H$4,$G$4))</f>
        <v>■レベル　3</v>
      </c>
      <c r="G71" s="580" t="s">
        <v>1085</v>
      </c>
      <c r="H71" s="1986"/>
      <c r="I71" s="1986"/>
      <c r="J71" s="1971"/>
      <c r="K71" s="1987" t="str">
        <f>IF(K68=$F$7,$G$4,IF(ROUNDDOWN(K68,0)=$F$4,$H$4,$G$4))</f>
        <v>■レベル　3</v>
      </c>
      <c r="L71" s="1994" t="s">
        <v>1085</v>
      </c>
      <c r="M71" s="1986"/>
      <c r="N71" s="1986"/>
      <c r="O71" s="1971"/>
    </row>
    <row r="72" spans="2:15" ht="21" customHeight="1">
      <c r="B72">
        <v>3</v>
      </c>
      <c r="C72">
        <v>3</v>
      </c>
      <c r="D72" s="546"/>
      <c r="E72" s="433"/>
      <c r="F72" s="577" t="str">
        <f>IF(F68=$F$7,$G$5,IF(ROUNDDOWN(F68,0)=$F$5,$H$5,$G$5))</f>
        <v>　レベル　4</v>
      </c>
      <c r="G72" s="580" t="s">
        <v>1086</v>
      </c>
      <c r="H72" s="1986"/>
      <c r="I72" s="1986"/>
      <c r="J72" s="1971"/>
      <c r="K72" s="1987" t="str">
        <f>IF(K68=$F$7,$G$5,IF(ROUNDDOWN(K68,0)=$F$5,$H$5,$G$5))</f>
        <v>　レベル　4</v>
      </c>
      <c r="L72" s="1994" t="s">
        <v>1086</v>
      </c>
      <c r="M72" s="1986"/>
      <c r="N72" s="1986"/>
      <c r="O72" s="1971"/>
    </row>
    <row r="73" spans="2:15" ht="21" customHeight="1">
      <c r="B73">
        <v>4</v>
      </c>
      <c r="C73">
        <v>4</v>
      </c>
      <c r="D73" s="546"/>
      <c r="E73" s="433"/>
      <c r="F73" s="587" t="str">
        <f>IF(F68=$F$7,$G$6,IF(ROUNDDOWN(F68,0)=$F$6,$H$6,$G$6))</f>
        <v>　レベル　5</v>
      </c>
      <c r="G73" s="591" t="s">
        <v>1087</v>
      </c>
      <c r="H73" s="1988"/>
      <c r="I73" s="1988"/>
      <c r="J73" s="1972"/>
      <c r="K73" s="1989" t="str">
        <f>IF(K68=$F$7,$G$6,IF(ROUNDDOWN(K68,0)=$F$6,$H$6,$G$6))</f>
        <v>　レベル　5</v>
      </c>
      <c r="L73" s="1992" t="s">
        <v>1087</v>
      </c>
      <c r="M73" s="1990"/>
      <c r="N73" s="1990"/>
      <c r="O73" s="1991"/>
    </row>
    <row r="74" spans="2:15">
      <c r="D74"/>
      <c r="E74"/>
      <c r="F74" s="887" t="s">
        <v>3402</v>
      </c>
      <c r="G74" s="2423"/>
      <c r="H74" s="2399"/>
      <c r="I74" s="2396"/>
      <c r="J74" s="2397"/>
      <c r="K74" s="2576" t="s">
        <v>3709</v>
      </c>
      <c r="L74" s="1281"/>
      <c r="M74"/>
      <c r="N74"/>
      <c r="O74"/>
    </row>
    <row r="75" spans="2:15">
      <c r="D75"/>
      <c r="E75"/>
      <c r="F75" s="595" t="s">
        <v>2263</v>
      </c>
      <c r="G75"/>
      <c r="H75"/>
      <c r="I75"/>
      <c r="J75"/>
      <c r="K75" s="595" t="s">
        <v>2263</v>
      </c>
      <c r="L75"/>
      <c r="M75"/>
      <c r="N75"/>
      <c r="O75"/>
    </row>
    <row r="76" spans="2:15" ht="20.25" customHeight="1" thickBot="1">
      <c r="D76" s="546"/>
      <c r="E76" s="546"/>
      <c r="F76" s="546"/>
      <c r="G76" s="1997">
        <f>IF(G81&gt;=B73,5,IF(G81&gt;=B72,4,IF(G81&gt;=B71,3,IF(G81&gt;=B70,2,1))))</f>
        <v>3</v>
      </c>
      <c r="H76" s="2712" t="s">
        <v>3017</v>
      </c>
      <c r="I76" s="2712"/>
      <c r="J76" s="2713"/>
      <c r="K76" s="546"/>
      <c r="L76" s="1997">
        <f>IF(L81&gt;=C73,5,IF(L81&gt;=C72,4,IF(L81&gt;=C71,3,IF(L81&gt;=C70,2,1))))</f>
        <v>3</v>
      </c>
      <c r="M76" s="438" t="s">
        <v>3017</v>
      </c>
      <c r="N76" s="2712"/>
      <c r="O76" s="2713"/>
    </row>
    <row r="77" spans="2:15" ht="60.75" customHeight="1">
      <c r="D77" s="546"/>
      <c r="E77" s="433"/>
      <c r="F77" s="2409" t="s">
        <v>3070</v>
      </c>
      <c r="G77" s="1979" t="s">
        <v>2256</v>
      </c>
      <c r="H77" s="3261" t="s">
        <v>2264</v>
      </c>
      <c r="I77" s="3262"/>
      <c r="J77" s="3263"/>
      <c r="K77" s="2409" t="s">
        <v>3562</v>
      </c>
      <c r="L77" s="1979"/>
      <c r="M77" s="3261" t="s">
        <v>2265</v>
      </c>
      <c r="N77" s="3253"/>
      <c r="O77" s="3254"/>
    </row>
    <row r="78" spans="2:15" ht="81.75" customHeight="1">
      <c r="D78" s="546"/>
      <c r="E78" s="433"/>
      <c r="F78" s="2409" t="s">
        <v>3400</v>
      </c>
      <c r="G78" s="645" t="s">
        <v>2256</v>
      </c>
      <c r="H78" s="3264" t="s">
        <v>1673</v>
      </c>
      <c r="I78" s="3245"/>
      <c r="J78" s="3244"/>
      <c r="K78" s="2409" t="s">
        <v>3075</v>
      </c>
      <c r="L78" s="645" t="s">
        <v>2256</v>
      </c>
      <c r="M78" s="3264" t="s">
        <v>1673</v>
      </c>
      <c r="N78" s="3245"/>
      <c r="O78" s="3244"/>
    </row>
    <row r="79" spans="2:15" ht="69" customHeight="1">
      <c r="D79" s="546"/>
      <c r="E79" s="433"/>
      <c r="F79" s="2409" t="s">
        <v>3072</v>
      </c>
      <c r="G79" s="645"/>
      <c r="H79" s="3264" t="s">
        <v>1099</v>
      </c>
      <c r="I79" s="3245"/>
      <c r="J79" s="3244"/>
      <c r="K79" s="2409" t="s">
        <v>3076</v>
      </c>
      <c r="L79" s="645"/>
      <c r="M79" s="3264" t="s">
        <v>1099</v>
      </c>
      <c r="N79" s="3245"/>
      <c r="O79" s="3244"/>
    </row>
    <row r="80" spans="2:15" ht="41.25" customHeight="1" thickBot="1">
      <c r="D80" s="546"/>
      <c r="E80" s="433"/>
      <c r="F80" s="2409" t="s">
        <v>3073</v>
      </c>
      <c r="G80" s="1980"/>
      <c r="H80" s="3265" t="s">
        <v>1088</v>
      </c>
      <c r="I80" s="3242"/>
      <c r="J80" s="3243"/>
      <c r="K80" s="2409" t="s">
        <v>3077</v>
      </c>
      <c r="L80" s="1980" t="s">
        <v>2256</v>
      </c>
      <c r="M80" s="3265" t="s">
        <v>1088</v>
      </c>
      <c r="N80" s="3242"/>
      <c r="O80" s="3243"/>
    </row>
    <row r="81" spans="2:21" ht="15.75">
      <c r="D81" s="546"/>
      <c r="E81" s="433"/>
      <c r="F81" s="2409" t="s">
        <v>3416</v>
      </c>
      <c r="G81" s="1983">
        <f>COUNTIF(G77:G80,$M$3)</f>
        <v>2</v>
      </c>
      <c r="H81" s="2434" t="s">
        <v>3417</v>
      </c>
      <c r="I81" s="1981"/>
      <c r="J81" s="1982"/>
      <c r="K81" s="2409" t="s">
        <v>3583</v>
      </c>
      <c r="L81" s="2538">
        <f>COUNTIF(L77:L80,$M$3)</f>
        <v>2</v>
      </c>
      <c r="M81" s="2434" t="s">
        <v>3417</v>
      </c>
      <c r="N81" s="1961"/>
      <c r="O81" s="1982"/>
    </row>
    <row r="82" spans="2:21" ht="15.75">
      <c r="D82" s="546"/>
      <c r="E82" s="546"/>
      <c r="F82" s="546"/>
      <c r="G82" s="546"/>
      <c r="H82" s="546"/>
      <c r="I82" s="546"/>
      <c r="J82" s="546"/>
      <c r="K82" s="546"/>
      <c r="L82" s="546"/>
      <c r="M82" s="546"/>
      <c r="N82" s="546"/>
      <c r="O82" s="546"/>
      <c r="P82" s="546"/>
      <c r="Q82" s="546"/>
      <c r="R82" s="546"/>
      <c r="S82" s="546"/>
      <c r="T82" s="546"/>
      <c r="U82" s="546"/>
    </row>
    <row r="83" spans="2:21" ht="15.75">
      <c r="D83" s="542">
        <v>1.3</v>
      </c>
      <c r="E83" s="551" t="s">
        <v>1</v>
      </c>
      <c r="F83"/>
      <c r="G83"/>
      <c r="H83"/>
      <c r="I83"/>
      <c r="J83"/>
      <c r="K83"/>
      <c r="L83"/>
      <c r="M83"/>
      <c r="N83"/>
      <c r="O83"/>
    </row>
    <row r="84" spans="2:21" ht="15.75">
      <c r="D84" s="546"/>
      <c r="E84" s="433"/>
      <c r="F84" s="554" t="s">
        <v>1100</v>
      </c>
      <c r="G84"/>
      <c r="H84"/>
      <c r="I84"/>
      <c r="J84" t="str">
        <f>IF(OR(F86=0,J85=0),$L$3,"")</f>
        <v/>
      </c>
      <c r="L84"/>
      <c r="M84"/>
      <c r="N84"/>
      <c r="O84"/>
      <c r="R84" t="s">
        <v>1100</v>
      </c>
      <c r="T84" s="1936" t="s">
        <v>3113</v>
      </c>
    </row>
    <row r="85" spans="2:21" ht="15.75" customHeight="1" thickBot="1">
      <c r="B85" t="s">
        <v>3539</v>
      </c>
      <c r="C85" s="2476" t="s">
        <v>3538</v>
      </c>
      <c r="D85" s="546"/>
      <c r="E85" s="551"/>
      <c r="F85" s="673" t="s">
        <v>1101</v>
      </c>
      <c r="G85" s="559"/>
      <c r="H85" s="1530"/>
      <c r="I85" s="561" t="s">
        <v>1141</v>
      </c>
      <c r="J85" s="562">
        <f>重み!M75</f>
        <v>0.5</v>
      </c>
      <c r="K85" s="674"/>
      <c r="L85" s="674"/>
      <c r="M85" s="674"/>
      <c r="N85" s="561" t="s">
        <v>1102</v>
      </c>
      <c r="O85" s="736">
        <f>メイン!$J$66</f>
        <v>5000</v>
      </c>
      <c r="T85" s="1936"/>
    </row>
    <row r="86" spans="2:21" ht="27" customHeight="1" thickBot="1">
      <c r="B86" t="s">
        <v>3432</v>
      </c>
      <c r="C86" t="s">
        <v>3432</v>
      </c>
      <c r="D86" s="546"/>
      <c r="E86" s="551"/>
      <c r="F86" s="1978">
        <f>G94</f>
        <v>3</v>
      </c>
      <c r="G86" s="661" t="s">
        <v>80</v>
      </c>
      <c r="H86" s="570"/>
      <c r="I86" s="570"/>
      <c r="J86" s="570"/>
      <c r="K86" s="570"/>
      <c r="L86" s="570"/>
      <c r="M86" s="570"/>
      <c r="N86" s="570"/>
      <c r="O86" s="571"/>
      <c r="R86" t="s">
        <v>80</v>
      </c>
      <c r="T86" s="1936" t="s">
        <v>80</v>
      </c>
    </row>
    <row r="87" spans="2:21" ht="21" customHeight="1">
      <c r="B87">
        <v>0</v>
      </c>
      <c r="D87" s="546"/>
      <c r="E87" s="50"/>
      <c r="F87" s="572" t="str">
        <f>IF(F86=$F$7,$G$2,IF(ROUNDDOWN(F86,0)=$F$2,$H$2,$G$2))</f>
        <v>　レベル　1</v>
      </c>
      <c r="G87" s="574" t="s">
        <v>1818</v>
      </c>
      <c r="H87" s="575"/>
      <c r="I87" s="575"/>
      <c r="J87" s="575"/>
      <c r="K87" s="575"/>
      <c r="L87" s="575"/>
      <c r="M87" s="575"/>
      <c r="N87" s="575"/>
      <c r="O87" s="576"/>
      <c r="R87" t="s">
        <v>1818</v>
      </c>
      <c r="T87" s="1936" t="s">
        <v>1818</v>
      </c>
    </row>
    <row r="88" spans="2:21" ht="21" customHeight="1">
      <c r="B88">
        <v>0</v>
      </c>
      <c r="D88" s="546"/>
      <c r="E88" s="50"/>
      <c r="F88" s="577" t="str">
        <f>IF(F86=$F$7,$G$3,IF(ROUNDDOWN(F86,0)=$F$3,$H$3,$G$3))</f>
        <v>　レベル　2</v>
      </c>
      <c r="G88" s="580" t="s">
        <v>82</v>
      </c>
      <c r="H88" s="581"/>
      <c r="I88" s="581"/>
      <c r="J88" s="581"/>
      <c r="K88" s="581"/>
      <c r="L88" s="581"/>
      <c r="M88" s="581"/>
      <c r="N88" s="581"/>
      <c r="O88" s="582"/>
      <c r="R88" t="s">
        <v>82</v>
      </c>
      <c r="T88" s="1936" t="s">
        <v>82</v>
      </c>
    </row>
    <row r="89" spans="2:21" ht="21" customHeight="1">
      <c r="B89">
        <v>3</v>
      </c>
      <c r="D89" s="546"/>
      <c r="E89" s="50"/>
      <c r="F89" s="577" t="str">
        <f>IF(F86=$F$7,$G$4,IF(ROUNDDOWN(F86,0)=$F$4,$H$4,$G$4))</f>
        <v>■レベル　3</v>
      </c>
      <c r="G89" s="580" t="s">
        <v>83</v>
      </c>
      <c r="H89" s="581"/>
      <c r="I89" s="581"/>
      <c r="J89" s="581"/>
      <c r="K89" s="581"/>
      <c r="L89" s="581"/>
      <c r="M89" s="581"/>
      <c r="N89" s="581"/>
      <c r="O89" s="582"/>
      <c r="R89" t="s">
        <v>83</v>
      </c>
      <c r="T89" s="1936" t="s">
        <v>83</v>
      </c>
    </row>
    <row r="90" spans="2:21" ht="21" customHeight="1">
      <c r="B90">
        <v>6</v>
      </c>
      <c r="D90" s="546"/>
      <c r="E90" s="50"/>
      <c r="F90" s="577" t="str">
        <f>IF(F86=$F$7,$G$5,IF(ROUNDDOWN(F86,0)=$F$5,$H$5,$G$5))</f>
        <v>　レベル　4</v>
      </c>
      <c r="G90" s="580" t="s">
        <v>84</v>
      </c>
      <c r="H90" s="581"/>
      <c r="I90" s="581"/>
      <c r="J90" s="581"/>
      <c r="K90" s="581"/>
      <c r="L90" s="581"/>
      <c r="M90" s="581"/>
      <c r="N90" s="581"/>
      <c r="O90" s="582"/>
      <c r="R90" t="s">
        <v>84</v>
      </c>
      <c r="T90" s="1936" t="s">
        <v>84</v>
      </c>
    </row>
    <row r="91" spans="2:21" ht="21" customHeight="1">
      <c r="B91">
        <v>9</v>
      </c>
      <c r="D91" s="546"/>
      <c r="E91" s="50"/>
      <c r="F91" s="587" t="str">
        <f>IF(F86=$F$7,$G$6,IF(ROUNDDOWN(F86,0)=$F$6,$H$6,$G$6))</f>
        <v>　レベル　5</v>
      </c>
      <c r="G91" s="858" t="s">
        <v>1451</v>
      </c>
      <c r="H91" s="685"/>
      <c r="I91" s="685"/>
      <c r="J91" s="685"/>
      <c r="K91" s="685"/>
      <c r="L91" s="685"/>
      <c r="M91" s="685"/>
      <c r="N91" s="685"/>
      <c r="O91" s="590"/>
      <c r="R91" t="s">
        <v>1451</v>
      </c>
      <c r="T91" s="1936" t="s">
        <v>1451</v>
      </c>
    </row>
    <row r="92" spans="2:21" ht="15.75">
      <c r="D92" s="546"/>
      <c r="E92" s="50"/>
      <c r="F92" s="887" t="s">
        <v>3402</v>
      </c>
      <c r="G92" s="2423"/>
      <c r="H92" s="2399"/>
      <c r="I92" s="2396"/>
      <c r="J92" s="2397"/>
      <c r="K92" s="2576" t="s">
        <v>3709</v>
      </c>
      <c r="L92" s="1281"/>
      <c r="M92"/>
      <c r="N92"/>
      <c r="O92"/>
    </row>
    <row r="93" spans="2:21">
      <c r="B93" s="918"/>
      <c r="C93" s="918"/>
      <c r="D93"/>
      <c r="E93"/>
      <c r="F93" s="595" t="s">
        <v>2263</v>
      </c>
      <c r="G93"/>
      <c r="H93"/>
      <c r="I93"/>
      <c r="J93"/>
      <c r="K93"/>
      <c r="L93"/>
      <c r="M93"/>
      <c r="N93"/>
      <c r="O93"/>
    </row>
    <row r="94" spans="2:21" ht="16.5" thickBot="1">
      <c r="B94" t="s">
        <v>3433</v>
      </c>
      <c r="C94" t="s">
        <v>641</v>
      </c>
      <c r="D94" s="546"/>
      <c r="E94" s="546"/>
      <c r="F94" s="546"/>
      <c r="G94" s="1997">
        <f>IF(G108&gt;=B91,5,IF(G108&gt;=B90,4,IF(G108&gt;=B89,3,IF(G108&gt;=B88,2,1))))</f>
        <v>3</v>
      </c>
      <c r="H94" s="748" t="s">
        <v>1453</v>
      </c>
      <c r="I94" s="438" t="s">
        <v>1452</v>
      </c>
      <c r="J94" s="2712"/>
      <c r="K94" s="2712"/>
      <c r="L94" s="2712"/>
      <c r="M94" s="2712"/>
      <c r="N94" s="2712"/>
      <c r="O94" s="2713"/>
    </row>
    <row r="95" spans="2:21" ht="15.75">
      <c r="B95">
        <v>1</v>
      </c>
      <c r="D95" s="546"/>
      <c r="E95" s="433"/>
      <c r="F95" s="2409" t="s">
        <v>3070</v>
      </c>
      <c r="G95" s="643" t="s">
        <v>2256</v>
      </c>
      <c r="H95" s="1995" t="s">
        <v>3090</v>
      </c>
      <c r="I95" s="1329" t="s">
        <v>3096</v>
      </c>
      <c r="J95" s="741"/>
      <c r="K95" s="741"/>
      <c r="L95" s="741"/>
      <c r="M95" s="741"/>
      <c r="N95" s="741"/>
      <c r="O95" s="742"/>
    </row>
    <row r="96" spans="2:21" ht="15.75">
      <c r="B96">
        <v>1</v>
      </c>
      <c r="D96" s="546"/>
      <c r="E96" s="433"/>
      <c r="F96" s="2409" t="s">
        <v>3400</v>
      </c>
      <c r="G96" s="645"/>
      <c r="H96" s="1960"/>
      <c r="I96" s="705" t="s">
        <v>3097</v>
      </c>
      <c r="J96" s="706"/>
      <c r="K96" s="706"/>
      <c r="L96" s="706"/>
      <c r="M96" s="706"/>
      <c r="N96" s="706"/>
      <c r="O96" s="744"/>
    </row>
    <row r="97" spans="2:16" ht="15.75">
      <c r="B97">
        <v>1</v>
      </c>
      <c r="D97" s="546"/>
      <c r="E97" s="433"/>
      <c r="F97" s="2409" t="s">
        <v>3072</v>
      </c>
      <c r="G97" s="645"/>
      <c r="H97" s="1720" t="s">
        <v>3091</v>
      </c>
      <c r="I97" s="705" t="s">
        <v>3098</v>
      </c>
      <c r="J97" s="706"/>
      <c r="K97" s="706"/>
      <c r="L97" s="706"/>
      <c r="M97" s="706"/>
      <c r="N97" s="706"/>
      <c r="O97" s="744"/>
    </row>
    <row r="98" spans="2:16" ht="15.75">
      <c r="B98">
        <v>1</v>
      </c>
      <c r="D98" s="546"/>
      <c r="E98" s="433"/>
      <c r="F98" s="2409" t="s">
        <v>3073</v>
      </c>
      <c r="G98" s="645"/>
      <c r="H98" s="1996"/>
      <c r="I98" s="705" t="s">
        <v>3099</v>
      </c>
      <c r="J98" s="706"/>
      <c r="K98" s="706"/>
      <c r="L98" s="706"/>
      <c r="M98" s="706"/>
      <c r="N98" s="706"/>
      <c r="O98" s="744"/>
    </row>
    <row r="99" spans="2:16" ht="30" customHeight="1">
      <c r="B99">
        <v>1</v>
      </c>
      <c r="D99" s="546"/>
      <c r="E99" s="433"/>
      <c r="F99" s="2409" t="s">
        <v>3074</v>
      </c>
      <c r="G99" s="645"/>
      <c r="H99" s="1996"/>
      <c r="I99" s="3157" t="s">
        <v>3100</v>
      </c>
      <c r="J99" s="3174"/>
      <c r="K99" s="3174"/>
      <c r="L99" s="3174"/>
      <c r="M99" s="3174"/>
      <c r="N99" s="3174"/>
      <c r="O99" s="3201"/>
    </row>
    <row r="100" spans="2:16" ht="15.75">
      <c r="B100">
        <v>1</v>
      </c>
      <c r="D100" s="546"/>
      <c r="E100" s="433"/>
      <c r="F100" s="2409" t="s">
        <v>3075</v>
      </c>
      <c r="G100" s="645"/>
      <c r="H100" s="1960"/>
      <c r="I100" s="705" t="s">
        <v>3101</v>
      </c>
      <c r="J100" s="706"/>
      <c r="K100" s="706"/>
      <c r="L100" s="706"/>
      <c r="M100" s="706"/>
      <c r="N100" s="706"/>
      <c r="O100" s="744"/>
    </row>
    <row r="101" spans="2:16" ht="15.75">
      <c r="B101">
        <v>1</v>
      </c>
      <c r="D101" s="546"/>
      <c r="E101" s="433"/>
      <c r="F101" s="2409" t="s">
        <v>3076</v>
      </c>
      <c r="G101" s="645"/>
      <c r="H101" s="743" t="s">
        <v>3092</v>
      </c>
      <c r="I101" s="705" t="s">
        <v>3102</v>
      </c>
      <c r="J101" s="706"/>
      <c r="K101" s="706"/>
      <c r="L101" s="706"/>
      <c r="M101" s="706"/>
      <c r="N101" s="706"/>
      <c r="O101" s="744"/>
    </row>
    <row r="102" spans="2:16" ht="30.75" customHeight="1">
      <c r="B102">
        <v>1</v>
      </c>
      <c r="D102" s="546"/>
      <c r="E102" s="433"/>
      <c r="F102" s="2409" t="s">
        <v>3077</v>
      </c>
      <c r="G102" s="645" t="s">
        <v>2256</v>
      </c>
      <c r="H102" s="1720" t="s">
        <v>3093</v>
      </c>
      <c r="I102" s="3157" t="s">
        <v>3103</v>
      </c>
      <c r="J102" s="3245"/>
      <c r="K102" s="3245"/>
      <c r="L102" s="3245"/>
      <c r="M102" s="3245"/>
      <c r="N102" s="3245"/>
      <c r="O102" s="3244"/>
    </row>
    <row r="103" spans="2:16" ht="15.75">
      <c r="B103">
        <v>1</v>
      </c>
      <c r="D103" s="546"/>
      <c r="E103" s="433"/>
      <c r="F103" s="2409" t="s">
        <v>3078</v>
      </c>
      <c r="G103" s="645"/>
      <c r="H103" s="1996"/>
      <c r="I103" s="705" t="s">
        <v>3104</v>
      </c>
      <c r="J103" s="706"/>
      <c r="K103" s="706"/>
      <c r="L103" s="706"/>
      <c r="M103" s="706"/>
      <c r="N103" s="706"/>
      <c r="O103" s="744"/>
    </row>
    <row r="104" spans="2:16" ht="15.75">
      <c r="B104">
        <v>1</v>
      </c>
      <c r="D104" s="546"/>
      <c r="E104" s="433"/>
      <c r="F104" s="2409" t="s">
        <v>3108</v>
      </c>
      <c r="G104" s="645" t="s">
        <v>2256</v>
      </c>
      <c r="H104" s="1960"/>
      <c r="I104" s="705" t="s">
        <v>3105</v>
      </c>
      <c r="J104" s="706"/>
      <c r="K104" s="706"/>
      <c r="L104" s="706"/>
      <c r="M104" s="706"/>
      <c r="N104" s="706"/>
      <c r="O104" s="744"/>
    </row>
    <row r="105" spans="2:16" ht="15.75">
      <c r="B105">
        <v>1</v>
      </c>
      <c r="D105" s="546"/>
      <c r="E105" s="433"/>
      <c r="F105" s="2409" t="s">
        <v>3109</v>
      </c>
      <c r="G105" s="645" t="s">
        <v>2256</v>
      </c>
      <c r="H105" s="743" t="s">
        <v>3094</v>
      </c>
      <c r="I105" s="705" t="s">
        <v>3106</v>
      </c>
      <c r="J105" s="706"/>
      <c r="K105" s="706"/>
      <c r="L105" s="706"/>
      <c r="M105" s="706"/>
      <c r="N105" s="706"/>
      <c r="O105" s="744"/>
    </row>
    <row r="106" spans="2:16" ht="15.75" hidden="1">
      <c r="D106" s="546"/>
      <c r="E106" s="433"/>
      <c r="F106" s="2409" t="s">
        <v>3110</v>
      </c>
      <c r="G106" s="1921"/>
      <c r="H106" s="1720"/>
      <c r="I106" s="1930"/>
      <c r="J106" s="1722"/>
      <c r="K106" s="1722"/>
      <c r="L106" s="1722"/>
      <c r="M106" s="1722"/>
      <c r="N106" s="1722"/>
      <c r="O106" s="1922"/>
    </row>
    <row r="107" spans="2:16" ht="16.5" thickBot="1">
      <c r="B107">
        <v>1</v>
      </c>
      <c r="D107" s="546"/>
      <c r="E107" s="433"/>
      <c r="F107" s="2409" t="s">
        <v>3429</v>
      </c>
      <c r="G107" s="651" t="s">
        <v>2256</v>
      </c>
      <c r="H107" s="745" t="s">
        <v>3095</v>
      </c>
      <c r="I107" s="858" t="s">
        <v>3107</v>
      </c>
      <c r="J107" s="746"/>
      <c r="K107" s="746"/>
      <c r="L107" s="746"/>
      <c r="M107" s="746"/>
      <c r="N107" s="746"/>
      <c r="O107" s="747"/>
    </row>
    <row r="108" spans="2:16" ht="15.75">
      <c r="D108" s="546"/>
      <c r="E108" s="433"/>
      <c r="F108" s="2409" t="s">
        <v>386</v>
      </c>
      <c r="G108" s="1983">
        <f>COUNTIF(G95:G107,$M$3)</f>
        <v>5</v>
      </c>
      <c r="H108" s="2434" t="s">
        <v>1801</v>
      </c>
      <c r="I108" s="1897"/>
      <c r="J108" s="748"/>
      <c r="K108" s="749"/>
      <c r="L108" s="749"/>
      <c r="M108" s="749"/>
      <c r="N108" s="748"/>
      <c r="O108" s="750"/>
    </row>
    <row r="109" spans="2:16">
      <c r="D109"/>
      <c r="E109"/>
      <c r="F109"/>
      <c r="G109"/>
      <c r="H109"/>
      <c r="I109"/>
      <c r="J109"/>
      <c r="K109"/>
      <c r="L109"/>
      <c r="M109"/>
      <c r="N109"/>
      <c r="O109"/>
    </row>
    <row r="110" spans="2:16" hidden="1">
      <c r="B110" t="s">
        <v>3113</v>
      </c>
      <c r="C110" s="2476" t="s">
        <v>640</v>
      </c>
      <c r="F110" s="1933" t="s">
        <v>2516</v>
      </c>
      <c r="G110" s="1934"/>
      <c r="H110" s="1934"/>
      <c r="I110" s="1935"/>
      <c r="J110" s="1936"/>
      <c r="K110" s="1936"/>
      <c r="L110" s="1936"/>
      <c r="M110" s="1936"/>
      <c r="N110" s="1936"/>
      <c r="O110" s="1936"/>
      <c r="P110" s="1957"/>
    </row>
    <row r="111" spans="2:16" hidden="1">
      <c r="B111" t="s">
        <v>3433</v>
      </c>
      <c r="F111"/>
      <c r="G111" s="1998">
        <f>ROUND(IF(G119&lt;=2,1,IF(G119&lt;=5,2,IF(G119&lt;=8,3,IF(G119&lt;=11,4,IF(G119&gt;=12,5))))),0)</f>
        <v>3</v>
      </c>
      <c r="H111" s="1999" t="s">
        <v>1453</v>
      </c>
      <c r="I111" s="1937"/>
      <c r="J111" s="2000" t="s">
        <v>2517</v>
      </c>
      <c r="K111" s="1937"/>
      <c r="L111" s="1937"/>
      <c r="M111" s="1937"/>
      <c r="N111" s="1937"/>
      <c r="O111" s="1938" t="s">
        <v>1454</v>
      </c>
    </row>
    <row r="112" spans="2:16" hidden="1">
      <c r="B112">
        <v>3</v>
      </c>
      <c r="F112" s="2409" t="s">
        <v>3070</v>
      </c>
      <c r="G112" s="2001">
        <v>3</v>
      </c>
      <c r="H112" s="1939" t="s">
        <v>2518</v>
      </c>
      <c r="I112" s="1940"/>
      <c r="J112" s="1941" t="s">
        <v>2519</v>
      </c>
      <c r="K112" s="1939"/>
      <c r="L112" s="1939"/>
      <c r="M112" s="1939"/>
      <c r="N112" s="1939"/>
      <c r="O112" s="1942">
        <v>3</v>
      </c>
    </row>
    <row r="113" spans="2:15" hidden="1">
      <c r="B113">
        <v>1</v>
      </c>
      <c r="F113" s="2409" t="s">
        <v>3400</v>
      </c>
      <c r="G113" s="1943">
        <v>1</v>
      </c>
      <c r="H113" s="1944" t="s">
        <v>3058</v>
      </c>
      <c r="I113" s="1945"/>
      <c r="J113" s="1946" t="s">
        <v>2520</v>
      </c>
      <c r="K113" s="1944"/>
      <c r="L113" s="1944"/>
      <c r="M113" s="1944"/>
      <c r="N113" s="1944"/>
      <c r="O113" s="1947">
        <v>1</v>
      </c>
    </row>
    <row r="114" spans="2:15" hidden="1">
      <c r="B114">
        <v>3</v>
      </c>
      <c r="F114" s="2409" t="s">
        <v>3072</v>
      </c>
      <c r="G114" s="1943">
        <v>3</v>
      </c>
      <c r="H114" s="1944" t="s">
        <v>3059</v>
      </c>
      <c r="I114" s="1945"/>
      <c r="J114" s="1946" t="s">
        <v>2521</v>
      </c>
      <c r="K114" s="1944"/>
      <c r="L114" s="1944"/>
      <c r="M114" s="1944"/>
      <c r="N114" s="1944"/>
      <c r="O114" s="1947">
        <v>3</v>
      </c>
    </row>
    <row r="115" spans="2:15" hidden="1">
      <c r="B115">
        <v>2</v>
      </c>
      <c r="F115" s="2409" t="s">
        <v>3073</v>
      </c>
      <c r="G115" s="1943">
        <v>0</v>
      </c>
      <c r="H115" s="1944" t="s">
        <v>2522</v>
      </c>
      <c r="I115" s="1945"/>
      <c r="J115" s="1946" t="s">
        <v>2523</v>
      </c>
      <c r="K115" s="1944"/>
      <c r="L115" s="1944"/>
      <c r="M115" s="1944"/>
      <c r="N115" s="1944"/>
      <c r="O115" s="1947">
        <v>2</v>
      </c>
    </row>
    <row r="116" spans="2:15" hidden="1">
      <c r="B116">
        <v>1</v>
      </c>
      <c r="F116" s="2409" t="s">
        <v>3074</v>
      </c>
      <c r="G116" s="1943">
        <v>0</v>
      </c>
      <c r="H116" s="1944" t="s">
        <v>3060</v>
      </c>
      <c r="I116" s="1945"/>
      <c r="J116" s="1946" t="s">
        <v>2524</v>
      </c>
      <c r="K116" s="1944"/>
      <c r="L116" s="1944"/>
      <c r="M116" s="1944"/>
      <c r="N116" s="1944"/>
      <c r="O116" s="1947">
        <v>1</v>
      </c>
    </row>
    <row r="117" spans="2:15" hidden="1">
      <c r="B117">
        <v>2</v>
      </c>
      <c r="F117" s="2409" t="s">
        <v>3075</v>
      </c>
      <c r="G117" s="1943">
        <v>0</v>
      </c>
      <c r="H117" s="1944" t="s">
        <v>3061</v>
      </c>
      <c r="I117" s="1945"/>
      <c r="J117" s="1946" t="s">
        <v>2525</v>
      </c>
      <c r="K117" s="1944"/>
      <c r="L117" s="1944"/>
      <c r="M117" s="1944"/>
      <c r="N117" s="1944"/>
      <c r="O117" s="1947">
        <v>2</v>
      </c>
    </row>
    <row r="118" spans="2:15" ht="14.25" hidden="1" thickBot="1">
      <c r="B118">
        <v>1</v>
      </c>
      <c r="F118" s="2409" t="s">
        <v>3076</v>
      </c>
      <c r="G118" s="1948">
        <v>0</v>
      </c>
      <c r="H118" s="1949" t="s">
        <v>2526</v>
      </c>
      <c r="I118" s="1950"/>
      <c r="J118" s="1951" t="s">
        <v>2527</v>
      </c>
      <c r="K118" s="1949"/>
      <c r="L118" s="1949"/>
      <c r="M118" s="1949"/>
      <c r="N118" s="1949"/>
      <c r="O118" s="1952">
        <v>1</v>
      </c>
    </row>
    <row r="119" spans="2:15" ht="14.25" hidden="1">
      <c r="F119" s="2409" t="s">
        <v>386</v>
      </c>
      <c r="G119" s="1983">
        <f>SUM(G112:G118)</f>
        <v>7</v>
      </c>
      <c r="H119" s="2434" t="s">
        <v>1801</v>
      </c>
      <c r="I119" s="1953"/>
      <c r="J119" s="1953"/>
      <c r="K119" s="1937"/>
      <c r="L119" s="1954"/>
      <c r="M119" s="1937"/>
      <c r="N119" s="1954"/>
      <c r="O119" s="692">
        <f>SUM(B112:B118)</f>
        <v>13</v>
      </c>
    </row>
    <row r="120" spans="2:15" hidden="1">
      <c r="F120" s="1933" t="s">
        <v>2528</v>
      </c>
      <c r="G120" s="1936"/>
      <c r="H120" s="1936"/>
      <c r="I120" s="1936"/>
      <c r="J120" s="1936"/>
      <c r="K120" s="1936"/>
      <c r="L120" s="1936"/>
      <c r="M120" s="1936"/>
      <c r="N120" s="1936"/>
      <c r="O120" s="1934"/>
    </row>
    <row r="121" spans="2:15" hidden="1">
      <c r="B121" t="s">
        <v>3433</v>
      </c>
      <c r="F121"/>
      <c r="G121" s="1998">
        <f>ROUND(IF(G128&lt;=2,1,IF(G128&lt;=5,2,IF(G128&lt;=8,3,IF(G128&lt;=11,4,IF(G128&gt;=12,5))))),0)</f>
        <v>4</v>
      </c>
      <c r="H121" s="1999" t="s">
        <v>1453</v>
      </c>
      <c r="I121" s="1937"/>
      <c r="J121" s="2000" t="s">
        <v>2517</v>
      </c>
      <c r="K121" s="1937"/>
      <c r="L121" s="1937"/>
      <c r="M121" s="1937"/>
      <c r="N121" s="1937"/>
      <c r="O121" s="1938" t="s">
        <v>1454</v>
      </c>
    </row>
    <row r="122" spans="2:15" hidden="1">
      <c r="B122">
        <v>3</v>
      </c>
      <c r="F122" s="2409" t="s">
        <v>3070</v>
      </c>
      <c r="G122" s="2002">
        <v>3</v>
      </c>
      <c r="H122" s="1939" t="s">
        <v>3062</v>
      </c>
      <c r="I122" s="1940"/>
      <c r="J122" s="1941" t="s">
        <v>2529</v>
      </c>
      <c r="K122" s="1939"/>
      <c r="L122" s="1939"/>
      <c r="M122" s="1939"/>
      <c r="N122" s="1939"/>
      <c r="O122" s="1942">
        <v>3</v>
      </c>
    </row>
    <row r="123" spans="2:15" hidden="1">
      <c r="B123">
        <v>3</v>
      </c>
      <c r="F123" s="2409" t="s">
        <v>3400</v>
      </c>
      <c r="G123" s="1955">
        <v>3</v>
      </c>
      <c r="H123" s="1944" t="s">
        <v>3063</v>
      </c>
      <c r="I123" s="1945"/>
      <c r="J123" s="1946" t="s">
        <v>2530</v>
      </c>
      <c r="K123" s="1944"/>
      <c r="L123" s="1944"/>
      <c r="M123" s="1944"/>
      <c r="N123" s="1944"/>
      <c r="O123" s="1947">
        <v>3</v>
      </c>
    </row>
    <row r="124" spans="2:15" hidden="1">
      <c r="B124">
        <v>3</v>
      </c>
      <c r="F124" s="2409" t="s">
        <v>3072</v>
      </c>
      <c r="G124" s="1955">
        <v>3</v>
      </c>
      <c r="H124" s="1944" t="s">
        <v>3064</v>
      </c>
      <c r="I124" s="1945"/>
      <c r="J124" s="1946" t="s">
        <v>2531</v>
      </c>
      <c r="K124" s="1944"/>
      <c r="L124" s="1944"/>
      <c r="M124" s="1944"/>
      <c r="N124" s="1944"/>
      <c r="O124" s="1947">
        <v>3</v>
      </c>
    </row>
    <row r="125" spans="2:15" hidden="1">
      <c r="B125">
        <v>2</v>
      </c>
      <c r="F125" s="2409" t="s">
        <v>3073</v>
      </c>
      <c r="G125" s="1955">
        <v>0</v>
      </c>
      <c r="H125" s="1944" t="s">
        <v>3065</v>
      </c>
      <c r="I125" s="1945"/>
      <c r="J125" s="1946" t="s">
        <v>2532</v>
      </c>
      <c r="K125" s="1944"/>
      <c r="L125" s="1944"/>
      <c r="M125" s="1944"/>
      <c r="N125" s="1944"/>
      <c r="O125" s="1947">
        <v>2</v>
      </c>
    </row>
    <row r="126" spans="2:15" hidden="1">
      <c r="B126">
        <v>1</v>
      </c>
      <c r="F126" s="2409" t="s">
        <v>3074</v>
      </c>
      <c r="G126" s="1955">
        <v>0</v>
      </c>
      <c r="H126" s="1944" t="s">
        <v>3067</v>
      </c>
      <c r="I126" s="1945"/>
      <c r="J126" s="1946" t="s">
        <v>2533</v>
      </c>
      <c r="K126" s="1944"/>
      <c r="L126" s="1944"/>
      <c r="M126" s="1944"/>
      <c r="N126" s="1944"/>
      <c r="O126" s="1947">
        <v>1</v>
      </c>
    </row>
    <row r="127" spans="2:15" ht="14.25" hidden="1" thickBot="1">
      <c r="B127">
        <v>1</v>
      </c>
      <c r="F127" s="2409" t="s">
        <v>3075</v>
      </c>
      <c r="G127" s="1956">
        <v>0</v>
      </c>
      <c r="H127" s="1949" t="s">
        <v>3066</v>
      </c>
      <c r="I127" s="1945"/>
      <c r="J127" s="1946" t="s">
        <v>2534</v>
      </c>
      <c r="K127" s="1944"/>
      <c r="L127" s="1944"/>
      <c r="M127" s="1944"/>
      <c r="N127" s="1944"/>
      <c r="O127" s="1947">
        <v>1</v>
      </c>
    </row>
    <row r="128" spans="2:15" ht="14.25" hidden="1">
      <c r="F128" s="2409" t="s">
        <v>386</v>
      </c>
      <c r="G128" s="1983">
        <f>SUM(G122:G127)</f>
        <v>9</v>
      </c>
      <c r="H128" s="2434" t="s">
        <v>1801</v>
      </c>
      <c r="I128" s="1953"/>
      <c r="J128" s="1953"/>
      <c r="K128" s="1937"/>
      <c r="L128" s="1954"/>
      <c r="M128" s="1937"/>
      <c r="N128" s="1954"/>
      <c r="O128" s="692">
        <f>SUM(B122:B127)</f>
        <v>13</v>
      </c>
    </row>
    <row r="129" spans="2:15" ht="15.75">
      <c r="D129" s="546"/>
      <c r="E129" s="433"/>
      <c r="F129"/>
      <c r="G129"/>
      <c r="H129"/>
      <c r="I129"/>
      <c r="J129"/>
      <c r="K129"/>
      <c r="L129"/>
      <c r="M129"/>
      <c r="N129"/>
      <c r="O129"/>
    </row>
    <row r="130" spans="2:15" ht="15.75">
      <c r="D130" s="546"/>
      <c r="E130" s="433"/>
      <c r="F130" s="554" t="s">
        <v>1488</v>
      </c>
      <c r="G130"/>
      <c r="H130"/>
      <c r="I130"/>
      <c r="J130"/>
      <c r="K130"/>
      <c r="L130"/>
      <c r="M130"/>
      <c r="N130"/>
      <c r="O130"/>
    </row>
    <row r="131" spans="2:15" ht="16.5" thickBot="1">
      <c r="B131" t="s">
        <v>3539</v>
      </c>
      <c r="C131" s="2476" t="s">
        <v>3538</v>
      </c>
      <c r="D131" s="546"/>
      <c r="E131" s="551"/>
      <c r="F131" s="673" t="s">
        <v>392</v>
      </c>
      <c r="G131" s="559"/>
      <c r="H131" s="1530"/>
      <c r="I131" s="561" t="s">
        <v>1141</v>
      </c>
      <c r="J131" s="562">
        <f>重み!M76</f>
        <v>0.5</v>
      </c>
      <c r="K131" s="674"/>
      <c r="L131" s="561" t="s">
        <v>1102</v>
      </c>
      <c r="M131" s="736">
        <f>メイン!$J$66</f>
        <v>5000</v>
      </c>
      <c r="N131" s="737" t="s">
        <v>1103</v>
      </c>
      <c r="O131" s="738"/>
    </row>
    <row r="132" spans="2:15" ht="27" customHeight="1" thickBot="1">
      <c r="B132" t="s">
        <v>3432</v>
      </c>
      <c r="C132" t="s">
        <v>3432</v>
      </c>
      <c r="E132" s="551"/>
      <c r="F132" s="1978">
        <f>G140</f>
        <v>3</v>
      </c>
      <c r="G132" s="661" t="s">
        <v>1489</v>
      </c>
      <c r="H132" s="570"/>
      <c r="I132" s="570"/>
      <c r="J132" s="570"/>
      <c r="K132" s="570"/>
      <c r="L132" s="570"/>
      <c r="M132" s="571"/>
      <c r="N132" s="1910" t="s">
        <v>81</v>
      </c>
      <c r="O132" s="783"/>
    </row>
    <row r="133" spans="2:15" ht="21" customHeight="1">
      <c r="B133">
        <v>0</v>
      </c>
      <c r="E133" s="50"/>
      <c r="F133" s="572" t="str">
        <f>IF(F132=$F$7,$G$2,IF(ROUNDDOWN(F132,0)=$F$2,$H$2,$G$2))</f>
        <v>　レベル　1</v>
      </c>
      <c r="G133" s="580" t="s">
        <v>1090</v>
      </c>
      <c r="H133" s="575"/>
      <c r="I133" s="575"/>
      <c r="J133" s="575"/>
      <c r="K133" s="575"/>
      <c r="L133" s="575"/>
      <c r="M133" s="576"/>
      <c r="N133" s="3267" t="s">
        <v>2853</v>
      </c>
      <c r="O133" s="3268"/>
    </row>
    <row r="134" spans="2:15" ht="27.75" customHeight="1">
      <c r="B134">
        <v>0</v>
      </c>
      <c r="E134" s="50"/>
      <c r="F134" s="577" t="str">
        <f>IF(F132=$F$7,$G$3,IF(ROUNDDOWN(F132,0)=$F$3,$H$3,$G$3))</f>
        <v>　レベル　2</v>
      </c>
      <c r="G134" s="580" t="s">
        <v>1557</v>
      </c>
      <c r="H134" s="581"/>
      <c r="I134" s="581"/>
      <c r="J134" s="581"/>
      <c r="K134" s="581"/>
      <c r="L134" s="581"/>
      <c r="M134" s="582"/>
      <c r="N134" s="3269"/>
      <c r="O134" s="3270"/>
    </row>
    <row r="135" spans="2:15" ht="27.75" customHeight="1">
      <c r="B135">
        <v>4</v>
      </c>
      <c r="E135" s="50"/>
      <c r="F135" s="577" t="str">
        <f>IF(F132=$F$7,$G$4,IF(ROUNDDOWN(F132,0)=$F$4,$H$4,$G$4))</f>
        <v>■レベル　3</v>
      </c>
      <c r="G135" s="580" t="s">
        <v>1558</v>
      </c>
      <c r="H135" s="581"/>
      <c r="I135" s="581"/>
      <c r="J135" s="581"/>
      <c r="K135" s="581"/>
      <c r="L135" s="581"/>
      <c r="M135" s="582"/>
      <c r="N135" s="3269"/>
      <c r="O135" s="3270"/>
    </row>
    <row r="136" spans="2:15" ht="27.75" customHeight="1">
      <c r="B136">
        <v>7</v>
      </c>
      <c r="E136" s="50"/>
      <c r="F136" s="577" t="str">
        <f>IF(F132=$F$7,$G$5,IF(ROUNDDOWN(F132,0)=$F$5,$H$5,$G$5))</f>
        <v>　レベル　4</v>
      </c>
      <c r="G136" s="705" t="s">
        <v>1559</v>
      </c>
      <c r="H136" s="690"/>
      <c r="I136" s="690"/>
      <c r="J136" s="690"/>
      <c r="K136" s="690"/>
      <c r="L136" s="690"/>
      <c r="M136" s="586"/>
      <c r="N136" s="3269"/>
      <c r="O136" s="3270"/>
    </row>
    <row r="137" spans="2:15" ht="27.75" customHeight="1">
      <c r="B137">
        <v>10</v>
      </c>
      <c r="E137" s="50"/>
      <c r="F137" s="587" t="str">
        <f>IF(F132=$F$7,$G$6,IF(ROUNDDOWN(F132,0)=$F$6,$H$6,$G$6))</f>
        <v>　レベル　5</v>
      </c>
      <c r="G137" s="3155" t="s">
        <v>1560</v>
      </c>
      <c r="H137" s="3179"/>
      <c r="I137" s="3179"/>
      <c r="J137" s="3179"/>
      <c r="K137" s="3179"/>
      <c r="L137" s="3179"/>
      <c r="M137" s="3185"/>
      <c r="N137" s="3271"/>
      <c r="O137" s="3272"/>
    </row>
    <row r="138" spans="2:15" ht="15.75">
      <c r="E138" s="50"/>
      <c r="F138" s="887" t="s">
        <v>3402</v>
      </c>
      <c r="G138" s="2423"/>
      <c r="H138" s="2399"/>
      <c r="I138" s="2396"/>
      <c r="J138" s="2397"/>
      <c r="K138" s="2400"/>
      <c r="L138" s="1281"/>
      <c r="M138"/>
      <c r="N138"/>
      <c r="O138"/>
    </row>
    <row r="139" spans="2:15">
      <c r="B139" s="918"/>
      <c r="C139" s="918"/>
      <c r="D139"/>
      <c r="E139"/>
      <c r="F139" s="595" t="s">
        <v>2263</v>
      </c>
      <c r="G139"/>
      <c r="H139"/>
      <c r="I139"/>
      <c r="J139"/>
      <c r="K139"/>
      <c r="L139"/>
      <c r="M139"/>
      <c r="N139"/>
      <c r="O139"/>
    </row>
    <row r="140" spans="2:15" ht="27" customHeight="1" thickBot="1">
      <c r="B140" t="s">
        <v>3433</v>
      </c>
      <c r="C140" t="s">
        <v>641</v>
      </c>
      <c r="D140" s="546"/>
      <c r="E140" s="546"/>
      <c r="F140" s="546"/>
      <c r="G140" s="1997">
        <f>IF(G154&gt;=B137,5,IF(G154&gt;=B136,4,IF(G154&gt;=B135,3,IF(G154&gt;=B134,2,1))))</f>
        <v>3</v>
      </c>
      <c r="H140" s="871" t="s">
        <v>3068</v>
      </c>
      <c r="I140" s="748"/>
      <c r="J140" s="748"/>
      <c r="K140" s="748"/>
      <c r="L140" s="810" t="s">
        <v>3069</v>
      </c>
      <c r="M140" s="748"/>
      <c r="N140" s="748"/>
      <c r="O140" s="1903"/>
    </row>
    <row r="141" spans="2:15" ht="27.75" customHeight="1">
      <c r="B141">
        <v>1</v>
      </c>
      <c r="D141" s="546"/>
      <c r="E141" s="433"/>
      <c r="F141" s="2409" t="s">
        <v>3070</v>
      </c>
      <c r="G141" s="2544"/>
      <c r="H141" s="3273" t="s">
        <v>3739</v>
      </c>
      <c r="I141" s="3253"/>
      <c r="J141" s="3253"/>
      <c r="K141" s="3254"/>
      <c r="L141" s="2488" t="s">
        <v>2189</v>
      </c>
      <c r="M141" s="1986"/>
      <c r="N141" s="1986"/>
      <c r="O141" s="2489"/>
    </row>
    <row r="142" spans="2:15" ht="27.75" customHeight="1">
      <c r="B142">
        <v>1</v>
      </c>
      <c r="D142" s="546"/>
      <c r="E142" s="433"/>
      <c r="F142" s="2409" t="s">
        <v>3400</v>
      </c>
      <c r="G142" s="2545" t="s">
        <v>2256</v>
      </c>
      <c r="H142" s="3256" t="s">
        <v>3740</v>
      </c>
      <c r="I142" s="3245"/>
      <c r="J142" s="3245"/>
      <c r="K142" s="3244"/>
      <c r="L142" s="2488" t="s">
        <v>3738</v>
      </c>
      <c r="M142" s="1986"/>
      <c r="N142" s="1986"/>
      <c r="O142" s="1971"/>
    </row>
    <row r="143" spans="2:15" ht="49.5" customHeight="1">
      <c r="B143">
        <v>1</v>
      </c>
      <c r="D143" s="546"/>
      <c r="E143" s="433"/>
      <c r="F143" s="2409" t="s">
        <v>3072</v>
      </c>
      <c r="G143" s="2545" t="s">
        <v>2256</v>
      </c>
      <c r="H143" s="3256" t="s">
        <v>3741</v>
      </c>
      <c r="I143" s="3245"/>
      <c r="J143" s="3245"/>
      <c r="K143" s="3244"/>
      <c r="L143" s="3259" t="s">
        <v>23</v>
      </c>
      <c r="M143" s="3245"/>
      <c r="N143" s="3245"/>
      <c r="O143" s="3244"/>
    </row>
    <row r="144" spans="2:15" ht="27.75" customHeight="1">
      <c r="B144">
        <v>1</v>
      </c>
      <c r="D144" s="546"/>
      <c r="E144" s="433"/>
      <c r="F144" s="2409" t="s">
        <v>3073</v>
      </c>
      <c r="G144" s="2545" t="s">
        <v>2256</v>
      </c>
      <c r="H144" s="3256" t="s">
        <v>3742</v>
      </c>
      <c r="I144" s="3245"/>
      <c r="J144" s="3245"/>
      <c r="K144" s="3244"/>
      <c r="L144" s="3259" t="s">
        <v>2190</v>
      </c>
      <c r="M144" s="3245"/>
      <c r="N144" s="3245"/>
      <c r="O144" s="3244"/>
    </row>
    <row r="145" spans="2:15" ht="39.75" customHeight="1">
      <c r="B145">
        <v>1</v>
      </c>
      <c r="D145" s="546"/>
      <c r="E145" s="433"/>
      <c r="F145" s="2409" t="s">
        <v>3074</v>
      </c>
      <c r="G145" s="2545" t="s">
        <v>2256</v>
      </c>
      <c r="H145" s="3256" t="s">
        <v>3743</v>
      </c>
      <c r="I145" s="3245"/>
      <c r="J145" s="3245"/>
      <c r="K145" s="3244"/>
      <c r="L145" s="3259" t="s">
        <v>1456</v>
      </c>
      <c r="M145" s="3245"/>
      <c r="N145" s="3245"/>
      <c r="O145" s="3244"/>
    </row>
    <row r="146" spans="2:15" ht="27.75" customHeight="1">
      <c r="B146">
        <v>1</v>
      </c>
      <c r="D146" s="546"/>
      <c r="E146" s="433"/>
      <c r="F146" s="2409" t="s">
        <v>3075</v>
      </c>
      <c r="G146" s="2545"/>
      <c r="H146" s="2487" t="s">
        <v>3744</v>
      </c>
      <c r="I146" s="1926"/>
      <c r="J146" s="1926"/>
      <c r="K146" s="1926"/>
      <c r="L146" s="2488" t="s">
        <v>1473</v>
      </c>
      <c r="M146" s="1986"/>
      <c r="N146" s="1986"/>
      <c r="O146" s="1971"/>
    </row>
    <row r="147" spans="2:15" ht="27.75" customHeight="1">
      <c r="B147">
        <v>1</v>
      </c>
      <c r="D147" s="546"/>
      <c r="E147" s="433"/>
      <c r="F147" s="2409" t="s">
        <v>3076</v>
      </c>
      <c r="G147" s="2545"/>
      <c r="H147" s="3256" t="s">
        <v>3745</v>
      </c>
      <c r="I147" s="3245"/>
      <c r="J147" s="3245"/>
      <c r="K147" s="3244"/>
      <c r="L147" s="3259" t="s">
        <v>578</v>
      </c>
      <c r="M147" s="3245"/>
      <c r="N147" s="3245"/>
      <c r="O147" s="3244"/>
    </row>
    <row r="148" spans="2:15" ht="27.75" customHeight="1">
      <c r="B148">
        <v>1</v>
      </c>
      <c r="D148" s="546"/>
      <c r="E148" s="433"/>
      <c r="F148" s="2409" t="s">
        <v>3077</v>
      </c>
      <c r="G148" s="2545" t="s">
        <v>1634</v>
      </c>
      <c r="H148" s="3256" t="s">
        <v>3746</v>
      </c>
      <c r="I148" s="3245"/>
      <c r="J148" s="3245"/>
      <c r="K148" s="3244"/>
      <c r="L148" s="3259" t="s">
        <v>412</v>
      </c>
      <c r="M148" s="3245"/>
      <c r="N148" s="3245"/>
      <c r="O148" s="3244"/>
    </row>
    <row r="149" spans="2:15" ht="27.75" customHeight="1">
      <c r="B149">
        <v>1</v>
      </c>
      <c r="D149" s="546"/>
      <c r="E149" s="433"/>
      <c r="F149" s="2409" t="s">
        <v>3078</v>
      </c>
      <c r="G149" s="2545"/>
      <c r="H149" s="2487" t="s">
        <v>3747</v>
      </c>
      <c r="I149" s="1926"/>
      <c r="J149" s="1926"/>
      <c r="K149" s="1926"/>
      <c r="L149" s="3259" t="s">
        <v>579</v>
      </c>
      <c r="M149" s="3245"/>
      <c r="N149" s="3245"/>
      <c r="O149" s="3244"/>
    </row>
    <row r="150" spans="2:15" ht="27.75" customHeight="1">
      <c r="B150">
        <v>1</v>
      </c>
      <c r="D150" s="546"/>
      <c r="E150" s="433"/>
      <c r="F150" s="2409" t="s">
        <v>3108</v>
      </c>
      <c r="G150" s="2545"/>
      <c r="H150" s="3256" t="s">
        <v>3748</v>
      </c>
      <c r="I150" s="3245"/>
      <c r="J150" s="3245"/>
      <c r="K150" s="3244"/>
      <c r="L150" s="3259" t="s">
        <v>90</v>
      </c>
      <c r="M150" s="3245"/>
      <c r="N150" s="3245"/>
      <c r="O150" s="3244"/>
    </row>
    <row r="151" spans="2:15" ht="27.75" customHeight="1">
      <c r="B151">
        <v>1</v>
      </c>
      <c r="D151" s="546"/>
      <c r="E151" s="433"/>
      <c r="F151" s="2409" t="s">
        <v>3109</v>
      </c>
      <c r="G151" s="2545"/>
      <c r="H151" s="2487" t="s">
        <v>3749</v>
      </c>
      <c r="I151" s="1926"/>
      <c r="J151" s="1926"/>
      <c r="K151" s="1926"/>
      <c r="L151" s="2488" t="s">
        <v>1347</v>
      </c>
      <c r="M151" s="2496"/>
      <c r="N151" s="2496"/>
      <c r="O151" s="2497"/>
    </row>
    <row r="152" spans="2:15" ht="27.75" customHeight="1">
      <c r="B152">
        <v>1</v>
      </c>
      <c r="D152" s="546"/>
      <c r="E152" s="433"/>
      <c r="F152" s="2409" t="s">
        <v>3110</v>
      </c>
      <c r="G152" s="2545"/>
      <c r="H152" s="3256" t="s">
        <v>3750</v>
      </c>
      <c r="I152" s="3245"/>
      <c r="J152" s="3245"/>
      <c r="K152" s="3244"/>
      <c r="L152" s="3259" t="s">
        <v>1348</v>
      </c>
      <c r="M152" s="3245"/>
      <c r="N152" s="3245"/>
      <c r="O152" s="3244"/>
    </row>
    <row r="153" spans="2:15" ht="27.75" customHeight="1" thickBot="1">
      <c r="B153">
        <v>1</v>
      </c>
      <c r="D153" s="546"/>
      <c r="E153" s="433"/>
      <c r="F153" s="2409" t="s">
        <v>3111</v>
      </c>
      <c r="G153" s="2546"/>
      <c r="H153" s="3274" t="s">
        <v>3751</v>
      </c>
      <c r="I153" s="3242"/>
      <c r="J153" s="3242"/>
      <c r="K153" s="3243"/>
      <c r="L153" s="3260" t="s">
        <v>1349</v>
      </c>
      <c r="M153" s="3242"/>
      <c r="N153" s="3242"/>
      <c r="O153" s="3243"/>
    </row>
    <row r="154" spans="2:15" ht="15.75">
      <c r="D154" s="546"/>
      <c r="E154" s="433"/>
      <c r="F154" s="2409" t="s">
        <v>386</v>
      </c>
      <c r="G154" s="1983">
        <f>COUNTIF(G141:G153,$M$3)</f>
        <v>5</v>
      </c>
      <c r="H154" s="2434" t="s">
        <v>1801</v>
      </c>
      <c r="I154" s="756"/>
      <c r="J154" s="748"/>
      <c r="K154" s="748"/>
      <c r="L154" s="748"/>
      <c r="M154" s="748"/>
      <c r="N154" s="749"/>
      <c r="O154" s="753"/>
    </row>
    <row r="155" spans="2:15">
      <c r="D155"/>
      <c r="E155"/>
      <c r="F155"/>
      <c r="G155"/>
      <c r="H155"/>
      <c r="I155"/>
      <c r="J155"/>
      <c r="K155"/>
      <c r="L155"/>
      <c r="M155"/>
      <c r="N155"/>
      <c r="O155"/>
    </row>
    <row r="156" spans="2:15" ht="13.5" hidden="1" customHeight="1">
      <c r="B156" s="757" t="s">
        <v>580</v>
      </c>
      <c r="F156" s="758" t="s">
        <v>1350</v>
      </c>
      <c r="G156" s="1914" t="s">
        <v>581</v>
      </c>
      <c r="H156" s="1915"/>
      <c r="I156" s="715" t="s">
        <v>582</v>
      </c>
      <c r="J156" s="1529"/>
      <c r="K156" s="1529"/>
      <c r="L156" s="1529"/>
      <c r="M156" s="1529"/>
      <c r="N156" s="1529"/>
      <c r="O156" s="1915"/>
    </row>
    <row r="157" spans="2:15" ht="22.5" hidden="1" customHeight="1">
      <c r="F157" s="758" t="s">
        <v>1351</v>
      </c>
      <c r="G157" s="1914" t="s">
        <v>1699</v>
      </c>
      <c r="H157" s="1915"/>
      <c r="I157" s="715" t="s">
        <v>564</v>
      </c>
      <c r="J157" s="1529"/>
      <c r="K157" s="1529"/>
      <c r="L157" s="1529"/>
      <c r="M157" s="1529"/>
      <c r="N157" s="1529"/>
      <c r="O157" s="1915"/>
    </row>
    <row r="158" spans="2:15" ht="23.25" hidden="1" customHeight="1" thickBot="1">
      <c r="F158" s="758" t="s">
        <v>1352</v>
      </c>
      <c r="G158" s="1914" t="s">
        <v>565</v>
      </c>
      <c r="H158" s="1915"/>
      <c r="I158" s="715" t="s">
        <v>566</v>
      </c>
      <c r="J158" s="1529"/>
      <c r="K158" s="1529"/>
      <c r="L158" s="1529"/>
      <c r="M158" s="1529"/>
      <c r="N158" s="1529"/>
      <c r="O158" s="1915"/>
    </row>
    <row r="159" spans="2:15" ht="32.25" hidden="1" customHeight="1" thickBot="1">
      <c r="B159" s="713" t="s">
        <v>640</v>
      </c>
      <c r="F159" s="617" t="s">
        <v>2516</v>
      </c>
      <c r="G159" s="1523"/>
      <c r="H159" s="1523"/>
      <c r="I159" s="1911" t="s">
        <v>1551</v>
      </c>
      <c r="J159" s="1912"/>
      <c r="K159" s="1913"/>
      <c r="L159" s="739" t="s">
        <v>2535</v>
      </c>
      <c r="M159" s="739"/>
      <c r="N159" s="617"/>
      <c r="O159" s="1523"/>
    </row>
    <row r="160" spans="2:15" ht="14.25" hidden="1" customHeight="1" thickBot="1">
      <c r="G160" s="1997">
        <f>IF(G172&gt;=B137,5,IF(G172&gt;=B136,4,IF(G172&gt;=B135,3,IF(G172&gt;=B134,2,1))))</f>
        <v>3</v>
      </c>
      <c r="H160" s="1902" t="s">
        <v>1453</v>
      </c>
      <c r="I160" s="1902" t="s">
        <v>2536</v>
      </c>
      <c r="J160" s="748"/>
      <c r="K160" s="748"/>
      <c r="L160" s="1902" t="s">
        <v>2536</v>
      </c>
      <c r="M160" s="748"/>
      <c r="N160" s="748"/>
      <c r="O160" s="692" t="s">
        <v>1454</v>
      </c>
    </row>
    <row r="161" spans="6:15" ht="13.5" hidden="1" customHeight="1">
      <c r="F161" s="2409" t="s">
        <v>3070</v>
      </c>
      <c r="G161" s="2443">
        <v>1</v>
      </c>
      <c r="H161" s="1902" t="s">
        <v>313</v>
      </c>
      <c r="I161" s="2492" t="s">
        <v>2537</v>
      </c>
      <c r="J161" s="2493"/>
      <c r="K161" s="2494"/>
      <c r="L161" s="2492" t="s">
        <v>2538</v>
      </c>
      <c r="M161" s="2493"/>
      <c r="N161" s="2494"/>
      <c r="O161" s="1524">
        <v>1</v>
      </c>
    </row>
    <row r="162" spans="6:15" ht="13.5" hidden="1" customHeight="1">
      <c r="F162" s="2409" t="s">
        <v>3400</v>
      </c>
      <c r="G162" s="2445">
        <v>3</v>
      </c>
      <c r="H162" s="1916" t="s">
        <v>314</v>
      </c>
      <c r="I162" s="2495" t="s">
        <v>2539</v>
      </c>
      <c r="J162" s="2496"/>
      <c r="K162" s="2497"/>
      <c r="L162" s="1964" t="s">
        <v>2540</v>
      </c>
      <c r="M162" s="2496"/>
      <c r="N162" s="2497"/>
      <c r="O162" s="2498">
        <v>3</v>
      </c>
    </row>
    <row r="163" spans="6:15" ht="13.5" hidden="1" customHeight="1">
      <c r="F163" s="2409" t="s">
        <v>3072</v>
      </c>
      <c r="G163" s="2445">
        <v>0</v>
      </c>
      <c r="H163" s="1917"/>
      <c r="I163" s="1964" t="s">
        <v>2541</v>
      </c>
      <c r="J163" s="2496"/>
      <c r="K163" s="2497"/>
      <c r="L163" s="1964" t="s">
        <v>2540</v>
      </c>
      <c r="M163" s="2496"/>
      <c r="N163" s="2497"/>
      <c r="O163" s="2498">
        <v>3</v>
      </c>
    </row>
    <row r="164" spans="6:15" ht="13.5" hidden="1" customHeight="1">
      <c r="F164" s="2409" t="s">
        <v>3073</v>
      </c>
      <c r="G164" s="2445">
        <v>2</v>
      </c>
      <c r="H164" s="1917"/>
      <c r="I164" s="1964" t="s">
        <v>2540</v>
      </c>
      <c r="J164" s="2496"/>
      <c r="K164" s="2497"/>
      <c r="L164" s="1964" t="s">
        <v>2542</v>
      </c>
      <c r="M164" s="2496"/>
      <c r="N164" s="2497"/>
      <c r="O164" s="752">
        <v>2</v>
      </c>
    </row>
    <row r="165" spans="6:15" ht="13.5" hidden="1" customHeight="1">
      <c r="F165" s="2409" t="s">
        <v>3074</v>
      </c>
      <c r="G165" s="2445">
        <v>0</v>
      </c>
      <c r="H165" s="1918"/>
      <c r="I165" s="2492" t="s">
        <v>2540</v>
      </c>
      <c r="J165" s="2493"/>
      <c r="K165" s="2494"/>
      <c r="L165" s="2492" t="s">
        <v>2543</v>
      </c>
      <c r="M165" s="2493"/>
      <c r="N165" s="2494"/>
      <c r="O165" s="761">
        <v>1</v>
      </c>
    </row>
    <row r="166" spans="6:15" ht="13.5" hidden="1" customHeight="1">
      <c r="F166" s="2409" t="s">
        <v>3075</v>
      </c>
      <c r="G166" s="2445">
        <v>0</v>
      </c>
      <c r="H166" s="1916" t="s">
        <v>315</v>
      </c>
      <c r="I166" s="2499" t="s">
        <v>2544</v>
      </c>
      <c r="J166" s="2500"/>
      <c r="K166" s="2501"/>
      <c r="L166" s="2499" t="s">
        <v>2545</v>
      </c>
      <c r="M166" s="2500"/>
      <c r="N166" s="2501"/>
      <c r="O166" s="794">
        <v>1</v>
      </c>
    </row>
    <row r="167" spans="6:15" ht="13.5" hidden="1" customHeight="1">
      <c r="F167" s="2409" t="s">
        <v>3076</v>
      </c>
      <c r="G167" s="2445">
        <v>0</v>
      </c>
      <c r="H167" s="1917"/>
      <c r="I167" s="1964" t="s">
        <v>2546</v>
      </c>
      <c r="J167" s="2496"/>
      <c r="K167" s="2497"/>
      <c r="L167" s="1964" t="s">
        <v>2547</v>
      </c>
      <c r="M167" s="2496"/>
      <c r="N167" s="2497"/>
      <c r="O167" s="752">
        <v>2</v>
      </c>
    </row>
    <row r="168" spans="6:15" ht="13.5" hidden="1" customHeight="1">
      <c r="F168" s="2409" t="s">
        <v>3077</v>
      </c>
      <c r="G168" s="2445">
        <v>1</v>
      </c>
      <c r="H168" s="1918"/>
      <c r="I168" s="2492" t="s">
        <v>2540</v>
      </c>
      <c r="J168" s="2493"/>
      <c r="K168" s="2494"/>
      <c r="L168" s="2492" t="s">
        <v>2548</v>
      </c>
      <c r="M168" s="2493"/>
      <c r="N168" s="2494"/>
      <c r="O168" s="761">
        <v>1</v>
      </c>
    </row>
    <row r="169" spans="6:15" ht="13.5" hidden="1" customHeight="1">
      <c r="F169" s="2409" t="s">
        <v>3078</v>
      </c>
      <c r="G169" s="2445">
        <v>0</v>
      </c>
      <c r="H169" s="1916" t="s">
        <v>1455</v>
      </c>
      <c r="I169" s="2499" t="s">
        <v>475</v>
      </c>
      <c r="J169" s="2500"/>
      <c r="K169" s="2501"/>
      <c r="L169" s="2499" t="s">
        <v>2549</v>
      </c>
      <c r="M169" s="2500"/>
      <c r="N169" s="2501"/>
      <c r="O169" s="794">
        <v>1</v>
      </c>
    </row>
    <row r="170" spans="6:15" ht="13.5" hidden="1" customHeight="1">
      <c r="F170" s="2409" t="s">
        <v>3108</v>
      </c>
      <c r="G170" s="2445">
        <v>0</v>
      </c>
      <c r="H170" s="1918"/>
      <c r="I170" s="2492" t="s">
        <v>2540</v>
      </c>
      <c r="J170" s="2493"/>
      <c r="K170" s="2494"/>
      <c r="L170" s="2492" t="s">
        <v>2550</v>
      </c>
      <c r="M170" s="2493"/>
      <c r="N170" s="2494"/>
      <c r="O170" s="761">
        <v>1</v>
      </c>
    </row>
    <row r="171" spans="6:15" ht="14.25" hidden="1" customHeight="1" thickBot="1">
      <c r="F171" s="2409" t="s">
        <v>3109</v>
      </c>
      <c r="G171" s="2446">
        <v>0</v>
      </c>
      <c r="H171" s="1902" t="s">
        <v>476</v>
      </c>
      <c r="I171" s="2492" t="s">
        <v>477</v>
      </c>
      <c r="J171" s="2493"/>
      <c r="K171" s="2494"/>
      <c r="L171" s="2492" t="s">
        <v>2551</v>
      </c>
      <c r="M171" s="2493"/>
      <c r="N171" s="2494"/>
      <c r="O171" s="1525">
        <v>2</v>
      </c>
    </row>
    <row r="172" spans="6:15" ht="14.25" hidden="1" customHeight="1">
      <c r="F172" s="2409" t="s">
        <v>386</v>
      </c>
      <c r="G172" s="1983">
        <f>IF($I$159=$N$7,SUM(G161:G163,G166:G167,G169,G171),SUM(G161,G164:G171))</f>
        <v>4</v>
      </c>
      <c r="H172" s="2434" t="s">
        <v>3548</v>
      </c>
      <c r="I172" s="2502"/>
      <c r="J172" s="1961"/>
      <c r="K172" s="2503"/>
      <c r="L172" s="2504"/>
      <c r="M172" s="1961"/>
      <c r="N172" s="2504"/>
      <c r="O172" s="753"/>
    </row>
    <row r="173" spans="6:15" ht="13.5" hidden="1" customHeight="1">
      <c r="G173" s="714" t="s">
        <v>394</v>
      </c>
      <c r="H173" s="617"/>
      <c r="I173" s="617"/>
      <c r="J173" s="617"/>
      <c r="K173" s="617"/>
      <c r="L173" s="617"/>
      <c r="M173" s="617"/>
      <c r="N173" s="617"/>
      <c r="O173" s="721"/>
    </row>
    <row r="174" spans="6:15" ht="13.5" hidden="1" customHeight="1">
      <c r="G174" s="715" t="s">
        <v>2424</v>
      </c>
      <c r="H174" s="716"/>
      <c r="I174" s="715" t="s">
        <v>478</v>
      </c>
      <c r="J174" s="716"/>
      <c r="K174" s="716"/>
      <c r="L174" s="716"/>
      <c r="M174" s="716"/>
      <c r="N174" s="716"/>
      <c r="O174" s="717"/>
    </row>
    <row r="175" spans="6:15" ht="13.5" hidden="1" customHeight="1">
      <c r="G175" s="715" t="s">
        <v>2552</v>
      </c>
      <c r="H175" s="716"/>
      <c r="I175" s="715" t="s">
        <v>2553</v>
      </c>
      <c r="J175" s="716"/>
      <c r="K175" s="716"/>
      <c r="L175" s="716"/>
      <c r="M175" s="716"/>
      <c r="N175" s="716"/>
      <c r="O175" s="717"/>
    </row>
    <row r="176" spans="6:15" ht="13.5" hidden="1" customHeight="1">
      <c r="G176" s="710" t="s">
        <v>479</v>
      </c>
      <c r="H176" s="1526"/>
      <c r="I176" s="710" t="s">
        <v>2554</v>
      </c>
      <c r="J176" s="2505"/>
      <c r="K176" s="2505"/>
      <c r="L176" s="2505"/>
      <c r="M176" s="2505"/>
      <c r="N176" s="2505"/>
      <c r="O176" s="2506"/>
    </row>
    <row r="177" spans="2:15" ht="13.5" hidden="1" customHeight="1">
      <c r="G177" s="1527"/>
      <c r="H177" s="1528"/>
      <c r="I177" s="715" t="s">
        <v>2555</v>
      </c>
      <c r="J177" s="2507"/>
      <c r="K177" s="2507"/>
      <c r="L177" s="2507"/>
      <c r="M177" s="2507"/>
      <c r="N177" s="2507"/>
      <c r="O177" s="2508"/>
    </row>
    <row r="178" spans="2:15" ht="13.5" hidden="1" customHeight="1">
      <c r="G178" s="715" t="s">
        <v>480</v>
      </c>
      <c r="H178" s="716"/>
      <c r="I178" s="662" t="s">
        <v>2556</v>
      </c>
      <c r="J178" s="2509"/>
      <c r="K178" s="2509"/>
      <c r="L178" s="2509"/>
      <c r="M178" s="2509"/>
      <c r="N178" s="2509"/>
      <c r="O178" s="2510"/>
    </row>
    <row r="179" spans="2:15" ht="13.5" hidden="1" customHeight="1">
      <c r="G179" s="715" t="s">
        <v>481</v>
      </c>
      <c r="H179" s="716"/>
      <c r="I179" s="662" t="s">
        <v>2557</v>
      </c>
      <c r="J179" s="2509"/>
      <c r="K179" s="2509"/>
      <c r="L179" s="2509"/>
      <c r="M179" s="2509"/>
      <c r="N179" s="2509"/>
      <c r="O179" s="2510"/>
    </row>
    <row r="180" spans="2:15" ht="13.5" hidden="1" customHeight="1">
      <c r="G180" s="715" t="s">
        <v>482</v>
      </c>
      <c r="H180" s="1529"/>
      <c r="I180" s="715" t="s">
        <v>2558</v>
      </c>
      <c r="J180" s="1529"/>
      <c r="K180" s="1529"/>
      <c r="L180" s="1529"/>
      <c r="M180" s="1529"/>
      <c r="N180" s="1529"/>
      <c r="O180" s="1915"/>
    </row>
    <row r="181" spans="2:15" ht="15.75" hidden="1" customHeight="1">
      <c r="D181" s="546"/>
      <c r="E181" s="433"/>
      <c r="F181"/>
      <c r="G181"/>
      <c r="H181"/>
      <c r="I181"/>
      <c r="J181"/>
      <c r="K181"/>
      <c r="L181"/>
      <c r="M181"/>
      <c r="N181"/>
      <c r="O181"/>
    </row>
    <row r="182" spans="2:15" ht="15.75" customHeight="1">
      <c r="D182" s="546"/>
      <c r="E182" s="433"/>
      <c r="F182" s="554" t="s">
        <v>483</v>
      </c>
      <c r="G182"/>
      <c r="H182"/>
      <c r="I182"/>
      <c r="J182" t="str">
        <f>IF(OR(F184=0,J183=0),$L$3,"")</f>
        <v>&lt;評価しない&gt;</v>
      </c>
      <c r="K182"/>
      <c r="L182"/>
      <c r="M182"/>
      <c r="N182"/>
      <c r="O182"/>
    </row>
    <row r="183" spans="2:15" ht="16.5" hidden="1" customHeight="1" thickBot="1">
      <c r="B183" s="713" t="s">
        <v>640</v>
      </c>
      <c r="D183" s="546"/>
      <c r="E183" s="433"/>
      <c r="F183" s="673" t="s">
        <v>392</v>
      </c>
      <c r="G183" s="559"/>
      <c r="H183" s="1530"/>
      <c r="I183" s="561" t="s">
        <v>1141</v>
      </c>
      <c r="J183" s="562">
        <f>重み!M77</f>
        <v>0</v>
      </c>
      <c r="K183" s="674"/>
      <c r="L183" s="561" t="s">
        <v>1102</v>
      </c>
      <c r="M183" s="736">
        <f>メイン!$J$66</f>
        <v>5000</v>
      </c>
      <c r="N183" s="1531"/>
      <c r="O183" s="1557"/>
    </row>
    <row r="184" spans="2:15" ht="16.5" hidden="1" customHeight="1" thickBot="1">
      <c r="B184" t="s">
        <v>3432</v>
      </c>
      <c r="D184" s="546"/>
      <c r="E184" s="551"/>
      <c r="F184" s="1978">
        <f>G192</f>
        <v>3</v>
      </c>
      <c r="G184" s="1895" t="s">
        <v>763</v>
      </c>
      <c r="H184" s="623"/>
      <c r="I184" s="623"/>
      <c r="J184" s="623"/>
      <c r="K184" s="623"/>
      <c r="L184" s="623"/>
      <c r="M184" s="623"/>
      <c r="N184" s="1910" t="s">
        <v>1103</v>
      </c>
      <c r="O184" s="783"/>
    </row>
    <row r="185" spans="2:15" ht="15.75" hidden="1" customHeight="1">
      <c r="B185">
        <v>0</v>
      </c>
      <c r="D185" s="546"/>
      <c r="E185" s="50"/>
      <c r="F185" s="572" t="str">
        <f>IF(F184=$F$7,$G$2,IF(ROUNDDOWN(F184,0)=$F$2,$H$2,$G$2))</f>
        <v>　レベル　1</v>
      </c>
      <c r="G185" s="574" t="s">
        <v>2559</v>
      </c>
      <c r="H185" s="575"/>
      <c r="I185" s="575"/>
      <c r="J185" s="575"/>
      <c r="K185" s="575"/>
      <c r="L185" s="575"/>
      <c r="M185" s="575"/>
      <c r="N185" s="1966" t="s">
        <v>2560</v>
      </c>
      <c r="O185" s="2511"/>
    </row>
    <row r="186" spans="2:15" ht="15.75" hidden="1" customHeight="1">
      <c r="B186">
        <v>0</v>
      </c>
      <c r="D186" s="546"/>
      <c r="E186" s="50"/>
      <c r="F186" s="577" t="str">
        <f>IF(F184=$F$7,$G$3,IF(ROUNDDOWN(F184,0)=$F$3,$H$3,$G$3))</f>
        <v>　レベル　2</v>
      </c>
      <c r="G186" s="580" t="s">
        <v>3540</v>
      </c>
      <c r="H186" s="581"/>
      <c r="I186" s="581"/>
      <c r="J186" s="581"/>
      <c r="K186" s="581"/>
      <c r="L186" s="581"/>
      <c r="M186" s="581"/>
      <c r="N186" s="2512"/>
      <c r="O186" s="2511"/>
    </row>
    <row r="187" spans="2:15" ht="15.75" hidden="1" customHeight="1">
      <c r="B187">
        <v>0</v>
      </c>
      <c r="D187" s="546"/>
      <c r="E187" s="50"/>
      <c r="F187" s="577" t="str">
        <f>IF(F184=$F$7,$G$4,IF(ROUNDDOWN(F184,0)=$F$4,$H$4,$G$4))</f>
        <v>■レベル　3</v>
      </c>
      <c r="G187" s="580" t="s">
        <v>764</v>
      </c>
      <c r="H187" s="581"/>
      <c r="I187" s="581"/>
      <c r="J187" s="581"/>
      <c r="K187" s="581"/>
      <c r="L187" s="581"/>
      <c r="M187" s="581"/>
      <c r="N187" s="2512"/>
      <c r="O187" s="2511"/>
    </row>
    <row r="188" spans="2:15" ht="15.75" hidden="1" customHeight="1">
      <c r="B188">
        <v>1</v>
      </c>
      <c r="D188" s="546"/>
      <c r="E188" s="50"/>
      <c r="F188" s="577" t="str">
        <f>IF(F184=$F$7,$G$5,IF(ROUNDDOWN(F184,0)=$F$5,$H$5,$G$5))</f>
        <v>　レベル　4</v>
      </c>
      <c r="G188" s="580" t="s">
        <v>765</v>
      </c>
      <c r="H188" s="581"/>
      <c r="I188" s="581"/>
      <c r="J188" s="581"/>
      <c r="K188" s="581"/>
      <c r="L188" s="581"/>
      <c r="M188" s="581"/>
      <c r="N188" s="2512"/>
      <c r="O188" s="2511"/>
    </row>
    <row r="189" spans="2:15" ht="15.75" hidden="1" customHeight="1">
      <c r="B189">
        <v>3</v>
      </c>
      <c r="D189" s="546"/>
      <c r="E189" s="50"/>
      <c r="F189" s="587" t="str">
        <f>IF(F184=$F$7,$G$6,IF(ROUNDDOWN(F184,0)=$F$6,$H$6,$G$6))</f>
        <v>　レベル　5</v>
      </c>
      <c r="G189" s="591" t="s">
        <v>766</v>
      </c>
      <c r="H189" s="592"/>
      <c r="I189" s="592"/>
      <c r="J189" s="592"/>
      <c r="K189" s="592"/>
      <c r="L189" s="592"/>
      <c r="M189" s="592"/>
      <c r="N189" s="2513"/>
      <c r="O189" s="2514"/>
    </row>
    <row r="190" spans="2:15" ht="15.75" hidden="1" customHeight="1">
      <c r="D190" s="546"/>
      <c r="E190" s="50"/>
      <c r="F190" s="887" t="s">
        <v>3402</v>
      </c>
      <c r="G190" s="2423"/>
      <c r="H190" s="2399"/>
      <c r="I190" s="2396"/>
      <c r="J190" s="2397"/>
      <c r="K190" s="2400" t="s">
        <v>3403</v>
      </c>
      <c r="L190" s="1281"/>
      <c r="M190"/>
      <c r="N190"/>
      <c r="O190"/>
    </row>
    <row r="191" spans="2:15" ht="15.75" hidden="1" customHeight="1">
      <c r="D191" s="546"/>
      <c r="E191" s="50"/>
      <c r="F191" s="595" t="s">
        <v>2263</v>
      </c>
      <c r="G191"/>
      <c r="H191"/>
      <c r="I191"/>
      <c r="J191"/>
      <c r="K191"/>
      <c r="L191"/>
      <c r="M191"/>
      <c r="N191"/>
      <c r="O191"/>
    </row>
    <row r="192" spans="2:15" ht="16.5" hidden="1" customHeight="1" thickBot="1">
      <c r="D192" s="546"/>
      <c r="E192" s="50"/>
      <c r="G192" s="1997">
        <f>IF(K202&lt;0,2,IF(G202&gt;=B189,5,IF(G202&gt;=B188,4,IF(G202&gt;=B187,3,IF(G202&gt;=B186,2,1)))))</f>
        <v>3</v>
      </c>
      <c r="H192" s="748" t="s">
        <v>1453</v>
      </c>
      <c r="I192" s="1902" t="s">
        <v>312</v>
      </c>
      <c r="J192" s="748"/>
      <c r="K192" s="748"/>
      <c r="L192" s="1902" t="s">
        <v>1089</v>
      </c>
      <c r="M192" s="748"/>
      <c r="N192" s="748"/>
      <c r="O192" s="751" t="s">
        <v>1353</v>
      </c>
    </row>
    <row r="193" spans="2:15" ht="15.75" hidden="1" customHeight="1">
      <c r="D193" s="546"/>
      <c r="E193" s="50"/>
      <c r="F193" s="2409" t="s">
        <v>3070</v>
      </c>
      <c r="G193" s="2468"/>
      <c r="H193" s="2515" t="s">
        <v>767</v>
      </c>
      <c r="I193" s="2499" t="s">
        <v>768</v>
      </c>
      <c r="J193" s="2500"/>
      <c r="K193" s="2501"/>
      <c r="L193" s="2499" t="s">
        <v>1354</v>
      </c>
      <c r="M193" s="2500"/>
      <c r="N193" s="2501"/>
      <c r="O193" s="759" t="s">
        <v>1355</v>
      </c>
    </row>
    <row r="194" spans="2:15" ht="15.75" hidden="1" customHeight="1">
      <c r="B194">
        <v>0</v>
      </c>
      <c r="D194" s="546"/>
      <c r="E194" s="50"/>
      <c r="F194" s="2409" t="s">
        <v>3400</v>
      </c>
      <c r="G194" s="2547"/>
      <c r="H194" s="2516"/>
      <c r="I194" s="1964" t="s">
        <v>769</v>
      </c>
      <c r="J194" s="2496"/>
      <c r="K194" s="2497"/>
      <c r="L194" s="1964" t="s">
        <v>222</v>
      </c>
      <c r="M194" s="2496"/>
      <c r="N194" s="2497"/>
      <c r="O194" s="760">
        <v>0</v>
      </c>
    </row>
    <row r="195" spans="2:15" ht="15.75" hidden="1" customHeight="1">
      <c r="B195">
        <v>1</v>
      </c>
      <c r="D195" s="546"/>
      <c r="E195" s="50"/>
      <c r="F195" s="2409" t="s">
        <v>3072</v>
      </c>
      <c r="G195" s="2548"/>
      <c r="H195" s="2517"/>
      <c r="I195" s="2492" t="s">
        <v>770</v>
      </c>
      <c r="J195" s="2493"/>
      <c r="K195" s="2494"/>
      <c r="L195" s="2492" t="s">
        <v>223</v>
      </c>
      <c r="M195" s="2493"/>
      <c r="N195" s="2494"/>
      <c r="O195" s="761">
        <v>1</v>
      </c>
    </row>
    <row r="196" spans="2:15" ht="15.75" hidden="1" customHeight="1">
      <c r="D196" s="546"/>
      <c r="E196" s="50"/>
      <c r="F196" s="2409" t="s">
        <v>3073</v>
      </c>
      <c r="G196" s="2445"/>
      <c r="H196" s="2515" t="s">
        <v>771</v>
      </c>
      <c r="I196" s="2499" t="s">
        <v>772</v>
      </c>
      <c r="J196" s="2500"/>
      <c r="K196" s="2501"/>
      <c r="L196" s="2499" t="s">
        <v>224</v>
      </c>
      <c r="M196" s="2500"/>
      <c r="N196" s="2501"/>
      <c r="O196" s="759" t="s">
        <v>1355</v>
      </c>
    </row>
    <row r="197" spans="2:15" ht="15.75" hidden="1" customHeight="1">
      <c r="B197">
        <v>0</v>
      </c>
      <c r="D197" s="546"/>
      <c r="E197" s="50"/>
      <c r="F197" s="2409" t="s">
        <v>3074</v>
      </c>
      <c r="G197" s="2547"/>
      <c r="H197" s="2516"/>
      <c r="I197" s="1964" t="s">
        <v>2561</v>
      </c>
      <c r="J197" s="2496"/>
      <c r="K197" s="2497"/>
      <c r="L197" s="1964" t="s">
        <v>2466</v>
      </c>
      <c r="M197" s="2496"/>
      <c r="N197" s="2497"/>
      <c r="O197" s="760">
        <v>0</v>
      </c>
    </row>
    <row r="198" spans="2:15" ht="15.75" hidden="1" customHeight="1">
      <c r="B198">
        <v>1</v>
      </c>
      <c r="D198" s="546"/>
      <c r="E198" s="50"/>
      <c r="F198" s="2409" t="s">
        <v>3075</v>
      </c>
      <c r="G198" s="2548"/>
      <c r="H198" s="2517"/>
      <c r="I198" s="2492" t="s">
        <v>770</v>
      </c>
      <c r="J198" s="2493"/>
      <c r="K198" s="2494"/>
      <c r="L198" s="2492" t="s">
        <v>2467</v>
      </c>
      <c r="M198" s="2493"/>
      <c r="N198" s="2494"/>
      <c r="O198" s="761">
        <v>1</v>
      </c>
    </row>
    <row r="199" spans="2:15" ht="15.75" hidden="1" customHeight="1">
      <c r="D199" s="546"/>
      <c r="E199" s="50"/>
      <c r="F199" s="2409" t="s">
        <v>3076</v>
      </c>
      <c r="G199" s="2445"/>
      <c r="H199" s="2515" t="s">
        <v>291</v>
      </c>
      <c r="I199" s="2499" t="s">
        <v>292</v>
      </c>
      <c r="J199" s="2500"/>
      <c r="K199" s="2501"/>
      <c r="L199" s="2499" t="s">
        <v>2468</v>
      </c>
      <c r="M199" s="2500"/>
      <c r="N199" s="2501"/>
      <c r="O199" s="759" t="s">
        <v>1355</v>
      </c>
    </row>
    <row r="200" spans="2:15" ht="15.75" hidden="1" customHeight="1">
      <c r="B200">
        <v>0</v>
      </c>
      <c r="D200" s="546"/>
      <c r="E200" s="50"/>
      <c r="F200" s="2409" t="s">
        <v>3077</v>
      </c>
      <c r="G200" s="2547"/>
      <c r="H200" s="2518"/>
      <c r="I200" s="1964" t="s">
        <v>293</v>
      </c>
      <c r="J200" s="2496"/>
      <c r="K200" s="2497"/>
      <c r="L200" s="1964" t="s">
        <v>2469</v>
      </c>
      <c r="M200" s="2496"/>
      <c r="N200" s="2497"/>
      <c r="O200" s="752">
        <v>0</v>
      </c>
    </row>
    <row r="201" spans="2:15" ht="16.5" hidden="1" customHeight="1" thickBot="1">
      <c r="B201">
        <v>1</v>
      </c>
      <c r="D201" s="546"/>
      <c r="E201" s="50"/>
      <c r="F201" s="2409" t="s">
        <v>3078</v>
      </c>
      <c r="G201" s="2549"/>
      <c r="H201" s="2519"/>
      <c r="I201" s="2492" t="s">
        <v>770</v>
      </c>
      <c r="J201" s="2493"/>
      <c r="K201" s="2494"/>
      <c r="L201" s="2492" t="s">
        <v>2470</v>
      </c>
      <c r="M201" s="2493"/>
      <c r="N201" s="2494"/>
      <c r="O201" s="1904">
        <v>1</v>
      </c>
    </row>
    <row r="202" spans="2:15" ht="15.75" hidden="1" customHeight="1">
      <c r="D202" s="546"/>
      <c r="E202" s="50"/>
      <c r="F202" s="2409" t="s">
        <v>386</v>
      </c>
      <c r="G202" s="2541">
        <f>SUM(G193:G201)</f>
        <v>0</v>
      </c>
      <c r="H202" s="1769" t="s">
        <v>2854</v>
      </c>
      <c r="I202" s="748"/>
      <c r="J202" s="2539" t="s">
        <v>3541</v>
      </c>
      <c r="K202" s="2540">
        <f>G193+G196+G199</f>
        <v>0</v>
      </c>
      <c r="L202" s="749"/>
      <c r="M202" s="748"/>
      <c r="N202" s="749"/>
      <c r="O202" s="692">
        <f>SUM(B193:B201)</f>
        <v>3</v>
      </c>
    </row>
    <row r="203" spans="2:15" ht="15.75">
      <c r="D203" s="546"/>
      <c r="E203" s="50"/>
      <c r="F203"/>
      <c r="G203"/>
      <c r="H203"/>
      <c r="I203"/>
      <c r="J203"/>
      <c r="K203"/>
      <c r="L203"/>
      <c r="M203"/>
      <c r="N203"/>
      <c r="O203"/>
    </row>
    <row r="204" spans="2:15" ht="15.75">
      <c r="D204" s="542">
        <v>2</v>
      </c>
      <c r="E204" s="551" t="s">
        <v>294</v>
      </c>
      <c r="F204"/>
      <c r="G204"/>
      <c r="H204"/>
      <c r="I204"/>
      <c r="J204"/>
      <c r="K204"/>
      <c r="L204"/>
      <c r="M204"/>
      <c r="N204"/>
      <c r="O204"/>
    </row>
    <row r="205" spans="2:15" ht="15.75">
      <c r="D205" s="542">
        <v>2.1</v>
      </c>
      <c r="E205" s="660" t="s">
        <v>2750</v>
      </c>
      <c r="F205"/>
      <c r="G205"/>
      <c r="H205"/>
      <c r="I205"/>
      <c r="J205"/>
      <c r="K205"/>
      <c r="L205"/>
      <c r="M205"/>
      <c r="N205"/>
      <c r="O205"/>
    </row>
    <row r="206" spans="2:15" ht="15.75">
      <c r="D206" s="546"/>
      <c r="E206" s="63"/>
      <c r="F206" s="554" t="s">
        <v>2751</v>
      </c>
      <c r="G206"/>
      <c r="H206"/>
      <c r="I206"/>
      <c r="J206" t="str">
        <f>IF(OR(F208=0,J207=0),$L$3,"")</f>
        <v/>
      </c>
      <c r="K206" s="554" t="s">
        <v>2887</v>
      </c>
      <c r="L206"/>
      <c r="M206"/>
      <c r="N206"/>
      <c r="O206" t="str">
        <f>IF(OR(K208=0,O207=0),$L$3,"")</f>
        <v/>
      </c>
    </row>
    <row r="207" spans="2:15" ht="15.75" customHeight="1" thickBot="1">
      <c r="D207" s="546"/>
      <c r="E207" s="63"/>
      <c r="F207" s="558"/>
      <c r="G207" s="559"/>
      <c r="H207" s="1530"/>
      <c r="I207" s="561" t="s">
        <v>1141</v>
      </c>
      <c r="J207" s="564">
        <f>重み!M80</f>
        <v>0.8</v>
      </c>
      <c r="K207" s="558"/>
      <c r="L207" s="559"/>
      <c r="M207" s="1530"/>
      <c r="N207" s="561" t="s">
        <v>1141</v>
      </c>
      <c r="O207" s="564">
        <f>重み!M81</f>
        <v>0.2</v>
      </c>
    </row>
    <row r="208" spans="2:15" ht="27" customHeight="1" thickBot="1">
      <c r="D208" s="546"/>
      <c r="E208" s="63"/>
      <c r="F208" s="565">
        <v>3</v>
      </c>
      <c r="G208" s="3207" t="s">
        <v>24</v>
      </c>
      <c r="H208" s="3196"/>
      <c r="I208" s="661" t="s">
        <v>390</v>
      </c>
      <c r="J208" s="571"/>
      <c r="K208" s="565">
        <v>3</v>
      </c>
      <c r="L208" s="661" t="s">
        <v>1225</v>
      </c>
      <c r="M208" s="570"/>
      <c r="N208" s="570"/>
      <c r="O208" s="666"/>
    </row>
    <row r="209" spans="2:16" ht="21" customHeight="1">
      <c r="B209" s="731" t="s">
        <v>1229</v>
      </c>
      <c r="C209" s="1" t="s">
        <v>1229</v>
      </c>
      <c r="D209" s="546"/>
      <c r="E209" s="63"/>
      <c r="F209" s="572" t="str">
        <f>IF(F208=$F$7,$G$2,IF(ROUNDDOWN(F208,0)=$F$2,$H$2,$G$2))</f>
        <v>　レベル　1</v>
      </c>
      <c r="G209" s="2499" t="s">
        <v>1818</v>
      </c>
      <c r="H209" s="1970"/>
      <c r="I209" s="2499" t="s">
        <v>25</v>
      </c>
      <c r="J209" s="1970"/>
      <c r="K209" s="1985" t="str">
        <f>IF(K208=$F$7,$G$2,IF(ROUNDDOWN(K208,0)=$F$2,$H$2,$G$2))</f>
        <v>　レベル　1</v>
      </c>
      <c r="L209" s="2499" t="s">
        <v>1818</v>
      </c>
      <c r="M209" s="1984"/>
      <c r="N209" s="1984"/>
      <c r="O209" s="2520"/>
    </row>
    <row r="210" spans="2:16" ht="30.75" customHeight="1">
      <c r="B210" s="731">
        <v>2</v>
      </c>
      <c r="C210" s="1" t="s">
        <v>1229</v>
      </c>
      <c r="D210" s="546"/>
      <c r="E210" s="63"/>
      <c r="F210" s="577" t="str">
        <f>IF(F208=$F$7,$G$3,IF(ROUNDDOWN(F208,0)=$F$3,$H$3,$G$3))</f>
        <v>　レベル　2</v>
      </c>
      <c r="G210" s="1964" t="s">
        <v>825</v>
      </c>
      <c r="H210" s="1971"/>
      <c r="I210" s="3238" t="s">
        <v>26</v>
      </c>
      <c r="J210" s="3244"/>
      <c r="K210" s="1987" t="str">
        <f>IF(K208=$F$7,$G$3,IF(ROUNDDOWN(K208,0)=$F$3,$H$3,$G$3))</f>
        <v>　レベル　2</v>
      </c>
      <c r="L210" s="1964" t="s">
        <v>1818</v>
      </c>
      <c r="M210" s="2521"/>
      <c r="N210" s="2521"/>
      <c r="O210" s="2522"/>
    </row>
    <row r="211" spans="2:16" ht="24.75" customHeight="1">
      <c r="B211" s="1">
        <v>3</v>
      </c>
      <c r="C211" s="1">
        <v>3</v>
      </c>
      <c r="D211" s="546"/>
      <c r="E211" s="63"/>
      <c r="F211" s="577" t="str">
        <f>IF(F208=$F$7,$G$4,IF(ROUNDDOWN(F208,0)=$F$4,$H$4,$G$4))</f>
        <v>■レベル　3</v>
      </c>
      <c r="G211" s="3238" t="s">
        <v>296</v>
      </c>
      <c r="H211" s="3244"/>
      <c r="I211" s="3238" t="s">
        <v>27</v>
      </c>
      <c r="J211" s="3244"/>
      <c r="K211" s="1987" t="str">
        <f>IF(K208=$F$7,$G$4,IF(ROUNDDOWN(K208,0)=$F$4,$H$4,$G$4))</f>
        <v>■レベル　3</v>
      </c>
      <c r="L211" s="1964" t="s">
        <v>2752</v>
      </c>
      <c r="M211" s="2521"/>
      <c r="N211" s="2521"/>
      <c r="O211" s="2522"/>
    </row>
    <row r="212" spans="2:16" ht="26.25" customHeight="1">
      <c r="B212" s="1">
        <v>4</v>
      </c>
      <c r="C212" s="1">
        <v>4</v>
      </c>
      <c r="D212" s="546"/>
      <c r="E212" s="63"/>
      <c r="F212" s="577" t="str">
        <f>IF(F208=$F$7,$G$5,IF(ROUNDDOWN(F208,0)=$F$5,$H$5,$G$5))</f>
        <v>　レベル　4</v>
      </c>
      <c r="G212" s="3238" t="s">
        <v>297</v>
      </c>
      <c r="H212" s="3244"/>
      <c r="I212" s="1964" t="s">
        <v>825</v>
      </c>
      <c r="J212" s="1971"/>
      <c r="K212" s="1987" t="str">
        <f>IF(K208=$F$7,$G$5,IF(ROUNDDOWN(K208,0)=$F$5,$H$5,$G$5))</f>
        <v>　レベル　4</v>
      </c>
      <c r="L212" s="3238" t="s">
        <v>2753</v>
      </c>
      <c r="M212" s="3245"/>
      <c r="N212" s="3245"/>
      <c r="O212" s="3244"/>
    </row>
    <row r="213" spans="2:16" ht="57" customHeight="1">
      <c r="B213" s="1">
        <v>5</v>
      </c>
      <c r="C213" s="1">
        <v>5</v>
      </c>
      <c r="D213" s="546"/>
      <c r="E213" s="63"/>
      <c r="F213" s="587" t="str">
        <f>IF(F208=$F$7,$G$6,IF(ROUNDDOWN(F208,0)=$F$6,$H$6,$G$6))</f>
        <v>　レベル　5</v>
      </c>
      <c r="G213" s="3241" t="s">
        <v>298</v>
      </c>
      <c r="H213" s="3243"/>
      <c r="I213" s="3241" t="s">
        <v>298</v>
      </c>
      <c r="J213" s="3243"/>
      <c r="K213" s="1989" t="str">
        <f>IF(K208=$F$7,$G$6,IF(ROUNDDOWN(K208,0)=$F$6,$H$6,$G$6))</f>
        <v>　レベル　5</v>
      </c>
      <c r="L213" s="3241" t="s">
        <v>2754</v>
      </c>
      <c r="M213" s="3242"/>
      <c r="N213" s="3242"/>
      <c r="O213" s="3243"/>
    </row>
    <row r="214" spans="2:16" ht="15.75">
      <c r="B214" s="594">
        <v>0</v>
      </c>
      <c r="C214" s="594">
        <v>0</v>
      </c>
      <c r="D214" s="546"/>
      <c r="E214" s="433"/>
      <c r="F214" s="887" t="s">
        <v>3402</v>
      </c>
      <c r="G214" s="2423"/>
      <c r="H214" s="2399"/>
      <c r="I214" s="2396"/>
      <c r="J214" s="2397"/>
      <c r="K214" s="887" t="s">
        <v>3402</v>
      </c>
      <c r="L214" s="2423"/>
      <c r="M214" s="2399"/>
      <c r="N214" s="2396"/>
      <c r="O214" s="2397"/>
      <c r="P214" s="2459"/>
    </row>
    <row r="215" spans="2:16" ht="15.75">
      <c r="B215" s="918"/>
      <c r="C215" s="918"/>
      <c r="D215" s="546"/>
      <c r="E215" s="433"/>
      <c r="F215"/>
      <c r="G215"/>
      <c r="H215"/>
      <c r="I215"/>
      <c r="J215"/>
      <c r="K215"/>
      <c r="L215"/>
      <c r="M215"/>
      <c r="N215"/>
      <c r="O215"/>
    </row>
    <row r="216" spans="2:16" ht="15.75">
      <c r="D216" s="762">
        <v>2.2000000000000002</v>
      </c>
      <c r="E216" s="553" t="s">
        <v>1841</v>
      </c>
      <c r="F216"/>
      <c r="G216"/>
      <c r="H216"/>
      <c r="I216"/>
      <c r="J216"/>
      <c r="K216"/>
      <c r="L216"/>
      <c r="M216"/>
      <c r="N216"/>
      <c r="O216"/>
    </row>
    <row r="217" spans="2:16" ht="15.75">
      <c r="D217" s="762"/>
      <c r="E217" s="553"/>
      <c r="F217" s="554" t="s">
        <v>452</v>
      </c>
      <c r="G217"/>
      <c r="H217"/>
      <c r="I217"/>
      <c r="J217" t="str">
        <f>IF(OR(F219=0,J218=0),$L$3,"")</f>
        <v/>
      </c>
      <c r="K217" s="554" t="s">
        <v>3728</v>
      </c>
      <c r="L217"/>
      <c r="M217"/>
      <c r="N217"/>
      <c r="O217" t="str">
        <f>IF(OR(K219=0,O218=0),$L$3,"")</f>
        <v/>
      </c>
    </row>
    <row r="218" spans="2:16" ht="15" customHeight="1" thickBot="1">
      <c r="D218" s="546"/>
      <c r="E218" s="63"/>
      <c r="F218" s="558"/>
      <c r="G218" s="559"/>
      <c r="H218" s="1530"/>
      <c r="I218" s="561" t="s">
        <v>1141</v>
      </c>
      <c r="J218" s="564">
        <f>重み!M83</f>
        <v>0.2</v>
      </c>
      <c r="K218" s="558"/>
      <c r="L218" s="559"/>
      <c r="M218" s="1530"/>
      <c r="N218" s="561" t="s">
        <v>1141</v>
      </c>
      <c r="O218" s="564">
        <f>重み!M84</f>
        <v>0.2</v>
      </c>
    </row>
    <row r="219" spans="2:16" ht="27" customHeight="1" thickBot="1">
      <c r="D219" s="546"/>
      <c r="E219" s="63"/>
      <c r="F219" s="565">
        <v>3</v>
      </c>
      <c r="G219" s="661" t="s">
        <v>33</v>
      </c>
      <c r="H219" s="570"/>
      <c r="I219" s="570"/>
      <c r="J219" s="571"/>
      <c r="K219" s="565">
        <v>3</v>
      </c>
      <c r="L219" s="661" t="s">
        <v>1225</v>
      </c>
      <c r="M219" s="570"/>
      <c r="N219" s="570"/>
      <c r="O219" s="571"/>
    </row>
    <row r="220" spans="2:16" ht="21" customHeight="1">
      <c r="B220" s="1" t="s">
        <v>1229</v>
      </c>
      <c r="C220" s="1">
        <v>1</v>
      </c>
      <c r="D220" s="546"/>
      <c r="E220" s="63"/>
      <c r="F220" s="572" t="str">
        <f>IF(F219=$F$7,$G$2,IF(ROUNDDOWN(F219,0)=$F$2,$H$2,$G$2))</f>
        <v>　レベル　1</v>
      </c>
      <c r="G220" s="1993" t="s">
        <v>1818</v>
      </c>
      <c r="H220" s="1984"/>
      <c r="I220" s="1984"/>
      <c r="J220" s="2520"/>
      <c r="K220" s="1985" t="str">
        <f>IF(K219=$F$7,$G$2,IF(ROUNDDOWN(K219,0)=$F$2,$H$2,$G$2))</f>
        <v>　レベル　1</v>
      </c>
      <c r="L220" s="574" t="s">
        <v>453</v>
      </c>
      <c r="M220" s="763"/>
      <c r="N220" s="763"/>
      <c r="O220" s="576"/>
    </row>
    <row r="221" spans="2:16" ht="21" customHeight="1">
      <c r="B221" s="1" t="s">
        <v>1229</v>
      </c>
      <c r="C221" s="1">
        <v>2</v>
      </c>
      <c r="D221" s="546"/>
      <c r="E221" s="63"/>
      <c r="F221" s="577" t="str">
        <f>IF(F219=$F$7,$G$3,IF(ROUNDDOWN(F219,0)=$F$3,$H$3,$G$3))</f>
        <v>　レベル　2</v>
      </c>
      <c r="G221" s="1994" t="s">
        <v>1818</v>
      </c>
      <c r="H221" s="2521"/>
      <c r="I221" s="2521"/>
      <c r="J221" s="2522"/>
      <c r="K221" s="1987" t="str">
        <f>IF(K219=$F$7,$G$3,IF(ROUNDDOWN(K219,0)=$F$3,$H$3,$G$3))</f>
        <v>　レベル　2</v>
      </c>
      <c r="L221" s="580" t="s">
        <v>454</v>
      </c>
      <c r="M221" s="690"/>
      <c r="N221" s="690"/>
      <c r="O221" s="582"/>
    </row>
    <row r="222" spans="2:16" ht="54" customHeight="1">
      <c r="B222" s="1">
        <v>3</v>
      </c>
      <c r="C222" s="1">
        <v>3</v>
      </c>
      <c r="D222" s="546"/>
      <c r="E222" s="63"/>
      <c r="F222" s="577" t="str">
        <f>IF(F219=$F$7,$G$4,IF(ROUNDDOWN(F219,0)=$F$4,$H$4,$G$4))</f>
        <v>■レベル　3</v>
      </c>
      <c r="G222" s="3238" t="s">
        <v>3591</v>
      </c>
      <c r="H222" s="3245"/>
      <c r="I222" s="3245"/>
      <c r="J222" s="3244"/>
      <c r="K222" s="1987" t="str">
        <f>IF(K219=$F$7,$G$4,IF(ROUNDDOWN(K219,0)=$F$4,$H$4,$G$4))</f>
        <v>■レベル　3</v>
      </c>
      <c r="L222" s="580" t="s">
        <v>455</v>
      </c>
      <c r="M222" s="690"/>
      <c r="N222" s="690"/>
      <c r="O222" s="582"/>
    </row>
    <row r="223" spans="2:16" ht="54" customHeight="1">
      <c r="B223" s="1">
        <v>4</v>
      </c>
      <c r="C223" s="1">
        <v>4</v>
      </c>
      <c r="D223" s="546"/>
      <c r="E223" s="63"/>
      <c r="F223" s="577" t="str">
        <f>IF(F219=$F$7,$G$5,IF(ROUNDDOWN(F219,0)=$F$5,$H$5,$G$5))</f>
        <v>　レベル　4</v>
      </c>
      <c r="G223" s="3238" t="s">
        <v>3592</v>
      </c>
      <c r="H223" s="3245"/>
      <c r="I223" s="3245"/>
      <c r="J223" s="3244"/>
      <c r="K223" s="1987" t="str">
        <f>IF(K219=$F$7,$G$5,IF(ROUNDDOWN(K219,0)=$F$5,$H$5,$G$5))</f>
        <v>　レベル　4</v>
      </c>
      <c r="L223" s="580" t="s">
        <v>2451</v>
      </c>
      <c r="M223" s="690"/>
      <c r="N223" s="690"/>
      <c r="O223" s="582"/>
    </row>
    <row r="224" spans="2:16" ht="54" customHeight="1">
      <c r="B224" s="1">
        <v>5</v>
      </c>
      <c r="C224" s="1">
        <v>5</v>
      </c>
      <c r="D224" s="546"/>
      <c r="E224" s="63"/>
      <c r="F224" s="587" t="str">
        <f>IF(F219=$F$7,$G$6,IF(ROUNDDOWN(F219,0)=$F$6,$H$6,$G$6))</f>
        <v>　レベル　5</v>
      </c>
      <c r="G224" s="3241" t="s">
        <v>3593</v>
      </c>
      <c r="H224" s="3242"/>
      <c r="I224" s="3242"/>
      <c r="J224" s="3243"/>
      <c r="K224" s="1989" t="str">
        <f>IF(K219=$F$7,$G$6,IF(ROUNDDOWN(K219,0)=$F$6,$H$6,$G$6))</f>
        <v>　レベル　5</v>
      </c>
      <c r="L224" s="591" t="s">
        <v>2452</v>
      </c>
      <c r="M224" s="685"/>
      <c r="N224" s="685"/>
      <c r="O224" s="593"/>
    </row>
    <row r="225" spans="2:16" ht="15.75">
      <c r="B225" s="594">
        <v>0</v>
      </c>
      <c r="C225" s="594">
        <v>0</v>
      </c>
      <c r="D225" s="546"/>
      <c r="E225" s="63"/>
      <c r="F225" s="887" t="s">
        <v>3402</v>
      </c>
      <c r="G225" s="2423"/>
      <c r="H225" s="2399"/>
      <c r="I225" s="2396"/>
      <c r="J225" s="2397"/>
      <c r="K225" s="887" t="s">
        <v>3402</v>
      </c>
      <c r="L225" s="2423"/>
      <c r="M225" s="2399"/>
      <c r="N225" s="2396"/>
      <c r="O225" s="2397"/>
      <c r="P225" s="2459"/>
    </row>
    <row r="226" spans="2:16" ht="15.75">
      <c r="B226" s="918"/>
      <c r="C226" s="918"/>
      <c r="D226" s="546"/>
      <c r="E226" s="63"/>
      <c r="F226" s="2711" t="s">
        <v>2210</v>
      </c>
      <c r="G226" s="3062">
        <v>30</v>
      </c>
      <c r="H226" s="2431" t="s">
        <v>3737</v>
      </c>
      <c r="J226" s="543"/>
      <c r="K226" s="2711" t="s">
        <v>3382</v>
      </c>
      <c r="L226" s="3062">
        <v>20</v>
      </c>
      <c r="M226" s="2710" t="s">
        <v>2199</v>
      </c>
      <c r="N226" s="2431" t="s">
        <v>3736</v>
      </c>
      <c r="O226" s="543"/>
      <c r="P226" s="2459"/>
    </row>
    <row r="227" spans="2:16" ht="15.75">
      <c r="B227" s="918"/>
      <c r="C227" s="918"/>
      <c r="D227" s="546"/>
      <c r="E227" s="63"/>
      <c r="F227"/>
      <c r="G227"/>
      <c r="H227"/>
      <c r="I227"/>
      <c r="J227"/>
      <c r="K227"/>
      <c r="L227"/>
      <c r="M227"/>
      <c r="N227"/>
      <c r="O227"/>
      <c r="P227" s="2400"/>
    </row>
    <row r="228" spans="2:16" ht="15.75">
      <c r="D228" s="546"/>
      <c r="E228" s="63"/>
      <c r="F228" s="554" t="s">
        <v>3729</v>
      </c>
      <c r="G228"/>
      <c r="H228"/>
      <c r="I228"/>
      <c r="J228" t="str">
        <f>IF(OR(F230=0,J229=0),$L$3,"")</f>
        <v/>
      </c>
      <c r="K228" s="554" t="s">
        <v>2453</v>
      </c>
      <c r="L228"/>
      <c r="M228"/>
      <c r="N228"/>
      <c r="O228" t="str">
        <f>IF(OR(K230=0,O229=0),$L$3,"")</f>
        <v/>
      </c>
    </row>
    <row r="229" spans="2:16" ht="15.75" customHeight="1" thickBot="1">
      <c r="D229" s="546"/>
      <c r="E229" s="433"/>
      <c r="F229" s="558"/>
      <c r="G229" s="559"/>
      <c r="H229" s="1530"/>
      <c r="I229" s="561" t="s">
        <v>1141</v>
      </c>
      <c r="J229" s="564">
        <f>重み!M85</f>
        <v>0.1</v>
      </c>
      <c r="K229" s="558"/>
      <c r="L229" s="559"/>
      <c r="M229" s="1530"/>
      <c r="N229" s="561" t="s">
        <v>1141</v>
      </c>
      <c r="O229" s="564">
        <f>重み!M86</f>
        <v>0.1</v>
      </c>
    </row>
    <row r="230" spans="2:16" ht="27" customHeight="1" thickBot="1">
      <c r="D230" s="546"/>
      <c r="E230" s="433"/>
      <c r="F230" s="565">
        <v>3</v>
      </c>
      <c r="G230" s="661" t="s">
        <v>919</v>
      </c>
      <c r="H230" s="571"/>
      <c r="I230" s="570" t="s">
        <v>964</v>
      </c>
      <c r="J230" s="571"/>
      <c r="K230" s="565">
        <v>3</v>
      </c>
      <c r="L230" s="661" t="s">
        <v>1225</v>
      </c>
      <c r="M230" s="570"/>
      <c r="N230" s="570"/>
      <c r="O230" s="571"/>
    </row>
    <row r="231" spans="2:16" ht="21" customHeight="1">
      <c r="B231" s="1">
        <v>1</v>
      </c>
      <c r="C231" s="1" t="s">
        <v>1229</v>
      </c>
      <c r="D231" s="546"/>
      <c r="E231" s="734"/>
      <c r="F231" s="572" t="str">
        <f>IF(F230=$F$7,$G$2,IF(ROUNDDOWN(F230,0)=$F$2,$H$2,$G$2))</f>
        <v>　レベル　1</v>
      </c>
      <c r="G231" s="574" t="s">
        <v>965</v>
      </c>
      <c r="H231" s="576"/>
      <c r="I231" s="574" t="s">
        <v>453</v>
      </c>
      <c r="J231" s="576"/>
      <c r="K231" s="572" t="str">
        <f>IF(K230=$F$7,$G$2,IF(ROUNDDOWN(K230,0)=$F$2,$H$2,$G$2))</f>
        <v>　レベル　1</v>
      </c>
      <c r="L231" s="574" t="s">
        <v>1818</v>
      </c>
      <c r="M231" s="763"/>
      <c r="N231" s="763"/>
      <c r="O231" s="576"/>
    </row>
    <row r="232" spans="2:16" ht="21" customHeight="1">
      <c r="B232" s="1">
        <v>2</v>
      </c>
      <c r="C232" s="1" t="s">
        <v>1229</v>
      </c>
      <c r="D232" s="546"/>
      <c r="E232" s="734"/>
      <c r="F232" s="577" t="str">
        <f>IF(F230=$F$7,$G$3,IF(ROUNDDOWN(F230,0)=$F$3,$H$3,$G$3))</f>
        <v>　レベル　2</v>
      </c>
      <c r="G232" s="580" t="s">
        <v>2454</v>
      </c>
      <c r="H232" s="582"/>
      <c r="I232" s="580" t="s">
        <v>2455</v>
      </c>
      <c r="J232" s="582"/>
      <c r="K232" s="577" t="str">
        <f>IF(K230=$F$7,$G$3,IF(ROUNDDOWN(K230,0)=$F$3,$H$3,$G$3))</f>
        <v>　レベル　2</v>
      </c>
      <c r="L232" s="580" t="s">
        <v>1818</v>
      </c>
      <c r="M232" s="690"/>
      <c r="N232" s="690"/>
      <c r="O232" s="582"/>
    </row>
    <row r="233" spans="2:16" ht="21" customHeight="1">
      <c r="B233" s="1">
        <v>3</v>
      </c>
      <c r="C233" s="1">
        <v>3</v>
      </c>
      <c r="D233" s="546"/>
      <c r="E233" s="734"/>
      <c r="F233" s="577" t="str">
        <f>IF(F230=$F$7,$G$4,IF(ROUNDDOWN(F230,0)=$F$4,$H$4,$G$4))</f>
        <v>■レベル　3</v>
      </c>
      <c r="G233" s="580" t="s">
        <v>2456</v>
      </c>
      <c r="H233" s="582"/>
      <c r="I233" s="580" t="s">
        <v>2457</v>
      </c>
      <c r="J233" s="582"/>
      <c r="K233" s="577" t="str">
        <f>IF(K230=$F$7,$G$4,IF(ROUNDDOWN(K230,0)=$F$4,$H$4,$G$4))</f>
        <v>■レベル　3</v>
      </c>
      <c r="L233" s="580" t="s">
        <v>2458</v>
      </c>
      <c r="M233" s="690"/>
      <c r="N233" s="690"/>
      <c r="O233" s="582"/>
    </row>
    <row r="234" spans="2:16" ht="61.5" customHeight="1">
      <c r="B234" s="1">
        <v>4</v>
      </c>
      <c r="C234" s="1">
        <v>4</v>
      </c>
      <c r="D234" s="546"/>
      <c r="E234" s="734"/>
      <c r="F234" s="577" t="str">
        <f>IF(F230=$F$7,$G$5,IF(ROUNDDOWN(F230,0)=$F$5,$H$5,$G$5))</f>
        <v>　レベル　4</v>
      </c>
      <c r="G234" s="580" t="s">
        <v>1261</v>
      </c>
      <c r="H234" s="582"/>
      <c r="I234" s="580" t="s">
        <v>966</v>
      </c>
      <c r="J234" s="582"/>
      <c r="K234" s="577" t="str">
        <f>IF(K230=$F$7,$G$5,IF(ROUNDDOWN(K230,0)=$F$5,$H$5,$G$5))</f>
        <v>　レベル　4</v>
      </c>
      <c r="L234" s="3238" t="s">
        <v>1262</v>
      </c>
      <c r="M234" s="3245"/>
      <c r="N234" s="3245"/>
      <c r="O234" s="3244"/>
    </row>
    <row r="235" spans="2:16" ht="61.5" customHeight="1">
      <c r="B235" s="1">
        <v>5</v>
      </c>
      <c r="C235" s="1">
        <v>5</v>
      </c>
      <c r="D235" s="546"/>
      <c r="E235" s="734"/>
      <c r="F235" s="587" t="str">
        <f>IF(F230=$F$7,$G$6,IF(ROUNDDOWN(F230,0)=$F$6,$H$6,$G$6))</f>
        <v>　レベル　5</v>
      </c>
      <c r="G235" s="591" t="s">
        <v>967</v>
      </c>
      <c r="H235" s="593"/>
      <c r="I235" s="591" t="s">
        <v>1263</v>
      </c>
      <c r="J235" s="593"/>
      <c r="K235" s="587" t="str">
        <f>IF(K230=$F$7,$G$6,IF(ROUNDDOWN(K230,0)=$F$6,$H$6,$G$6))</f>
        <v>　レベル　5</v>
      </c>
      <c r="L235" s="3241" t="s">
        <v>1264</v>
      </c>
      <c r="M235" s="3242"/>
      <c r="N235" s="3242"/>
      <c r="O235" s="3243"/>
    </row>
    <row r="236" spans="2:16" ht="15.75">
      <c r="B236" s="594">
        <v>0</v>
      </c>
      <c r="C236" s="594">
        <v>0</v>
      </c>
      <c r="D236" s="546"/>
      <c r="E236" s="546"/>
      <c r="F236" s="887" t="s">
        <v>3402</v>
      </c>
      <c r="G236" s="2423"/>
      <c r="H236" s="2399"/>
      <c r="I236" s="2396"/>
      <c r="J236" s="2397"/>
      <c r="K236" s="887" t="s">
        <v>3402</v>
      </c>
      <c r="L236" s="2423"/>
      <c r="M236" s="2399"/>
      <c r="N236" s="2396"/>
      <c r="O236" s="2397"/>
      <c r="P236" s="2459"/>
    </row>
    <row r="237" spans="2:16" ht="15.75">
      <c r="B237" s="918"/>
      <c r="C237" s="918"/>
      <c r="D237" s="546"/>
      <c r="E237" s="546"/>
      <c r="F237" s="2711" t="s">
        <v>3382</v>
      </c>
      <c r="G237" s="3062"/>
      <c r="H237" s="2710" t="s">
        <v>2199</v>
      </c>
      <c r="I237" s="2431" t="s">
        <v>3736</v>
      </c>
      <c r="J237" s="543"/>
      <c r="K237"/>
      <c r="L237" s="2431" t="s">
        <v>3736</v>
      </c>
      <c r="M237"/>
      <c r="N237" s="543"/>
      <c r="O237" s="543"/>
      <c r="P237" s="2459"/>
    </row>
    <row r="238" spans="2:16" ht="15.75">
      <c r="B238" s="918"/>
      <c r="C238" s="918"/>
      <c r="D238" s="546"/>
      <c r="E238" s="546"/>
      <c r="F238"/>
      <c r="G238"/>
      <c r="H238"/>
      <c r="I238"/>
      <c r="J238"/>
      <c r="K238"/>
      <c r="L238"/>
      <c r="M238"/>
      <c r="N238"/>
      <c r="O238"/>
      <c r="P238" s="2400"/>
    </row>
    <row r="239" spans="2:16" ht="15.75">
      <c r="D239" s="546"/>
      <c r="E239" s="546"/>
      <c r="F239" s="554" t="s">
        <v>1889</v>
      </c>
      <c r="G239"/>
      <c r="H239"/>
      <c r="I239"/>
      <c r="J239" t="str">
        <f>IF(OR(F241=0,J240=0),$L$3,"")</f>
        <v/>
      </c>
      <c r="K239" s="554" t="s">
        <v>316</v>
      </c>
      <c r="L239"/>
      <c r="M239"/>
      <c r="N239"/>
      <c r="O239" t="str">
        <f>IF(OR(K241=0,O240=0),$L$3,"")</f>
        <v/>
      </c>
    </row>
    <row r="240" spans="2:16" ht="15.75" customHeight="1" thickBot="1">
      <c r="D240" s="546"/>
      <c r="E240" s="433"/>
      <c r="F240" s="558"/>
      <c r="G240" s="559"/>
      <c r="H240" s="1530"/>
      <c r="I240" s="561" t="s">
        <v>1141</v>
      </c>
      <c r="J240" s="564">
        <f>重み!M87</f>
        <v>0.2</v>
      </c>
      <c r="K240" s="558"/>
      <c r="L240" s="559"/>
      <c r="M240" s="1530"/>
      <c r="N240" s="561" t="s">
        <v>1141</v>
      </c>
      <c r="O240" s="564">
        <f>重み!M88</f>
        <v>0.2</v>
      </c>
    </row>
    <row r="241" spans="2:16" ht="27" customHeight="1" thickBot="1">
      <c r="D241" s="546"/>
      <c r="E241" s="433"/>
      <c r="F241" s="565">
        <v>3</v>
      </c>
      <c r="G241" s="661" t="s">
        <v>3542</v>
      </c>
      <c r="H241" s="570"/>
      <c r="I241" s="570"/>
      <c r="J241" s="571"/>
      <c r="K241" s="565">
        <v>3</v>
      </c>
      <c r="L241" s="661" t="s">
        <v>1225</v>
      </c>
      <c r="M241" s="570"/>
      <c r="N241" s="570"/>
      <c r="O241" s="571"/>
    </row>
    <row r="242" spans="2:16" ht="21" customHeight="1">
      <c r="B242" s="731" t="s">
        <v>1229</v>
      </c>
      <c r="C242" s="1">
        <v>1</v>
      </c>
      <c r="D242" s="546"/>
      <c r="E242" s="734"/>
      <c r="F242" s="572" t="str">
        <f>IF(F241=$F$7,$G$2,IF(ROUNDDOWN(F241,0)=$F$2,$H$2,$G$2))</f>
        <v>　レベル　1</v>
      </c>
      <c r="G242" s="580" t="s">
        <v>1818</v>
      </c>
      <c r="H242" s="763"/>
      <c r="I242" s="763"/>
      <c r="J242" s="576"/>
      <c r="K242" s="572" t="str">
        <f>IF(K241=$F$7,$G$2,IF(ROUNDDOWN(K241,0)=$F$2,$H$2,$G$2))</f>
        <v>　レベル　1</v>
      </c>
      <c r="L242" s="574" t="s">
        <v>317</v>
      </c>
      <c r="M242" s="763"/>
      <c r="N242" s="763"/>
      <c r="O242" s="576"/>
    </row>
    <row r="243" spans="2:16" ht="21" customHeight="1">
      <c r="B243" s="1" t="s">
        <v>1229</v>
      </c>
      <c r="C243" s="1">
        <v>2</v>
      </c>
      <c r="D243" s="546"/>
      <c r="E243" s="734"/>
      <c r="F243" s="577" t="str">
        <f>IF(F241=$F$7,$G$3,IF(ROUNDDOWN(F241,0)=$F$3,$H$3,$G$3))</f>
        <v>　レベル　2</v>
      </c>
      <c r="G243" s="580" t="s">
        <v>1818</v>
      </c>
      <c r="H243" s="690"/>
      <c r="I243" s="690"/>
      <c r="J243" s="582"/>
      <c r="K243" s="577" t="str">
        <f>IF(K241=$F$7,$G$3,IF(ROUNDDOWN(K241,0)=$F$3,$H$3,$G$3))</f>
        <v>　レベル　2</v>
      </c>
      <c r="L243" s="580" t="s">
        <v>1890</v>
      </c>
      <c r="M243" s="690"/>
      <c r="N243" s="690"/>
      <c r="O243" s="582"/>
    </row>
    <row r="244" spans="2:16" ht="21" customHeight="1">
      <c r="B244" s="1">
        <v>3</v>
      </c>
      <c r="C244" s="1">
        <v>3</v>
      </c>
      <c r="D244" s="546"/>
      <c r="E244" s="734"/>
      <c r="F244" s="577" t="str">
        <f>IF(F241=$F$7,$G$4,IF(ROUNDDOWN(F241,0)=$F$4,$H$4,$G$4))</f>
        <v>■レベル　3</v>
      </c>
      <c r="G244" s="580" t="s">
        <v>1891</v>
      </c>
      <c r="H244" s="690"/>
      <c r="I244" s="690"/>
      <c r="J244" s="582"/>
      <c r="K244" s="577" t="str">
        <f>IF(K241=$F$7,$G$4,IF(ROUNDDOWN(K241,0)=$F$4,$H$4,$G$4))</f>
        <v>■レベル　3</v>
      </c>
      <c r="L244" s="580" t="s">
        <v>1892</v>
      </c>
      <c r="M244" s="690"/>
      <c r="N244" s="690"/>
      <c r="O244" s="582"/>
    </row>
    <row r="245" spans="2:16" ht="21" customHeight="1">
      <c r="B245" s="731">
        <v>4</v>
      </c>
      <c r="C245" s="1">
        <v>4</v>
      </c>
      <c r="D245" s="546"/>
      <c r="E245" s="734"/>
      <c r="F245" s="577" t="str">
        <f>IF(F241=$F$7,$G$5,IF(ROUNDDOWN(F241,0)=$F$5,$H$5,$G$5))</f>
        <v>　レベル　4</v>
      </c>
      <c r="G245" s="580" t="s">
        <v>1380</v>
      </c>
      <c r="H245" s="690"/>
      <c r="I245" s="690"/>
      <c r="J245" s="582"/>
      <c r="K245" s="577" t="str">
        <f>IF(K241=$F$7,$G$5,IF(ROUNDDOWN(K241,0)=$F$5,$H$5,$G$5))</f>
        <v>　レベル　4</v>
      </c>
      <c r="L245" s="580" t="s">
        <v>1381</v>
      </c>
      <c r="M245" s="690"/>
      <c r="N245" s="690"/>
      <c r="O245" s="582"/>
    </row>
    <row r="246" spans="2:16" ht="31.5" customHeight="1">
      <c r="B246" s="731">
        <v>5</v>
      </c>
      <c r="C246" s="1">
        <v>5</v>
      </c>
      <c r="D246" s="546"/>
      <c r="E246" s="734"/>
      <c r="F246" s="587" t="str">
        <f>IF(F241=$F$7,$G$6,IF(ROUNDDOWN(F241,0)=$F$6,$H$6,$G$6))</f>
        <v>　レベル　5</v>
      </c>
      <c r="G246" s="2492" t="s">
        <v>1303</v>
      </c>
      <c r="H246" s="2493"/>
      <c r="I246" s="2493"/>
      <c r="J246" s="2494"/>
      <c r="K246" s="1989" t="str">
        <f>IF(K241=$F$7,$G$6,IF(ROUNDDOWN(K241,0)=$F$6,$H$6,$G$6))</f>
        <v>　レベル　5</v>
      </c>
      <c r="L246" s="1992" t="s">
        <v>1304</v>
      </c>
      <c r="M246" s="685"/>
      <c r="N246" s="685"/>
      <c r="O246" s="593"/>
    </row>
    <row r="247" spans="2:16" ht="15.75">
      <c r="B247" s="594">
        <v>0</v>
      </c>
      <c r="C247" s="594">
        <v>0</v>
      </c>
      <c r="D247" s="546"/>
      <c r="E247" s="546"/>
      <c r="F247" s="887" t="s">
        <v>3402</v>
      </c>
      <c r="G247" s="2423"/>
      <c r="H247" s="2399"/>
      <c r="I247" s="2396"/>
      <c r="J247" s="2397"/>
      <c r="K247" s="887" t="s">
        <v>3402</v>
      </c>
      <c r="L247" s="2423"/>
      <c r="M247" s="2399"/>
      <c r="N247" s="2396"/>
      <c r="O247" s="2397"/>
      <c r="P247" s="2459"/>
    </row>
    <row r="248" spans="2:16" ht="15.75">
      <c r="B248" s="918"/>
      <c r="C248" s="918"/>
      <c r="D248" s="546"/>
      <c r="E248" s="546"/>
      <c r="F248" s="887"/>
      <c r="G248" s="2431" t="s">
        <v>3736</v>
      </c>
      <c r="H248" s="887"/>
      <c r="I248" s="543"/>
      <c r="J248" s="543"/>
      <c r="K248" s="2711" t="s">
        <v>3382</v>
      </c>
      <c r="L248" s="3062"/>
      <c r="M248" s="2710" t="s">
        <v>3565</v>
      </c>
      <c r="N248" s="543"/>
      <c r="O248" s="543"/>
      <c r="P248" s="2459"/>
    </row>
    <row r="249" spans="2:16" ht="15.75">
      <c r="B249" s="918"/>
      <c r="C249" s="918"/>
      <c r="D249" s="546"/>
      <c r="E249" s="546"/>
      <c r="F249"/>
      <c r="G249"/>
      <c r="H249"/>
      <c r="I249"/>
      <c r="J249"/>
      <c r="K249"/>
      <c r="L249"/>
      <c r="M249"/>
      <c r="N249"/>
      <c r="O249"/>
      <c r="P249" s="2400"/>
    </row>
    <row r="250" spans="2:16" ht="15.75">
      <c r="B250" s="713" t="s">
        <v>1306</v>
      </c>
      <c r="D250" s="542">
        <v>2.2999999999999998</v>
      </c>
      <c r="E250" s="551" t="s">
        <v>654</v>
      </c>
      <c r="F250"/>
      <c r="G250" t="s">
        <v>1305</v>
      </c>
      <c r="H250"/>
      <c r="I250"/>
      <c r="J250"/>
      <c r="K250"/>
      <c r="L250"/>
      <c r="M250"/>
      <c r="N250"/>
      <c r="O250"/>
    </row>
    <row r="251" spans="2:16" ht="15.75" hidden="1">
      <c r="B251" s="713" t="s">
        <v>1306</v>
      </c>
      <c r="D251" s="542"/>
      <c r="E251" s="551"/>
      <c r="F251" t="s">
        <v>318</v>
      </c>
      <c r="G251"/>
      <c r="H251"/>
      <c r="I251"/>
      <c r="J251" t="str">
        <f>IF(OR(F253=0,J252=0),$L$3,"")</f>
        <v>&lt;評価しない&gt;</v>
      </c>
      <c r="K251" t="s">
        <v>319</v>
      </c>
      <c r="L251"/>
      <c r="M251"/>
      <c r="N251"/>
      <c r="O251" t="str">
        <f>IF(OR(K253=0,O252=0),$L$3,"")</f>
        <v>&lt;評価しない&gt;</v>
      </c>
    </row>
    <row r="252" spans="2:16" ht="16.5" hidden="1" thickBot="1">
      <c r="D252" s="542"/>
      <c r="E252" s="551"/>
      <c r="F252" s="558" t="s">
        <v>2403</v>
      </c>
      <c r="G252" s="559"/>
      <c r="H252" s="1530"/>
      <c r="I252" s="561" t="s">
        <v>320</v>
      </c>
      <c r="J252" s="564">
        <f>重み!M90</f>
        <v>0</v>
      </c>
      <c r="K252" s="558" t="s">
        <v>2403</v>
      </c>
      <c r="L252" s="559"/>
      <c r="M252" s="1530"/>
      <c r="N252" s="561" t="s">
        <v>320</v>
      </c>
      <c r="O252" s="564">
        <f>重み!M91</f>
        <v>0</v>
      </c>
    </row>
    <row r="253" spans="2:16" ht="16.5" hidden="1" thickBot="1">
      <c r="D253" s="542"/>
      <c r="E253" s="551"/>
      <c r="F253" s="565">
        <v>3</v>
      </c>
      <c r="G253" s="1895" t="s">
        <v>33</v>
      </c>
      <c r="H253" s="623"/>
      <c r="I253" s="623"/>
      <c r="J253" s="1896"/>
      <c r="K253" s="565">
        <v>3</v>
      </c>
      <c r="L253" s="1895" t="s">
        <v>33</v>
      </c>
      <c r="M253" s="623"/>
      <c r="N253" s="623"/>
      <c r="O253" s="1896"/>
    </row>
    <row r="254" spans="2:16" ht="15.75" hidden="1">
      <c r="B254" s="1">
        <v>1</v>
      </c>
      <c r="C254" s="1">
        <v>1</v>
      </c>
      <c r="D254" s="542"/>
      <c r="E254" s="551"/>
      <c r="F254" s="572" t="str">
        <f>IF(F253=$F$7,$G$2,IF(ROUNDDOWN(F253,0)=$F$2,$H$2,$G$2))</f>
        <v>　レベル　1</v>
      </c>
      <c r="G254" s="580" t="s">
        <v>1307</v>
      </c>
      <c r="H254" s="741"/>
      <c r="I254" s="741"/>
      <c r="J254" s="576"/>
      <c r="K254" s="572" t="str">
        <f>IF(K253=$F$7,$G$2,IF(ROUNDDOWN(K253,0)=$F$2,$H$2,$G$2))</f>
        <v>　レベル　1</v>
      </c>
      <c r="L254" s="2499" t="s">
        <v>1307</v>
      </c>
      <c r="M254" s="2477"/>
      <c r="N254" s="2477"/>
      <c r="O254" s="2478"/>
    </row>
    <row r="255" spans="2:16" ht="15.75" hidden="1">
      <c r="B255" s="1">
        <v>2</v>
      </c>
      <c r="C255" s="1">
        <v>2</v>
      </c>
      <c r="D255" s="542"/>
      <c r="E255" s="551"/>
      <c r="F255" s="577" t="str">
        <f>IF(F253=$F$7,$G$3,IF(ROUNDDOWN(F253,0)=$F$3,$H$3,$G$3))</f>
        <v>　レベル　2</v>
      </c>
      <c r="G255" s="580" t="s">
        <v>1308</v>
      </c>
      <c r="H255" s="706"/>
      <c r="I255" s="706"/>
      <c r="J255" s="582"/>
      <c r="K255" s="577" t="str">
        <f>IF(K253=$F$7,$G$3,IF(ROUNDDOWN(K253,0)=$F$3,$H$3,$G$3))</f>
        <v>　レベル　2</v>
      </c>
      <c r="L255" s="1964" t="s">
        <v>1308</v>
      </c>
      <c r="M255" s="1986"/>
      <c r="N255" s="1986"/>
      <c r="O255" s="1971"/>
    </row>
    <row r="256" spans="2:16" ht="15.75" hidden="1">
      <c r="B256" s="1">
        <v>3</v>
      </c>
      <c r="C256" s="1">
        <v>3</v>
      </c>
      <c r="D256" s="542"/>
      <c r="E256" s="551"/>
      <c r="F256" s="577" t="str">
        <f>IF(F253=$F$7,$G$4,IF(ROUNDDOWN(F253,0)=$F$4,$H$4,$G$4))</f>
        <v>■レベル　3</v>
      </c>
      <c r="G256" s="580" t="s">
        <v>2562</v>
      </c>
      <c r="H256" s="706"/>
      <c r="I256" s="706"/>
      <c r="J256" s="582"/>
      <c r="K256" s="577" t="str">
        <f>IF(K253=$F$7,$G$4,IF(ROUNDDOWN(K253,0)=$F$4,$H$4,$G$4))</f>
        <v>■レベル　3</v>
      </c>
      <c r="L256" s="1964" t="s">
        <v>2563</v>
      </c>
      <c r="M256" s="1986"/>
      <c r="N256" s="1986"/>
      <c r="O256" s="1971"/>
    </row>
    <row r="257" spans="2:16" ht="15.75" hidden="1">
      <c r="B257" s="1" t="s">
        <v>321</v>
      </c>
      <c r="C257" s="1" t="s">
        <v>321</v>
      </c>
      <c r="D257" s="542"/>
      <c r="E257" s="551"/>
      <c r="F257" s="577" t="str">
        <f>IF(F253=$F$7,$G$5,IF(ROUNDDOWN(F253,0)=$F$5,$H$5,$G$5))</f>
        <v>　レベル　4</v>
      </c>
      <c r="G257" s="1964" t="s">
        <v>1818</v>
      </c>
      <c r="H257" s="1962"/>
      <c r="I257" s="1962"/>
      <c r="J257" s="1965"/>
      <c r="K257" s="577" t="str">
        <f>IF(K253=$F$7,$G$5,IF(ROUNDDOWN(K253,0)=$F$5,$H$5,$G$5))</f>
        <v>　レベル　4</v>
      </c>
      <c r="L257" s="1964" t="s">
        <v>1818</v>
      </c>
      <c r="M257" s="1986"/>
      <c r="N257" s="1986"/>
      <c r="O257" s="1971"/>
    </row>
    <row r="258" spans="2:16" ht="15.75" hidden="1">
      <c r="B258" s="1">
        <v>5</v>
      </c>
      <c r="C258" s="1">
        <v>5</v>
      </c>
      <c r="D258" s="542"/>
      <c r="E258" s="551"/>
      <c r="F258" s="587" t="str">
        <f>IF(F253=$F$7,$G$6,IF(ROUNDDOWN(F253,0)=$F$6,$H$6,$G$6))</f>
        <v>　レベル　5</v>
      </c>
      <c r="G258" s="591" t="s">
        <v>1309</v>
      </c>
      <c r="H258" s="746"/>
      <c r="I258" s="746"/>
      <c r="J258" s="593"/>
      <c r="K258" s="587" t="str">
        <f>IF(K253=$F$7,$G$6,IF(ROUNDDOWN(K253,0)=$F$6,$H$6,$G$6))</f>
        <v>　レベル　5</v>
      </c>
      <c r="L258" s="2492" t="s">
        <v>1309</v>
      </c>
      <c r="M258" s="1988"/>
      <c r="N258" s="1988"/>
      <c r="O258" s="1972"/>
    </row>
    <row r="259" spans="2:16" ht="15.75" hidden="1">
      <c r="B259" s="594">
        <v>0</v>
      </c>
      <c r="C259" s="594">
        <v>0</v>
      </c>
      <c r="D259" s="542"/>
      <c r="E259" s="551"/>
      <c r="F259" s="887" t="s">
        <v>3402</v>
      </c>
      <c r="G259" s="2423"/>
      <c r="H259" s="2399"/>
      <c r="I259" s="2396"/>
      <c r="J259" s="2397"/>
      <c r="K259" s="887" t="s">
        <v>3402</v>
      </c>
      <c r="L259" s="2423"/>
      <c r="M259" s="2399"/>
      <c r="N259" s="2396"/>
      <c r="O259" s="2397"/>
      <c r="P259" s="2400" t="s">
        <v>3403</v>
      </c>
    </row>
    <row r="260" spans="2:16" ht="15.75" hidden="1">
      <c r="B260" s="918"/>
      <c r="C260" s="918"/>
      <c r="D260" s="542"/>
      <c r="E260" s="551"/>
      <c r="F260"/>
      <c r="G260"/>
      <c r="H260"/>
      <c r="I260"/>
      <c r="J260"/>
      <c r="K260"/>
      <c r="L260"/>
      <c r="M260"/>
      <c r="N260"/>
      <c r="O260"/>
    </row>
    <row r="261" spans="2:16" ht="15.75" hidden="1">
      <c r="B261" s="713" t="s">
        <v>1306</v>
      </c>
      <c r="D261" s="542"/>
      <c r="E261" s="551"/>
      <c r="F261" t="s">
        <v>322</v>
      </c>
      <c r="G261"/>
      <c r="H261"/>
      <c r="I261"/>
      <c r="J261" t="str">
        <f>IF(OR(F263=0,J262=0),$L$3,"")</f>
        <v>&lt;評価しない&gt;</v>
      </c>
      <c r="K261"/>
      <c r="L261"/>
      <c r="M261"/>
      <c r="N261"/>
      <c r="O261"/>
    </row>
    <row r="262" spans="2:16" ht="16.5" hidden="1" thickBot="1">
      <c r="D262" s="542"/>
      <c r="E262" s="551"/>
      <c r="F262" s="558" t="s">
        <v>2403</v>
      </c>
      <c r="G262" s="559"/>
      <c r="H262" s="1530"/>
      <c r="I262" s="561" t="s">
        <v>320</v>
      </c>
      <c r="J262" s="564">
        <f>重み!M92</f>
        <v>0</v>
      </c>
      <c r="K262"/>
      <c r="L262"/>
      <c r="M262"/>
      <c r="N262"/>
      <c r="O262"/>
    </row>
    <row r="263" spans="2:16" ht="16.5" hidden="1" thickBot="1">
      <c r="D263" s="542"/>
      <c r="E263" s="551"/>
      <c r="F263" s="565">
        <v>3</v>
      </c>
      <c r="G263" s="1895" t="s">
        <v>33</v>
      </c>
      <c r="H263" s="623"/>
      <c r="I263" s="623"/>
      <c r="J263" s="1896"/>
      <c r="K263"/>
      <c r="L263"/>
      <c r="M263"/>
      <c r="N263"/>
      <c r="O263"/>
    </row>
    <row r="264" spans="2:16" ht="15.75" hidden="1">
      <c r="B264" s="1">
        <v>1</v>
      </c>
      <c r="C264" s="1">
        <v>1</v>
      </c>
      <c r="D264" s="542"/>
      <c r="E264" s="551"/>
      <c r="F264" s="572" t="str">
        <f>IF(F263=$F$7,$G$2,IF(ROUNDDOWN(F263,0)=$F$2,$H$2,$G$2))</f>
        <v>　レベル　1</v>
      </c>
      <c r="G264" s="2499" t="s">
        <v>1307</v>
      </c>
      <c r="H264" s="2477"/>
      <c r="I264" s="2477"/>
      <c r="J264" s="2478"/>
      <c r="K264"/>
      <c r="L264"/>
      <c r="M264"/>
      <c r="N264"/>
      <c r="O264"/>
    </row>
    <row r="265" spans="2:16" ht="15.75" hidden="1">
      <c r="B265" s="1">
        <v>2</v>
      </c>
      <c r="C265" s="1">
        <v>2</v>
      </c>
      <c r="D265" s="542"/>
      <c r="E265" s="551"/>
      <c r="F265" s="577" t="str">
        <f>IF(F263=$F$7,$G$3,IF(ROUNDDOWN(F263,0)=$F$3,$H$3,$G$3))</f>
        <v>　レベル　2</v>
      </c>
      <c r="G265" s="1964" t="s">
        <v>1308</v>
      </c>
      <c r="H265" s="1986"/>
      <c r="I265" s="1986"/>
      <c r="J265" s="1971"/>
      <c r="K265"/>
      <c r="L265"/>
      <c r="M265"/>
      <c r="N265"/>
      <c r="O265"/>
    </row>
    <row r="266" spans="2:16" ht="15.75" hidden="1">
      <c r="B266" s="1">
        <v>3</v>
      </c>
      <c r="C266" s="1">
        <v>3</v>
      </c>
      <c r="D266" s="542"/>
      <c r="E266" s="551"/>
      <c r="F266" s="577" t="str">
        <f>IF(F263=$F$7,$G$4,IF(ROUNDDOWN(F263,0)=$F$4,$H$4,$G$4))</f>
        <v>■レベル　3</v>
      </c>
      <c r="G266" s="1964" t="s">
        <v>2563</v>
      </c>
      <c r="H266" s="1986"/>
      <c r="I266" s="1986"/>
      <c r="J266" s="1971"/>
      <c r="K266"/>
      <c r="L266"/>
      <c r="M266"/>
      <c r="N266"/>
      <c r="O266"/>
    </row>
    <row r="267" spans="2:16" ht="15.75" hidden="1">
      <c r="B267" s="1" t="s">
        <v>321</v>
      </c>
      <c r="C267" s="1">
        <v>4</v>
      </c>
      <c r="D267" s="542"/>
      <c r="E267" s="551"/>
      <c r="F267" s="577" t="str">
        <f>IF(F263=$F$7,$G$5,IF(ROUNDDOWN(F263,0)=$F$5,$H$5,$G$5))</f>
        <v>　レベル　4</v>
      </c>
      <c r="G267" s="1964" t="s">
        <v>1818</v>
      </c>
      <c r="H267" s="1986"/>
      <c r="I267" s="1986"/>
      <c r="J267" s="1971"/>
      <c r="K267"/>
      <c r="L267"/>
      <c r="M267"/>
      <c r="N267"/>
      <c r="O267"/>
    </row>
    <row r="268" spans="2:16" ht="15.75" hidden="1">
      <c r="B268" s="1">
        <v>5</v>
      </c>
      <c r="C268" s="1">
        <v>5</v>
      </c>
      <c r="D268" s="542"/>
      <c r="E268" s="551"/>
      <c r="F268" s="587" t="str">
        <f>IF(F263=$F$7,$G$6,IF(ROUNDDOWN(F263,0)=$F$6,$H$6,$G$6))</f>
        <v>　レベル　5</v>
      </c>
      <c r="G268" s="2492" t="s">
        <v>2564</v>
      </c>
      <c r="H268" s="1988"/>
      <c r="I268" s="1988"/>
      <c r="J268" s="1972"/>
      <c r="K268"/>
      <c r="L268"/>
      <c r="M268"/>
      <c r="N268"/>
      <c r="O268"/>
    </row>
    <row r="269" spans="2:16" ht="15.75" hidden="1">
      <c r="B269" s="594">
        <v>0</v>
      </c>
      <c r="C269" s="594">
        <v>0</v>
      </c>
      <c r="D269" s="542"/>
      <c r="E269" s="551"/>
      <c r="F269" s="887" t="s">
        <v>3402</v>
      </c>
      <c r="G269" s="2423"/>
      <c r="H269" s="2399"/>
      <c r="I269" s="2396"/>
      <c r="J269" s="2397"/>
      <c r="K269" s="2400" t="s">
        <v>3403</v>
      </c>
      <c r="L269" s="1281"/>
      <c r="M269"/>
      <c r="N269"/>
      <c r="O269"/>
      <c r="P269" s="2400"/>
    </row>
    <row r="270" spans="2:16" ht="15.75">
      <c r="B270" s="918"/>
      <c r="C270" s="918"/>
      <c r="D270" s="542"/>
      <c r="E270" s="551"/>
      <c r="F270"/>
      <c r="G270"/>
      <c r="H270"/>
      <c r="I270"/>
      <c r="J270"/>
      <c r="K270"/>
      <c r="L270"/>
      <c r="M270"/>
      <c r="N270"/>
      <c r="O270"/>
    </row>
    <row r="271" spans="2:16" ht="15.75">
      <c r="D271" s="542">
        <v>2.4</v>
      </c>
      <c r="E271" s="551" t="s">
        <v>66</v>
      </c>
      <c r="F271"/>
      <c r="G271"/>
      <c r="H271"/>
      <c r="I271"/>
      <c r="J271"/>
      <c r="K271"/>
      <c r="L271"/>
      <c r="M271"/>
      <c r="N271"/>
      <c r="O271"/>
    </row>
    <row r="272" spans="2:16" ht="15.75">
      <c r="D272" s="542"/>
      <c r="E272" s="551"/>
      <c r="F272" s="554" t="s">
        <v>323</v>
      </c>
      <c r="G272"/>
      <c r="H272"/>
      <c r="I272"/>
      <c r="J272" t="str">
        <f>IF(OR(F274=0,J273=0),$L$3,"")</f>
        <v/>
      </c>
      <c r="K272"/>
      <c r="L272"/>
      <c r="M272"/>
      <c r="N272"/>
      <c r="O272"/>
    </row>
    <row r="273" spans="2:15" ht="16.5" thickBot="1">
      <c r="B273" t="s">
        <v>3544</v>
      </c>
      <c r="D273" s="546"/>
      <c r="E273" s="63"/>
      <c r="F273" s="558"/>
      <c r="G273" s="559"/>
      <c r="H273" s="1530"/>
      <c r="I273" s="561" t="s">
        <v>1141</v>
      </c>
      <c r="J273" s="562">
        <f>重み!M94</f>
        <v>0.2</v>
      </c>
      <c r="K273" s="674"/>
      <c r="L273" s="674"/>
      <c r="M273" s="674"/>
      <c r="N273" s="674"/>
      <c r="O273" s="564"/>
    </row>
    <row r="274" spans="2:15" ht="27" customHeight="1" thickBot="1">
      <c r="B274" t="s">
        <v>3432</v>
      </c>
      <c r="C274" t="s">
        <v>3432</v>
      </c>
      <c r="D274" s="546"/>
      <c r="E274" s="63"/>
      <c r="F274" s="2380">
        <f>G282</f>
        <v>3</v>
      </c>
      <c r="G274" s="2573" t="s">
        <v>3602</v>
      </c>
      <c r="H274" s="560"/>
      <c r="I274" s="2385">
        <f>IF(メイン!J66&gt;=2000,メイン!J47+メイン!J57+メイン!J61+メイン!J62+メイン!J60,0)</f>
        <v>5000</v>
      </c>
      <c r="J274" s="1608" t="s">
        <v>3603</v>
      </c>
      <c r="K274" s="2574"/>
      <c r="L274" s="2384">
        <f>IF(メイン!J66&gt;=2000,メイン!J49+メイン!J54+メイン!J56+メイン!J64,0)</f>
        <v>0</v>
      </c>
      <c r="M274" s="1608" t="s">
        <v>3600</v>
      </c>
      <c r="N274" s="2574"/>
      <c r="O274" s="2384">
        <f>IF(メイン!J66&lt;2000,メイン!J66,0)</f>
        <v>0</v>
      </c>
    </row>
    <row r="275" spans="2:15" ht="21" customHeight="1">
      <c r="B275">
        <v>0</v>
      </c>
      <c r="C275">
        <v>0</v>
      </c>
      <c r="D275" s="546"/>
      <c r="E275" s="63"/>
      <c r="F275" s="572" t="str">
        <f>IF(F274=$F$7,$G$2,IF(ROUNDDOWN(F274,0)=$F$2,$H$2,$G$2))</f>
        <v>　レベル　1</v>
      </c>
      <c r="G275" s="2499" t="s">
        <v>324</v>
      </c>
      <c r="H275" s="763"/>
      <c r="I275" s="1970"/>
      <c r="J275" s="2499" t="s">
        <v>675</v>
      </c>
      <c r="K275" s="763"/>
      <c r="L275" s="1970"/>
      <c r="M275" s="2499" t="s">
        <v>1818</v>
      </c>
      <c r="N275" s="763"/>
      <c r="O275" s="1970"/>
    </row>
    <row r="276" spans="2:15" ht="21" customHeight="1">
      <c r="B276">
        <v>1</v>
      </c>
      <c r="C276">
        <v>1</v>
      </c>
      <c r="D276" s="546"/>
      <c r="E276" s="63"/>
      <c r="F276" s="577" t="str">
        <f>IF(F274=$F$7,$G$3,IF(ROUNDDOWN(F274,0)=$F$3,$H$3,$G$3))</f>
        <v>　レベル　2</v>
      </c>
      <c r="G276" s="1964" t="s">
        <v>1818</v>
      </c>
      <c r="H276" s="690"/>
      <c r="I276" s="1971"/>
      <c r="J276" s="1964" t="s">
        <v>1818</v>
      </c>
      <c r="K276" s="690"/>
      <c r="L276" s="1971"/>
      <c r="M276" s="1964" t="s">
        <v>1818</v>
      </c>
      <c r="N276" s="690"/>
      <c r="O276" s="1971"/>
    </row>
    <row r="277" spans="2:15" ht="37.5" customHeight="1">
      <c r="B277">
        <v>1</v>
      </c>
      <c r="C277">
        <v>1</v>
      </c>
      <c r="D277" s="546"/>
      <c r="E277" s="63"/>
      <c r="F277" s="577" t="str">
        <f>IF(F274=$F$7,$G$4,IF(ROUNDDOWN(F274,0)=$F$4,$H$4,$G$4))</f>
        <v>■レベル　3</v>
      </c>
      <c r="G277" s="3238" t="s">
        <v>337</v>
      </c>
      <c r="H277" s="3239"/>
      <c r="I277" s="3240"/>
      <c r="J277" s="3238" t="s">
        <v>337</v>
      </c>
      <c r="K277" s="3245"/>
      <c r="L277" s="3244"/>
      <c r="M277" s="1964" t="s">
        <v>338</v>
      </c>
      <c r="N277" s="690"/>
      <c r="O277" s="1971"/>
    </row>
    <row r="278" spans="2:15" ht="21" customHeight="1">
      <c r="B278">
        <v>2</v>
      </c>
      <c r="C278">
        <v>2</v>
      </c>
      <c r="D278" s="546"/>
      <c r="E278" s="63"/>
      <c r="F278" s="577" t="str">
        <f>IF(F274=$F$7,$G$5,IF(ROUNDDOWN(F274,0)=$F$5,$H$5,$G$5))</f>
        <v>　レベル　4</v>
      </c>
      <c r="G278" s="1964" t="s">
        <v>339</v>
      </c>
      <c r="H278" s="690"/>
      <c r="I278" s="1971"/>
      <c r="J278" s="1964" t="s">
        <v>1818</v>
      </c>
      <c r="K278" s="690"/>
      <c r="L278" s="1971"/>
      <c r="M278" s="1964" t="s">
        <v>340</v>
      </c>
      <c r="N278" s="690"/>
      <c r="O278" s="1971"/>
    </row>
    <row r="279" spans="2:15" ht="21" customHeight="1">
      <c r="B279">
        <v>3</v>
      </c>
      <c r="C279">
        <v>2</v>
      </c>
      <c r="D279" s="546"/>
      <c r="E279" s="63"/>
      <c r="F279" s="587" t="str">
        <f>IF(F274=$F$7,$G$6,IF(ROUNDDOWN(F274,0)=$F$6,$H$6,$G$6))</f>
        <v>　レベル　5</v>
      </c>
      <c r="G279" s="2492" t="s">
        <v>341</v>
      </c>
      <c r="H279" s="2493"/>
      <c r="I279" s="1972"/>
      <c r="J279" s="2492" t="s">
        <v>342</v>
      </c>
      <c r="K279" s="2493"/>
      <c r="L279" s="1972"/>
      <c r="M279" s="2492" t="s">
        <v>343</v>
      </c>
      <c r="N279" s="2493"/>
      <c r="O279" s="1972"/>
    </row>
    <row r="280" spans="2:15">
      <c r="D280"/>
      <c r="E280"/>
      <c r="F280" s="887" t="s">
        <v>3402</v>
      </c>
      <c r="G280" s="2423"/>
      <c r="H280" s="2399"/>
      <c r="I280" s="2396"/>
      <c r="J280" s="2397"/>
      <c r="K280" s="2576" t="s">
        <v>3709</v>
      </c>
      <c r="L280" s="1281"/>
      <c r="M280"/>
      <c r="N280"/>
      <c r="O280"/>
    </row>
    <row r="281" spans="2:15">
      <c r="B281" s="918"/>
      <c r="C281" t="s">
        <v>3543</v>
      </c>
      <c r="D281"/>
      <c r="E281"/>
      <c r="F281" s="595" t="s">
        <v>2263</v>
      </c>
      <c r="G281"/>
      <c r="H281"/>
      <c r="I281"/>
      <c r="J281"/>
      <c r="K281"/>
      <c r="L281"/>
      <c r="M281"/>
      <c r="N281"/>
      <c r="O281"/>
    </row>
    <row r="282" spans="2:15" ht="15.75">
      <c r="C282" t="s">
        <v>3432</v>
      </c>
      <c r="D282" s="546"/>
      <c r="E282" s="433"/>
      <c r="G282" s="1977">
        <f>IF(O274&lt;&gt;0,O288,IF(G283=M3,3,ROUND((K288*I274+M288*L274)/(I274+L274),1)))</f>
        <v>3</v>
      </c>
      <c r="H282" s="2714" t="s">
        <v>1452</v>
      </c>
      <c r="I282" s="2715"/>
      <c r="J282" s="2716"/>
      <c r="K282" s="2716"/>
      <c r="L282" s="2716"/>
      <c r="M282" s="2716"/>
      <c r="N282" s="2716"/>
      <c r="O282" s="2717"/>
    </row>
    <row r="283" spans="2:15" ht="16.5" thickBot="1">
      <c r="C283">
        <v>0</v>
      </c>
      <c r="D283" s="546"/>
      <c r="E283" s="433"/>
      <c r="F283" s="2409" t="s">
        <v>3070</v>
      </c>
      <c r="G283" s="2551"/>
      <c r="H283" s="1456" t="s">
        <v>3549</v>
      </c>
      <c r="I283" s="1920"/>
      <c r="J283" s="1919"/>
      <c r="K283" s="1919"/>
      <c r="L283" s="1919"/>
      <c r="M283" s="1919"/>
      <c r="N283" s="1919"/>
      <c r="O283" s="2553"/>
    </row>
    <row r="284" spans="2:15" ht="35.25" customHeight="1">
      <c r="C284">
        <v>0</v>
      </c>
      <c r="D284" s="546"/>
      <c r="E284" s="433"/>
      <c r="F284" s="2409" t="s">
        <v>3400</v>
      </c>
      <c r="G284" s="2425" t="s">
        <v>2256</v>
      </c>
      <c r="H284" s="3246" t="s">
        <v>3086</v>
      </c>
      <c r="I284" s="3247"/>
      <c r="J284" s="3247"/>
      <c r="K284" s="3247"/>
      <c r="L284" s="3247"/>
      <c r="M284" s="3247"/>
      <c r="N284" s="3247"/>
      <c r="O284" s="3248"/>
    </row>
    <row r="285" spans="2:15" ht="30.75" customHeight="1">
      <c r="C285">
        <v>0</v>
      </c>
      <c r="D285" s="546"/>
      <c r="E285" s="433"/>
      <c r="F285" s="2409" t="s">
        <v>3072</v>
      </c>
      <c r="G285" s="2426"/>
      <c r="H285" s="1926" t="s">
        <v>3087</v>
      </c>
      <c r="I285" s="1926"/>
      <c r="J285" s="1926"/>
      <c r="K285" s="1926"/>
      <c r="L285" s="1926"/>
      <c r="M285" s="1926"/>
      <c r="N285" s="1926"/>
      <c r="O285" s="1927"/>
    </row>
    <row r="286" spans="2:15" ht="30.75" customHeight="1">
      <c r="C286">
        <v>1</v>
      </c>
      <c r="D286" s="546"/>
      <c r="E286" s="433"/>
      <c r="F286" s="2409" t="s">
        <v>3073</v>
      </c>
      <c r="G286" s="2426"/>
      <c r="H286" s="1926" t="s">
        <v>3088</v>
      </c>
      <c r="I286" s="1926"/>
      <c r="J286" s="1926"/>
      <c r="K286" s="1926"/>
      <c r="L286" s="1926"/>
      <c r="M286" s="1926"/>
      <c r="N286" s="1926"/>
      <c r="O286" s="1927"/>
    </row>
    <row r="287" spans="2:15" ht="35.25" customHeight="1" thickBot="1">
      <c r="C287">
        <v>2</v>
      </c>
      <c r="D287" s="546"/>
      <c r="E287" s="433"/>
      <c r="F287" s="2409" t="s">
        <v>3074</v>
      </c>
      <c r="G287" s="2552"/>
      <c r="H287" s="3249" t="s">
        <v>3089</v>
      </c>
      <c r="I287" s="3250"/>
      <c r="J287" s="3250"/>
      <c r="K287" s="3250"/>
      <c r="L287" s="3250"/>
      <c r="M287" s="3250"/>
      <c r="N287" s="3250"/>
      <c r="O287" s="3251"/>
    </row>
    <row r="288" spans="2:15" ht="15.75">
      <c r="D288" s="546"/>
      <c r="E288" s="433"/>
      <c r="F288" s="2409" t="s">
        <v>386</v>
      </c>
      <c r="G288" s="1983">
        <f>COUNTIF(G284:G287,$M$3)</f>
        <v>1</v>
      </c>
      <c r="H288" s="2567" t="s">
        <v>1801</v>
      </c>
      <c r="I288" s="2568" t="s">
        <v>3601</v>
      </c>
      <c r="J288" s="2571" t="s">
        <v>3418</v>
      </c>
      <c r="K288" s="2705">
        <f>IF(G288&gt;=B279,5,IF(G288&gt;=B278,4,IF(G288&gt;=B277,3,IF(G288&gt;=B276,2,1))))</f>
        <v>3</v>
      </c>
      <c r="L288" s="2569" t="s">
        <v>3545</v>
      </c>
      <c r="M288" s="2705">
        <f>IF(G288&gt;=C279,5,IF(G288&gt;=C278,4,IF(G288&gt;=C277,3,IF(G288&gt;=C276,2,1))))</f>
        <v>3</v>
      </c>
      <c r="N288" s="2570" t="s">
        <v>3546</v>
      </c>
      <c r="O288" s="2705">
        <f>IF(G288&gt;=C287,5,IF(G288&gt;=C286,4,IF(G288&gt;=C285,3,IF(G288&gt;=C284,2,1))))</f>
        <v>4</v>
      </c>
    </row>
    <row r="289" spans="2:15">
      <c r="D289"/>
      <c r="E289"/>
      <c r="F289"/>
      <c r="G289"/>
      <c r="H289"/>
      <c r="I289"/>
      <c r="J289"/>
      <c r="K289"/>
      <c r="L289"/>
      <c r="M289"/>
      <c r="N289"/>
      <c r="O289"/>
    </row>
    <row r="290" spans="2:15">
      <c r="D290"/>
      <c r="E290"/>
      <c r="F290" s="554" t="s">
        <v>484</v>
      </c>
      <c r="G290"/>
      <c r="H290"/>
      <c r="I290"/>
      <c r="J290" t="str">
        <f>IF(OR(F292=0,J291=0),$L$3,"")</f>
        <v/>
      </c>
      <c r="K290"/>
      <c r="L290"/>
      <c r="M290"/>
      <c r="N290"/>
      <c r="O290"/>
    </row>
    <row r="291" spans="2:15" ht="16.5" thickBot="1">
      <c r="D291" s="546"/>
      <c r="E291" s="433"/>
      <c r="F291" s="673"/>
      <c r="G291" s="559"/>
      <c r="H291" s="1530"/>
      <c r="I291" s="561" t="s">
        <v>1141</v>
      </c>
      <c r="J291" s="562">
        <f>重み!M95</f>
        <v>0.2</v>
      </c>
      <c r="K291" s="674"/>
      <c r="L291" s="674"/>
      <c r="M291" s="674"/>
      <c r="N291" s="676"/>
      <c r="O291"/>
    </row>
    <row r="292" spans="2:15" ht="27" customHeight="1" thickBot="1">
      <c r="B292" t="s">
        <v>3432</v>
      </c>
      <c r="C292" t="s">
        <v>3432</v>
      </c>
      <c r="D292" s="546"/>
      <c r="E292" s="433"/>
      <c r="F292" s="2380">
        <f>G300</f>
        <v>3</v>
      </c>
      <c r="G292" s="2573" t="s">
        <v>485</v>
      </c>
      <c r="H292" s="560"/>
      <c r="I292" s="560"/>
      <c r="J292" s="2385">
        <f>メイン!J47+メイン!J49+メイン!J57+メイン!J61+メイン!J62+メイン!J64+メイン!J60</f>
        <v>5000</v>
      </c>
      <c r="K292" s="1608" t="s">
        <v>486</v>
      </c>
      <c r="L292" s="2574"/>
      <c r="M292" s="2574"/>
      <c r="N292" s="2384">
        <f>メイン!J54+メイン!J56</f>
        <v>0</v>
      </c>
      <c r="O292"/>
    </row>
    <row r="293" spans="2:15" ht="21" customHeight="1">
      <c r="B293">
        <v>0</v>
      </c>
      <c r="C293">
        <v>0</v>
      </c>
      <c r="D293" s="546"/>
      <c r="E293" s="433"/>
      <c r="F293" s="572" t="str">
        <f>IF(F292=$F$7,$G$2,IF(ROUNDDOWN(F292,0)=$F$2,$H$2,$G$2))</f>
        <v>　レベル　1</v>
      </c>
      <c r="G293" s="2387" t="s">
        <v>324</v>
      </c>
      <c r="H293" s="1973"/>
      <c r="I293" s="1973"/>
      <c r="J293" s="2388"/>
      <c r="K293" s="1966" t="s">
        <v>324</v>
      </c>
      <c r="L293" s="1974"/>
      <c r="M293" s="1974"/>
      <c r="N293" s="2386"/>
      <c r="O293"/>
    </row>
    <row r="294" spans="2:15" ht="21" customHeight="1">
      <c r="B294">
        <v>1</v>
      </c>
      <c r="C294">
        <v>1</v>
      </c>
      <c r="D294" s="546"/>
      <c r="E294" s="433"/>
      <c r="F294" s="577" t="str">
        <f>IF(F292=$F$7,$G$3,IF(ROUNDDOWN(F292,0)=$F$3,$H$3,$G$3))</f>
        <v>　レベル　2</v>
      </c>
      <c r="G294" s="1964" t="s">
        <v>487</v>
      </c>
      <c r="H294" s="2391"/>
      <c r="I294" s="2391"/>
      <c r="J294" s="1965"/>
      <c r="K294" s="1964" t="s">
        <v>487</v>
      </c>
      <c r="L294" s="2391"/>
      <c r="M294" s="2391"/>
      <c r="N294" s="1965"/>
      <c r="O294"/>
    </row>
    <row r="295" spans="2:15" ht="21" customHeight="1">
      <c r="B295">
        <v>2</v>
      </c>
      <c r="C295">
        <v>2</v>
      </c>
      <c r="D295" s="546"/>
      <c r="E295" s="433"/>
      <c r="F295" s="577" t="str">
        <f>IF(F292=$F$7,$G$4,IF(ROUNDDOWN(F292,0)=$F$4,$H$4,$G$4))</f>
        <v>■レベル　3</v>
      </c>
      <c r="G295" s="1964" t="s">
        <v>1502</v>
      </c>
      <c r="H295" s="2391"/>
      <c r="I295" s="2391"/>
      <c r="J295" s="1965"/>
      <c r="K295" s="1964" t="s">
        <v>1502</v>
      </c>
      <c r="L295" s="2391"/>
      <c r="M295" s="2391"/>
      <c r="N295" s="1965"/>
      <c r="O295"/>
    </row>
    <row r="296" spans="2:15" ht="21" customHeight="1">
      <c r="B296">
        <v>3</v>
      </c>
      <c r="C296">
        <v>3</v>
      </c>
      <c r="D296" s="546"/>
      <c r="E296" s="433"/>
      <c r="F296" s="577" t="str">
        <f>IF(F292=$F$7,$G$5,IF(ROUNDDOWN(F292,0)=$F$5,$H$5,$G$5))</f>
        <v>　レベル　4</v>
      </c>
      <c r="G296" s="1964" t="s">
        <v>28</v>
      </c>
      <c r="H296" s="2391"/>
      <c r="I296" s="2391"/>
      <c r="J296" s="1965"/>
      <c r="K296" s="1964" t="s">
        <v>1818</v>
      </c>
      <c r="L296" s="2391"/>
      <c r="M296" s="2391"/>
      <c r="N296" s="1965"/>
      <c r="O296"/>
    </row>
    <row r="297" spans="2:15" ht="21" customHeight="1">
      <c r="B297">
        <v>4</v>
      </c>
      <c r="C297">
        <v>3</v>
      </c>
      <c r="D297" s="546"/>
      <c r="E297" s="433"/>
      <c r="F297" s="587" t="str">
        <f>IF(F292=$F$7,$G$6,IF(ROUNDDOWN(F292,0)=$F$6,$H$6,$G$6))</f>
        <v>　レベル　5</v>
      </c>
      <c r="G297" s="2389" t="s">
        <v>29</v>
      </c>
      <c r="H297" s="1975"/>
      <c r="I297" s="1975"/>
      <c r="J297" s="2390"/>
      <c r="K297" s="2389" t="s">
        <v>30</v>
      </c>
      <c r="L297" s="1975"/>
      <c r="M297" s="1975"/>
      <c r="N297" s="1976"/>
      <c r="O297"/>
    </row>
    <row r="298" spans="2:15" ht="16.5" customHeight="1">
      <c r="D298"/>
      <c r="E298"/>
      <c r="F298" s="887" t="s">
        <v>3402</v>
      </c>
      <c r="G298" s="2423"/>
      <c r="H298" s="2399"/>
      <c r="I298" s="2396"/>
      <c r="J298" s="2397"/>
      <c r="K298" s="2400"/>
      <c r="L298" s="1281"/>
      <c r="M298"/>
      <c r="N298"/>
      <c r="O298"/>
    </row>
    <row r="299" spans="2:15">
      <c r="D299"/>
      <c r="E299"/>
      <c r="F299" s="595" t="s">
        <v>2263</v>
      </c>
      <c r="G299"/>
      <c r="H299"/>
      <c r="I299"/>
      <c r="J299"/>
      <c r="K299"/>
      <c r="L299"/>
      <c r="M299"/>
      <c r="N299"/>
      <c r="O299"/>
    </row>
    <row r="300" spans="2:15" ht="16.5" thickBot="1">
      <c r="D300" s="546"/>
      <c r="E300" s="433"/>
      <c r="G300" s="1977">
        <f>IF(J292+N292=0,0,ROUND((K308*J292+O308*N292)/(J292+N292),1))</f>
        <v>3</v>
      </c>
      <c r="H300" s="2718" t="s">
        <v>3017</v>
      </c>
      <c r="I300" s="2719"/>
      <c r="J300" s="2720"/>
      <c r="K300" s="2719"/>
      <c r="L300" s="2719"/>
      <c r="M300" s="2719"/>
      <c r="N300" s="2719"/>
      <c r="O300" s="2721"/>
    </row>
    <row r="301" spans="2:15" ht="45" customHeight="1">
      <c r="D301" s="546"/>
      <c r="E301" s="433"/>
      <c r="F301" s="2409" t="s">
        <v>3070</v>
      </c>
      <c r="G301" s="2381" t="s">
        <v>2256</v>
      </c>
      <c r="H301" s="3252" t="s">
        <v>3079</v>
      </c>
      <c r="I301" s="3253"/>
      <c r="J301" s="3253"/>
      <c r="K301" s="3253"/>
      <c r="L301" s="3253"/>
      <c r="M301" s="3253"/>
      <c r="N301" s="3253"/>
      <c r="O301" s="3254"/>
    </row>
    <row r="302" spans="2:15" ht="15.75" customHeight="1">
      <c r="D302" s="546"/>
      <c r="E302" s="433"/>
      <c r="F302" s="2409" t="s">
        <v>3400</v>
      </c>
      <c r="G302" s="2382"/>
      <c r="H302" s="1968" t="s">
        <v>3080</v>
      </c>
      <c r="I302" s="1962"/>
      <c r="J302" s="1962"/>
      <c r="K302" s="1962"/>
      <c r="L302" s="1962"/>
      <c r="M302" s="1962"/>
      <c r="N302" s="1962"/>
      <c r="O302" s="1965"/>
    </row>
    <row r="303" spans="2:15" ht="31.5" customHeight="1">
      <c r="D303" s="546"/>
      <c r="E303" s="433"/>
      <c r="F303" s="2409" t="s">
        <v>3072</v>
      </c>
      <c r="G303" s="2382"/>
      <c r="H303" s="1968" t="s">
        <v>3081</v>
      </c>
      <c r="I303" s="1962"/>
      <c r="J303" s="1962"/>
      <c r="K303" s="1962"/>
      <c r="L303" s="1962"/>
      <c r="M303" s="1962"/>
      <c r="N303" s="1962"/>
      <c r="O303" s="1965"/>
    </row>
    <row r="304" spans="2:15" ht="15.75" customHeight="1">
      <c r="D304" s="546"/>
      <c r="E304" s="433"/>
      <c r="F304" s="2409" t="s">
        <v>3073</v>
      </c>
      <c r="G304" s="2382"/>
      <c r="H304" s="1968" t="s">
        <v>3082</v>
      </c>
      <c r="I304" s="1962"/>
      <c r="J304" s="1962"/>
      <c r="K304" s="1962"/>
      <c r="L304" s="1962"/>
      <c r="M304" s="1962"/>
      <c r="N304" s="1962"/>
      <c r="O304" s="1965"/>
    </row>
    <row r="305" spans="2:15" ht="15.75" customHeight="1">
      <c r="D305" s="546"/>
      <c r="E305" s="433"/>
      <c r="F305" s="2409" t="s">
        <v>3074</v>
      </c>
      <c r="G305" s="2382"/>
      <c r="H305" s="1968" t="s">
        <v>3083</v>
      </c>
      <c r="I305" s="1962"/>
      <c r="J305" s="1962"/>
      <c r="K305" s="1962"/>
      <c r="L305" s="1962"/>
      <c r="M305" s="1962"/>
      <c r="N305" s="1962"/>
      <c r="O305" s="1965"/>
    </row>
    <row r="306" spans="2:15" ht="15.75">
      <c r="D306" s="546"/>
      <c r="E306" s="433"/>
      <c r="F306" s="2409" t="s">
        <v>3075</v>
      </c>
      <c r="G306" s="2382" t="s">
        <v>2256</v>
      </c>
      <c r="H306" s="1968" t="s">
        <v>3084</v>
      </c>
      <c r="I306" s="1962"/>
      <c r="J306" s="1962"/>
      <c r="K306" s="1962"/>
      <c r="L306" s="1962"/>
      <c r="M306" s="1962"/>
      <c r="N306" s="1962"/>
      <c r="O306" s="1965"/>
    </row>
    <row r="307" spans="2:15" ht="20.25" customHeight="1" thickBot="1">
      <c r="D307" s="546"/>
      <c r="E307" s="433"/>
      <c r="F307" s="2409" t="s">
        <v>3076</v>
      </c>
      <c r="G307" s="2383"/>
      <c r="H307" s="1969" t="s">
        <v>3085</v>
      </c>
      <c r="I307" s="1963"/>
      <c r="J307" s="1963"/>
      <c r="K307" s="1963"/>
      <c r="L307" s="1963"/>
      <c r="M307" s="1963"/>
      <c r="N307" s="1963"/>
      <c r="O307" s="1967"/>
    </row>
    <row r="308" spans="2:15" ht="15.75">
      <c r="D308" s="546"/>
      <c r="E308" s="433"/>
      <c r="F308" s="2409" t="s">
        <v>3416</v>
      </c>
      <c r="G308" s="2706"/>
      <c r="H308" s="2707" t="s">
        <v>3419</v>
      </c>
      <c r="I308" s="2708">
        <f>COUNTIF(G301:G307,$M$3)</f>
        <v>2</v>
      </c>
      <c r="J308" s="1533" t="s">
        <v>3417</v>
      </c>
      <c r="K308" s="2572">
        <f>IF(I308&gt;=B297,5,IF(I308&gt;=B296,4,IF(I308&gt;=B295,3,IF(I308&gt;=B294,2,1))))</f>
        <v>3</v>
      </c>
      <c r="L308" s="2709" t="s">
        <v>3420</v>
      </c>
      <c r="M308" s="2708">
        <f>I308-COUNTIF(G306,$M$3)</f>
        <v>1</v>
      </c>
      <c r="N308" s="1533" t="s">
        <v>3417</v>
      </c>
      <c r="O308" s="2572">
        <f>IF(M308&gt;=C297,5,IF(M308&gt;=C296,4,IF(M308&gt;=C295,3,IF(M308&gt;=C294,2,1))))</f>
        <v>2</v>
      </c>
    </row>
    <row r="309" spans="2:15">
      <c r="D309"/>
      <c r="E309"/>
      <c r="F309"/>
      <c r="G309"/>
      <c r="H309"/>
      <c r="I309"/>
      <c r="J309"/>
      <c r="K309"/>
      <c r="L309"/>
      <c r="M309"/>
      <c r="N309"/>
      <c r="O309"/>
    </row>
    <row r="310" spans="2:15">
      <c r="D310"/>
      <c r="E310"/>
      <c r="F310" s="554" t="s">
        <v>1503</v>
      </c>
      <c r="G310"/>
      <c r="H310"/>
      <c r="I310"/>
      <c r="J310" t="str">
        <f>IF(OR(F312=0,J311=0),$L$3,"")</f>
        <v/>
      </c>
      <c r="K310"/>
      <c r="L310"/>
      <c r="M310"/>
      <c r="N310"/>
      <c r="O310"/>
    </row>
    <row r="311" spans="2:15" ht="16.5" thickBot="1">
      <c r="D311" s="546"/>
      <c r="E311" s="433"/>
      <c r="F311" s="673"/>
      <c r="G311" s="559"/>
      <c r="H311" s="1530"/>
      <c r="I311" s="561" t="s">
        <v>1141</v>
      </c>
      <c r="J311" s="562">
        <f>重み!M96</f>
        <v>0.2</v>
      </c>
      <c r="K311" s="674"/>
      <c r="L311" s="674"/>
      <c r="M311" s="674"/>
      <c r="N311" s="676"/>
      <c r="O311"/>
    </row>
    <row r="312" spans="2:15" ht="27" customHeight="1" thickBot="1">
      <c r="B312" t="s">
        <v>3432</v>
      </c>
      <c r="C312" t="s">
        <v>3432</v>
      </c>
      <c r="D312" s="546"/>
      <c r="E312" s="433"/>
      <c r="F312" s="2380">
        <f>G320</f>
        <v>3</v>
      </c>
      <c r="G312" s="569" t="s">
        <v>78</v>
      </c>
      <c r="H312" s="569"/>
      <c r="I312" s="570"/>
      <c r="J312" s="2385">
        <f>IF(メイン!J66&gt;=2000,メイン!J66,0)</f>
        <v>5000</v>
      </c>
      <c r="K312" s="1608" t="s">
        <v>34</v>
      </c>
      <c r="L312" s="570"/>
      <c r="M312" s="570"/>
      <c r="N312" s="2384">
        <f>IF(メイン!J66&lt;2000,メイン!J66,0)</f>
        <v>0</v>
      </c>
      <c r="O312"/>
    </row>
    <row r="313" spans="2:15" ht="21" customHeight="1">
      <c r="B313">
        <v>0</v>
      </c>
      <c r="C313">
        <v>0</v>
      </c>
      <c r="D313" s="546"/>
      <c r="E313" s="671"/>
      <c r="F313" s="572" t="str">
        <f>IF(F312=$F$7,$G$2,IF(ROUNDDOWN(F312,0)=$F$2,$H$2,$G$2))</f>
        <v>　レベル　1</v>
      </c>
      <c r="G313" s="2499" t="s">
        <v>324</v>
      </c>
      <c r="H313" s="2523"/>
      <c r="I313" s="2523"/>
      <c r="J313" s="2388"/>
      <c r="K313" s="2499" t="s">
        <v>295</v>
      </c>
      <c r="L313" s="2523"/>
      <c r="M313" s="2523"/>
      <c r="N313" s="2524"/>
      <c r="O313"/>
    </row>
    <row r="314" spans="2:15" ht="21" customHeight="1">
      <c r="B314">
        <v>1</v>
      </c>
      <c r="C314">
        <v>0</v>
      </c>
      <c r="D314" s="546"/>
      <c r="E314" s="671"/>
      <c r="F314" s="577" t="str">
        <f>IF(F312=$F$7,$G$3,IF(ROUNDDOWN(F312,0)=$F$3,$H$3,$G$3))</f>
        <v>　レベル　2</v>
      </c>
      <c r="G314" s="1964" t="s">
        <v>1818</v>
      </c>
      <c r="H314" s="1962"/>
      <c r="I314" s="1968"/>
      <c r="J314" s="1965"/>
      <c r="K314" s="1964" t="s">
        <v>1818</v>
      </c>
      <c r="L314" s="1968"/>
      <c r="M314" s="1968"/>
      <c r="N314" s="1965"/>
      <c r="O314"/>
    </row>
    <row r="315" spans="2:15" ht="21" customHeight="1">
      <c r="B315">
        <v>1</v>
      </c>
      <c r="C315">
        <v>0</v>
      </c>
      <c r="D315" s="546"/>
      <c r="E315" s="671"/>
      <c r="F315" s="577" t="str">
        <f>IF(F312=$F$7,$G$4,IF(ROUNDDOWN(F312,0)=$F$4,$H$4,$G$4))</f>
        <v>■レベル　3</v>
      </c>
      <c r="G315" s="1964" t="s">
        <v>35</v>
      </c>
      <c r="H315" s="1962"/>
      <c r="I315" s="1968"/>
      <c r="J315" s="1965"/>
      <c r="K315" s="1964" t="s">
        <v>39</v>
      </c>
      <c r="L315" s="1968"/>
      <c r="M315" s="1968"/>
      <c r="N315" s="1965"/>
      <c r="O315"/>
    </row>
    <row r="316" spans="2:15" ht="21" customHeight="1">
      <c r="B316">
        <v>3</v>
      </c>
      <c r="C316">
        <v>1</v>
      </c>
      <c r="D316" s="546"/>
      <c r="E316" s="671"/>
      <c r="F316" s="577" t="str">
        <f>IF(F312=$F$7,$G$5,IF(ROUNDDOWN(F312,0)=$F$5,$H$5,$G$5))</f>
        <v>　レベル　4</v>
      </c>
      <c r="G316" s="1964" t="s">
        <v>28</v>
      </c>
      <c r="H316" s="1962"/>
      <c r="I316" s="1968"/>
      <c r="J316" s="1965"/>
      <c r="K316" s="1964" t="s">
        <v>40</v>
      </c>
      <c r="L316" s="1968"/>
      <c r="M316" s="1968"/>
      <c r="N316" s="1965"/>
      <c r="O316"/>
    </row>
    <row r="317" spans="2:15" ht="21" customHeight="1">
      <c r="B317">
        <v>4</v>
      </c>
      <c r="C317">
        <v>2</v>
      </c>
      <c r="D317" s="546"/>
      <c r="E317" s="671"/>
      <c r="F317" s="587" t="str">
        <f>IF(F312=$F$7,$G$6,IF(ROUNDDOWN(F312,0)=$F$6,$H$6,$G$6))</f>
        <v>　レベル　5</v>
      </c>
      <c r="G317" s="2492" t="s">
        <v>29</v>
      </c>
      <c r="H317" s="2525"/>
      <c r="I317" s="2526"/>
      <c r="J317" s="2390"/>
      <c r="K317" s="2492" t="s">
        <v>41</v>
      </c>
      <c r="L317" s="2526"/>
      <c r="M317" s="2526"/>
      <c r="N317" s="1976"/>
      <c r="O317"/>
    </row>
    <row r="318" spans="2:15">
      <c r="D318"/>
      <c r="E318"/>
      <c r="F318" s="887" t="s">
        <v>3402</v>
      </c>
      <c r="G318" s="2423"/>
      <c r="H318" s="2399"/>
      <c r="I318" s="2396"/>
      <c r="J318" s="2397"/>
      <c r="K318" s="2400"/>
      <c r="L318" s="1281"/>
      <c r="M318"/>
      <c r="N318"/>
      <c r="O318"/>
    </row>
    <row r="319" spans="2:15">
      <c r="D319"/>
      <c r="E319"/>
      <c r="F319" s="595" t="s">
        <v>2263</v>
      </c>
      <c r="G319"/>
      <c r="H319"/>
      <c r="I319"/>
      <c r="J319"/>
      <c r="K319"/>
      <c r="L319"/>
      <c r="M319"/>
      <c r="N319"/>
      <c r="O319"/>
    </row>
    <row r="320" spans="2:15" ht="16.5" thickBot="1">
      <c r="D320" s="546"/>
      <c r="E320" s="433"/>
      <c r="G320" s="1977">
        <f>IF(N312&lt;&gt;0,O327,K327)</f>
        <v>3</v>
      </c>
      <c r="H320" s="438" t="s">
        <v>3017</v>
      </c>
      <c r="I320" s="2722"/>
      <c r="J320" s="2722"/>
      <c r="K320" s="2722"/>
      <c r="L320" s="2722"/>
      <c r="M320" s="2722"/>
      <c r="N320" s="2722"/>
      <c r="O320" s="765"/>
    </row>
    <row r="321" spans="2:15" ht="15.75" customHeight="1">
      <c r="D321" s="546"/>
      <c r="E321" s="433"/>
      <c r="F321" s="2409" t="s">
        <v>3070</v>
      </c>
      <c r="G321" s="2425"/>
      <c r="H321" s="2527" t="s">
        <v>32</v>
      </c>
      <c r="I321" s="2528"/>
      <c r="J321" s="2528"/>
      <c r="K321" s="2528"/>
      <c r="L321" s="2528"/>
      <c r="M321" s="2528"/>
      <c r="N321" s="2528"/>
      <c r="O321" s="2524"/>
    </row>
    <row r="322" spans="2:15" ht="15.75" customHeight="1">
      <c r="D322" s="546"/>
      <c r="E322" s="433"/>
      <c r="F322" s="2409" t="s">
        <v>3400</v>
      </c>
      <c r="G322" s="2426"/>
      <c r="H322" s="2490" t="s">
        <v>488</v>
      </c>
      <c r="I322" s="1962"/>
      <c r="J322" s="1962"/>
      <c r="K322" s="1962"/>
      <c r="L322" s="1962"/>
      <c r="M322" s="1962"/>
      <c r="N322" s="1962"/>
      <c r="O322" s="1965"/>
    </row>
    <row r="323" spans="2:15" ht="15.75">
      <c r="D323" s="546"/>
      <c r="E323" s="433"/>
      <c r="F323" s="2409" t="s">
        <v>3072</v>
      </c>
      <c r="G323" s="2426" t="s">
        <v>2256</v>
      </c>
      <c r="H323" s="2490" t="s">
        <v>36</v>
      </c>
      <c r="I323" s="1962"/>
      <c r="J323" s="1962"/>
      <c r="K323" s="1962"/>
      <c r="L323" s="1962"/>
      <c r="M323" s="1962"/>
      <c r="N323" s="1962"/>
      <c r="O323" s="1965"/>
    </row>
    <row r="324" spans="2:15" ht="72.75" customHeight="1">
      <c r="D324" s="546"/>
      <c r="E324" s="433"/>
      <c r="F324" s="2409" t="s">
        <v>3073</v>
      </c>
      <c r="G324" s="2427"/>
      <c r="H324" s="3256" t="s">
        <v>3550</v>
      </c>
      <c r="I324" s="3239"/>
      <c r="J324" s="3239"/>
      <c r="K324" s="3239"/>
      <c r="L324" s="3239"/>
      <c r="M324" s="3239"/>
      <c r="N324" s="3239"/>
      <c r="O324" s="3240"/>
    </row>
    <row r="325" spans="2:15" ht="15.75">
      <c r="B325" s="918"/>
      <c r="C325" s="918"/>
      <c r="D325" s="546"/>
      <c r="E325" s="433"/>
      <c r="F325" s="2409" t="s">
        <v>3074</v>
      </c>
      <c r="G325" s="2427" t="s">
        <v>2256</v>
      </c>
      <c r="H325" s="2490" t="s">
        <v>37</v>
      </c>
      <c r="I325" s="1962"/>
      <c r="J325" s="1962"/>
      <c r="K325" s="1962"/>
      <c r="L325" s="1962"/>
      <c r="M325" s="1962"/>
      <c r="N325" s="1962"/>
      <c r="O325" s="1965"/>
    </row>
    <row r="326" spans="2:15" ht="16.5" customHeight="1" thickBot="1">
      <c r="D326" s="546"/>
      <c r="E326" s="433"/>
      <c r="F326" s="2409" t="s">
        <v>3075</v>
      </c>
      <c r="G326" s="2465"/>
      <c r="H326" s="2491" t="s">
        <v>38</v>
      </c>
      <c r="I326" s="1988"/>
      <c r="J326" s="1988"/>
      <c r="K326" s="1988"/>
      <c r="L326" s="1988"/>
      <c r="M326" s="1988"/>
      <c r="N326" s="1988"/>
      <c r="O326" s="1972"/>
    </row>
    <row r="327" spans="2:15" ht="15.75">
      <c r="D327" s="546"/>
      <c r="E327" s="433"/>
      <c r="F327" s="2409" t="s">
        <v>386</v>
      </c>
      <c r="G327" s="2543"/>
      <c r="H327" s="2543" t="s">
        <v>3547</v>
      </c>
      <c r="I327" s="1959">
        <f>COUNTIF(G321:G326,$M$3)</f>
        <v>2</v>
      </c>
      <c r="J327" s="1958" t="s">
        <v>3551</v>
      </c>
      <c r="K327" s="2705">
        <f>IF(I327&gt;=B317,5,IF(I327&gt;=B316,4,IF(I327&gt;=B315,3,IF(I327&gt;=B314,2,1))))</f>
        <v>3</v>
      </c>
      <c r="L327" s="2542" t="s">
        <v>3546</v>
      </c>
      <c r="M327" s="1959">
        <f>COUNTIF(G325:G326,$M$3)+COUNTIF(G321:G323,$M$3)</f>
        <v>2</v>
      </c>
      <c r="N327" s="1958" t="s">
        <v>3551</v>
      </c>
      <c r="O327" s="2705">
        <f>IF(M327&gt;=C317,5,IF(M327&gt;=C316,4,IF(M327&gt;=C315,3,IF(M327&gt;=C314,2,1))))</f>
        <v>5</v>
      </c>
    </row>
    <row r="328" spans="2:15">
      <c r="D328"/>
      <c r="E328"/>
      <c r="G328"/>
      <c r="H328"/>
      <c r="I328"/>
      <c r="J328"/>
      <c r="K328"/>
      <c r="L328"/>
      <c r="M328"/>
      <c r="N328"/>
      <c r="O328"/>
    </row>
    <row r="329" spans="2:15">
      <c r="D329"/>
      <c r="E329"/>
      <c r="F329" s="554" t="s">
        <v>489</v>
      </c>
      <c r="G329"/>
      <c r="H329"/>
      <c r="I329"/>
      <c r="J329" t="str">
        <f>IF(OR(F331=0,J330=0),$L$3,"")</f>
        <v/>
      </c>
      <c r="K329"/>
      <c r="L329"/>
      <c r="M329"/>
      <c r="N329"/>
      <c r="O329"/>
    </row>
    <row r="330" spans="2:15" ht="16.5" thickBot="1">
      <c r="D330" s="546"/>
      <c r="E330" s="433"/>
      <c r="F330" s="673"/>
      <c r="G330" s="559"/>
      <c r="H330" s="1530"/>
      <c r="I330" s="561" t="s">
        <v>1141</v>
      </c>
      <c r="J330" s="562">
        <f>重み!M97</f>
        <v>0.2</v>
      </c>
      <c r="K330" s="674"/>
      <c r="L330" s="674"/>
      <c r="M330" s="674"/>
      <c r="N330" s="674"/>
      <c r="O330" s="1896"/>
    </row>
    <row r="331" spans="2:15" ht="27" customHeight="1" thickBot="1">
      <c r="D331" s="546"/>
      <c r="E331" s="433"/>
      <c r="F331" s="565">
        <v>3</v>
      </c>
      <c r="G331" s="569" t="s">
        <v>685</v>
      </c>
      <c r="H331" s="570"/>
      <c r="I331" s="570"/>
      <c r="J331" s="570"/>
      <c r="K331" s="570"/>
      <c r="L331" s="570"/>
      <c r="M331" s="570"/>
      <c r="N331" s="570"/>
      <c r="O331" s="571"/>
    </row>
    <row r="332" spans="2:15" ht="21" customHeight="1">
      <c r="B332" s="1">
        <v>1</v>
      </c>
      <c r="D332" s="546"/>
      <c r="E332" s="433"/>
      <c r="F332" s="572" t="str">
        <f>IF(F331=$F$7,$G$2,IF(ROUNDDOWN(F331,0)=$F$2,$H$2,$G$2))</f>
        <v>　レベル　1</v>
      </c>
      <c r="G332" s="574" t="s">
        <v>335</v>
      </c>
      <c r="H332" s="575"/>
      <c r="I332" s="575"/>
      <c r="J332" s="575"/>
      <c r="K332" s="575"/>
      <c r="L332" s="772"/>
      <c r="M332" s="575"/>
      <c r="N332" s="575"/>
      <c r="O332" s="576"/>
    </row>
    <row r="333" spans="2:15" ht="21" customHeight="1">
      <c r="B333" s="1" t="s">
        <v>1229</v>
      </c>
      <c r="D333" s="546"/>
      <c r="E333" s="433"/>
      <c r="F333" s="577" t="str">
        <f>IF(F331=$F$7,$G$3,IF(ROUNDDOWN(F331,0)=$F$3,$H$3,$G$3))</f>
        <v>　レベル　2</v>
      </c>
      <c r="G333" s="580" t="s">
        <v>1818</v>
      </c>
      <c r="H333" s="581"/>
      <c r="I333" s="581"/>
      <c r="J333" s="581"/>
      <c r="K333" s="581"/>
      <c r="L333" s="773"/>
      <c r="M333" s="581"/>
      <c r="N333" s="581"/>
      <c r="O333" s="582"/>
    </row>
    <row r="334" spans="2:15" ht="27" customHeight="1">
      <c r="B334" s="1">
        <v>3</v>
      </c>
      <c r="D334" s="546"/>
      <c r="E334" s="433"/>
      <c r="F334" s="577" t="str">
        <f>IF(F331=$F$7,$G$4,IF(ROUNDDOWN(F331,0)=$F$4,$H$4,$G$4))</f>
        <v>■レベル　3</v>
      </c>
      <c r="G334" s="3238" t="s">
        <v>347</v>
      </c>
      <c r="H334" s="3245"/>
      <c r="I334" s="3245"/>
      <c r="J334" s="3245"/>
      <c r="K334" s="3245"/>
      <c r="L334" s="3245"/>
      <c r="M334" s="3245"/>
      <c r="N334" s="3245"/>
      <c r="O334" s="3244"/>
    </row>
    <row r="335" spans="2:15" ht="27" customHeight="1">
      <c r="B335" s="1">
        <v>4</v>
      </c>
      <c r="D335" s="546"/>
      <c r="E335" s="433"/>
      <c r="F335" s="577" t="str">
        <f>IF(F331=$F$7,$G$5,IF(ROUNDDOWN(F331,0)=$F$5,$H$5,$G$5))</f>
        <v>　レベル　4</v>
      </c>
      <c r="G335" s="3238" t="s">
        <v>42</v>
      </c>
      <c r="H335" s="3245"/>
      <c r="I335" s="3245"/>
      <c r="J335" s="3245"/>
      <c r="K335" s="3245"/>
      <c r="L335" s="3245"/>
      <c r="M335" s="3245"/>
      <c r="N335" s="3245"/>
      <c r="O335" s="3244"/>
    </row>
    <row r="336" spans="2:15" ht="27" customHeight="1">
      <c r="B336" s="1">
        <v>5</v>
      </c>
      <c r="D336" s="546"/>
      <c r="E336" s="433"/>
      <c r="F336" s="587" t="str">
        <f>IF(F331=$F$7,$G$6,IF(ROUNDDOWN(F331,0)=$F$6,$H$6,$G$6))</f>
        <v>　レベル　5</v>
      </c>
      <c r="G336" s="3241" t="s">
        <v>2888</v>
      </c>
      <c r="H336" s="3242"/>
      <c r="I336" s="3242"/>
      <c r="J336" s="3242"/>
      <c r="K336" s="3242"/>
      <c r="L336" s="3242"/>
      <c r="M336" s="3242"/>
      <c r="N336" s="3242"/>
      <c r="O336" s="3243"/>
    </row>
    <row r="337" spans="2:15">
      <c r="B337" s="594">
        <v>0</v>
      </c>
      <c r="D337"/>
      <c r="E337"/>
      <c r="F337" s="887" t="s">
        <v>3402</v>
      </c>
      <c r="G337" s="2423"/>
      <c r="H337" s="2399"/>
      <c r="I337" s="2396"/>
      <c r="J337" s="2397"/>
      <c r="K337" s="2400"/>
      <c r="L337" s="1281"/>
      <c r="M337"/>
      <c r="N337"/>
      <c r="O337"/>
    </row>
    <row r="338" spans="2:15">
      <c r="B338" s="918"/>
      <c r="D338"/>
      <c r="E338"/>
      <c r="F338"/>
      <c r="G338"/>
      <c r="H338"/>
      <c r="I338" s="543"/>
      <c r="J338" s="543"/>
      <c r="K338" s="2400"/>
      <c r="L338" s="1281"/>
      <c r="M338"/>
      <c r="N338"/>
      <c r="O338"/>
    </row>
    <row r="339" spans="2:15">
      <c r="D339"/>
      <c r="E339"/>
      <c r="F339" s="554" t="s">
        <v>3730</v>
      </c>
      <c r="G339"/>
      <c r="H339"/>
      <c r="I339"/>
      <c r="J339" t="str">
        <f>IF(OR(F341=0,J340=0),$L$3,"")</f>
        <v/>
      </c>
      <c r="K339"/>
      <c r="L339"/>
      <c r="M339"/>
      <c r="N339"/>
      <c r="O339"/>
    </row>
    <row r="340" spans="2:15" ht="16.5" thickBot="1">
      <c r="D340" s="546"/>
      <c r="E340" s="433"/>
      <c r="F340" s="558"/>
      <c r="G340" s="559"/>
      <c r="H340" s="1530"/>
      <c r="I340" s="561" t="s">
        <v>1141</v>
      </c>
      <c r="J340" s="564">
        <f>重み!M98</f>
        <v>0.2</v>
      </c>
      <c r="K340"/>
      <c r="L340"/>
      <c r="M340"/>
      <c r="N340"/>
      <c r="O340"/>
    </row>
    <row r="341" spans="2:15" ht="27" customHeight="1" thickBot="1">
      <c r="B341" t="s">
        <v>3432</v>
      </c>
      <c r="D341" s="546"/>
      <c r="E341" s="433"/>
      <c r="F341" s="1978">
        <f>G349</f>
        <v>3</v>
      </c>
      <c r="G341" s="570" t="s">
        <v>685</v>
      </c>
      <c r="H341" s="679"/>
      <c r="I341" s="679"/>
      <c r="J341" s="666"/>
      <c r="K341"/>
      <c r="L341"/>
      <c r="M341"/>
      <c r="N341"/>
      <c r="O341"/>
    </row>
    <row r="342" spans="2:15" ht="21" customHeight="1">
      <c r="B342">
        <v>0</v>
      </c>
      <c r="D342" s="546"/>
      <c r="E342" s="734"/>
      <c r="F342" s="577" t="str">
        <f>IF(F341=$F$7,$G$2,IF(ROUNDDOWN(F341,0)=$F$2,$H$2,$G$2))</f>
        <v>　レベル　1</v>
      </c>
      <c r="G342" s="1329" t="s">
        <v>324</v>
      </c>
      <c r="H342" s="772"/>
      <c r="I342" s="772"/>
      <c r="J342" s="776"/>
      <c r="K342"/>
      <c r="L342"/>
      <c r="M342"/>
      <c r="N342"/>
      <c r="O342"/>
    </row>
    <row r="343" spans="2:15" ht="21" customHeight="1">
      <c r="B343">
        <v>1</v>
      </c>
      <c r="D343" s="546"/>
      <c r="E343" s="734"/>
      <c r="F343" s="577" t="str">
        <f>IF(F341=$F$7,$G$3,IF(ROUNDDOWN(F341,0)=$F$3,$H$3,$G$3))</f>
        <v>　レベル　2</v>
      </c>
      <c r="G343" s="705" t="s">
        <v>40</v>
      </c>
      <c r="H343" s="773"/>
      <c r="I343" s="773"/>
      <c r="J343" s="777"/>
      <c r="K343"/>
      <c r="L343"/>
      <c r="M343"/>
      <c r="N343"/>
      <c r="O343"/>
    </row>
    <row r="344" spans="2:15" ht="21" customHeight="1">
      <c r="B344">
        <v>2</v>
      </c>
      <c r="D344" s="546"/>
      <c r="E344" s="734"/>
      <c r="F344" s="577" t="str">
        <f>IF(F341=$F$7,$G$4,IF(ROUNDDOWN(F341,0)=$F$4,$H$4,$G$4))</f>
        <v>■レベル　3</v>
      </c>
      <c r="G344" s="705" t="s">
        <v>1502</v>
      </c>
      <c r="H344" s="773"/>
      <c r="I344" s="773"/>
      <c r="J344" s="777"/>
      <c r="K344"/>
      <c r="L344"/>
      <c r="M344"/>
      <c r="N344"/>
      <c r="O344"/>
    </row>
    <row r="345" spans="2:15" ht="21" customHeight="1">
      <c r="B345">
        <v>3</v>
      </c>
      <c r="D345" s="546"/>
      <c r="E345" s="734"/>
      <c r="F345" s="577" t="str">
        <f>IF(F341=$F$7,$G$5,IF(ROUNDDOWN(F341,0)=$F$5,$H$5,$G$5))</f>
        <v>　レベル　4</v>
      </c>
      <c r="G345" s="705" t="s">
        <v>28</v>
      </c>
      <c r="H345" s="773"/>
      <c r="I345" s="773"/>
      <c r="J345" s="777"/>
      <c r="K345"/>
      <c r="L345"/>
      <c r="M345"/>
      <c r="N345"/>
      <c r="O345"/>
    </row>
    <row r="346" spans="2:15" ht="21" customHeight="1">
      <c r="B346">
        <v>4</v>
      </c>
      <c r="D346" s="546"/>
      <c r="E346" s="734"/>
      <c r="F346" s="587" t="str">
        <f>IF(F341=$F$7,$G$6,IF(ROUNDDOWN(F341,0)=$F$6,$H$6,$G$6))</f>
        <v>　レベル　5</v>
      </c>
      <c r="G346" s="858" t="s">
        <v>43</v>
      </c>
      <c r="H346" s="774"/>
      <c r="I346" s="774"/>
      <c r="J346" s="778"/>
      <c r="K346"/>
      <c r="L346"/>
      <c r="M346"/>
      <c r="N346"/>
      <c r="O346"/>
    </row>
    <row r="347" spans="2:15">
      <c r="D347"/>
      <c r="E347"/>
      <c r="F347" s="887" t="s">
        <v>3402</v>
      </c>
      <c r="G347" s="2423"/>
      <c r="H347" s="2399"/>
      <c r="I347" s="2396"/>
      <c r="J347" s="2397"/>
      <c r="K347" s="2576" t="s">
        <v>3709</v>
      </c>
      <c r="L347" s="1281"/>
      <c r="M347"/>
      <c r="N347"/>
      <c r="O347"/>
    </row>
    <row r="348" spans="2:15">
      <c r="D348"/>
      <c r="E348"/>
      <c r="F348" s="595" t="s">
        <v>2263</v>
      </c>
      <c r="G348"/>
      <c r="H348"/>
      <c r="I348"/>
      <c r="J348"/>
      <c r="K348"/>
      <c r="L348"/>
      <c r="M348"/>
      <c r="N348"/>
      <c r="O348"/>
    </row>
    <row r="349" spans="2:15" ht="16.5" customHeight="1" thickBot="1">
      <c r="D349" s="546"/>
      <c r="E349" s="433"/>
      <c r="G349" s="1997">
        <f>IF(G356&gt;=B346,5,IF(G356&gt;=B345,4,IF(G356&gt;=B344,3,IF(G356&gt;=B343,2,1))))</f>
        <v>3</v>
      </c>
      <c r="H349" s="438" t="s">
        <v>3017</v>
      </c>
      <c r="I349" s="2722"/>
      <c r="J349" s="2722"/>
      <c r="K349" s="2722"/>
      <c r="L349" s="2722"/>
      <c r="M349" s="2722"/>
      <c r="N349" s="2722"/>
      <c r="O349" s="765"/>
    </row>
    <row r="350" spans="2:15" ht="15.75" customHeight="1">
      <c r="D350" s="546"/>
      <c r="E350" s="433"/>
      <c r="F350" s="2409" t="s">
        <v>3070</v>
      </c>
      <c r="G350" s="2425"/>
      <c r="H350" s="770" t="s">
        <v>3019</v>
      </c>
      <c r="I350" s="775"/>
      <c r="J350" s="775"/>
      <c r="K350" s="775"/>
      <c r="L350" s="775"/>
      <c r="M350" s="775"/>
      <c r="N350" s="775"/>
      <c r="O350" s="2401"/>
    </row>
    <row r="351" spans="2:15" ht="15.75" customHeight="1">
      <c r="D351" s="546"/>
      <c r="E351" s="433"/>
      <c r="F351" s="2409" t="s">
        <v>3400</v>
      </c>
      <c r="G351" s="2426" t="s">
        <v>2256</v>
      </c>
      <c r="H351" s="754" t="s">
        <v>3020</v>
      </c>
      <c r="I351" s="755"/>
      <c r="J351" s="755"/>
      <c r="K351" s="755"/>
      <c r="L351" s="755"/>
      <c r="M351" s="755"/>
      <c r="N351" s="755"/>
      <c r="O351" s="2402"/>
    </row>
    <row r="352" spans="2:15" ht="75" customHeight="1">
      <c r="D352" s="546"/>
      <c r="E352" s="433"/>
      <c r="F352" s="2409" t="s">
        <v>3072</v>
      </c>
      <c r="G352" s="2427"/>
      <c r="H352" s="3255" t="s">
        <v>3021</v>
      </c>
      <c r="I352" s="3174"/>
      <c r="J352" s="3174"/>
      <c r="K352" s="3174"/>
      <c r="L352" s="3174"/>
      <c r="M352" s="3174"/>
      <c r="N352" s="3174"/>
      <c r="O352" s="3201"/>
    </row>
    <row r="353" spans="2:15" ht="15.75" customHeight="1">
      <c r="D353" s="546"/>
      <c r="E353" s="433"/>
      <c r="F353" s="2409" t="s">
        <v>3073</v>
      </c>
      <c r="G353" s="2427" t="s">
        <v>2256</v>
      </c>
      <c r="H353" s="1334" t="s">
        <v>3022</v>
      </c>
      <c r="I353" s="2474"/>
      <c r="J353" s="2474"/>
      <c r="K353" s="2474"/>
      <c r="L353" s="2474"/>
      <c r="M353" s="2474"/>
      <c r="N353" s="2474"/>
      <c r="O353" s="2475"/>
    </row>
    <row r="354" spans="2:15" ht="15.75" customHeight="1">
      <c r="D354" s="546"/>
      <c r="E354" s="433"/>
      <c r="F354" s="2409" t="s">
        <v>3074</v>
      </c>
      <c r="G354" s="2427"/>
      <c r="H354" s="1334" t="s">
        <v>3023</v>
      </c>
      <c r="I354" s="2474"/>
      <c r="J354" s="2474"/>
      <c r="K354" s="2474"/>
      <c r="L354" s="2474"/>
      <c r="M354" s="2474"/>
      <c r="N354" s="2474"/>
      <c r="O354" s="2475"/>
    </row>
    <row r="355" spans="2:15" ht="16.5" customHeight="1" thickBot="1">
      <c r="D355" s="546"/>
      <c r="E355" s="433"/>
      <c r="F355" s="2409" t="s">
        <v>3075</v>
      </c>
      <c r="G355" s="2465"/>
      <c r="H355" s="745" t="s">
        <v>3024</v>
      </c>
      <c r="I355" s="2474"/>
      <c r="J355" s="2474"/>
      <c r="K355" s="2474"/>
      <c r="L355" s="2474"/>
      <c r="M355" s="2474"/>
      <c r="N355" s="2474"/>
      <c r="O355" s="2475"/>
    </row>
    <row r="356" spans="2:15" ht="15.75">
      <c r="D356" s="546"/>
      <c r="E356" s="433"/>
      <c r="F356" s="2409" t="s">
        <v>386</v>
      </c>
      <c r="G356" s="2460">
        <f>COUNTIF(G350:G355,$M$3)</f>
        <v>2</v>
      </c>
      <c r="H356" s="1958" t="s">
        <v>3551</v>
      </c>
      <c r="I356" s="1923"/>
      <c r="J356" s="1923"/>
      <c r="K356" s="1923"/>
      <c r="L356" s="1923"/>
      <c r="M356" s="1923"/>
      <c r="N356" s="1923"/>
      <c r="O356" s="2550"/>
    </row>
    <row r="357" spans="2:15" ht="15.75">
      <c r="D357" s="546"/>
      <c r="E357" s="433"/>
      <c r="F357"/>
      <c r="G357"/>
      <c r="H357"/>
      <c r="I357"/>
      <c r="J357"/>
      <c r="K357"/>
      <c r="L357"/>
      <c r="M357"/>
      <c r="N357"/>
      <c r="O357"/>
    </row>
    <row r="358" spans="2:15" ht="15.75">
      <c r="D358" s="542">
        <v>3</v>
      </c>
      <c r="E358" s="551" t="s">
        <v>1033</v>
      </c>
      <c r="F358"/>
      <c r="G358"/>
      <c r="H358"/>
      <c r="I358"/>
      <c r="J358"/>
      <c r="K358"/>
      <c r="L358"/>
      <c r="M358"/>
      <c r="N358"/>
      <c r="O358"/>
    </row>
    <row r="359" spans="2:15" ht="15.75">
      <c r="D359" s="542">
        <v>3.1</v>
      </c>
      <c r="E359" s="551" t="s">
        <v>1505</v>
      </c>
      <c r="F359"/>
      <c r="G359"/>
      <c r="H359"/>
      <c r="I359"/>
      <c r="J359"/>
      <c r="K359"/>
      <c r="L359"/>
      <c r="M359"/>
      <c r="N359"/>
      <c r="O359"/>
    </row>
    <row r="360" spans="2:15" ht="15.75">
      <c r="D360" s="546"/>
      <c r="E360" s="63"/>
      <c r="F360" s="554" t="s">
        <v>1276</v>
      </c>
      <c r="G360"/>
      <c r="H360"/>
      <c r="I360"/>
      <c r="J360" t="str">
        <f>IF(OR(F362=0,AND(J361=0,O361=0)),$L$3,"")</f>
        <v/>
      </c>
      <c r="K360"/>
      <c r="L360"/>
      <c r="M360"/>
      <c r="N360"/>
      <c r="O360"/>
    </row>
    <row r="361" spans="2:15" ht="16.5" thickBot="1">
      <c r="D361" s="546"/>
      <c r="E361" s="63"/>
      <c r="F361" s="558" t="s">
        <v>270</v>
      </c>
      <c r="G361" s="559"/>
      <c r="H361" s="1530"/>
      <c r="I361" s="561" t="s">
        <v>1141</v>
      </c>
      <c r="J361" s="564">
        <f>重み!M102</f>
        <v>0.6</v>
      </c>
      <c r="K361" s="558" t="s">
        <v>1638</v>
      </c>
      <c r="L361" s="559"/>
      <c r="M361" s="1530"/>
      <c r="N361" s="561" t="s">
        <v>1141</v>
      </c>
      <c r="O361" s="564">
        <f>重み!N102</f>
        <v>0</v>
      </c>
    </row>
    <row r="362" spans="2:15" ht="27" customHeight="1" thickBot="1">
      <c r="D362" s="546"/>
      <c r="E362" s="63"/>
      <c r="F362" s="565">
        <v>3</v>
      </c>
      <c r="G362" s="661" t="s">
        <v>1506</v>
      </c>
      <c r="H362" s="571"/>
      <c r="I362" s="661" t="s">
        <v>1507</v>
      </c>
      <c r="J362" s="844"/>
      <c r="K362" s="565">
        <v>3</v>
      </c>
      <c r="L362" s="661" t="s">
        <v>1277</v>
      </c>
      <c r="M362" s="571"/>
      <c r="N362" s="661" t="s">
        <v>1278</v>
      </c>
      <c r="O362" s="571"/>
    </row>
    <row r="363" spans="2:15" ht="21" customHeight="1">
      <c r="B363" s="1">
        <v>1</v>
      </c>
      <c r="C363" s="1">
        <v>1</v>
      </c>
      <c r="D363" s="546"/>
      <c r="E363" s="63"/>
      <c r="F363" s="572" t="str">
        <f>IF(F362=$F$7,$G$2,IF(ROUNDDOWN(F362,0)=$F$2,$H$2,$G$2))</f>
        <v>　レベル　1</v>
      </c>
      <c r="G363" s="574" t="s">
        <v>1279</v>
      </c>
      <c r="H363" s="1984"/>
      <c r="I363" s="1993" t="s">
        <v>1280</v>
      </c>
      <c r="J363" s="2529"/>
      <c r="K363" s="1985" t="str">
        <f>IF(K362=$F$7,$G$2,IF(ROUNDDOWN(K362,0)=$F$2,$H$2,$G$2))</f>
        <v>　レベル　1</v>
      </c>
      <c r="L363" s="2499" t="s">
        <v>1279</v>
      </c>
      <c r="M363" s="2478"/>
      <c r="N363" s="2499" t="s">
        <v>1281</v>
      </c>
      <c r="O363" s="2478"/>
    </row>
    <row r="364" spans="2:15" ht="21" customHeight="1">
      <c r="B364" s="1">
        <v>2</v>
      </c>
      <c r="C364" s="1">
        <v>2</v>
      </c>
      <c r="D364" s="546"/>
      <c r="E364" s="63"/>
      <c r="F364" s="577" t="str">
        <f>IF(F362=$F$7,$G$3,IF(ROUNDDOWN(F362,0)=$F$3,$H$3,$G$3))</f>
        <v>　レベル　2</v>
      </c>
      <c r="G364" s="580" t="s">
        <v>1282</v>
      </c>
      <c r="H364" s="2521"/>
      <c r="I364" s="1994" t="s">
        <v>1283</v>
      </c>
      <c r="J364" s="2530"/>
      <c r="K364" s="1987" t="str">
        <f>IF(K362=$F$7,$G$3,IF(ROUNDDOWN(K362,0)=$F$3,$H$3,$G$3))</f>
        <v>　レベル　2</v>
      </c>
      <c r="L364" s="1964" t="s">
        <v>1508</v>
      </c>
      <c r="M364" s="1971"/>
      <c r="N364" s="1964" t="s">
        <v>1509</v>
      </c>
      <c r="O364" s="1971"/>
    </row>
    <row r="365" spans="2:15" ht="21" customHeight="1">
      <c r="B365" s="1">
        <v>3</v>
      </c>
      <c r="C365" s="1">
        <v>3</v>
      </c>
      <c r="D365" s="546"/>
      <c r="E365" s="63"/>
      <c r="F365" s="577" t="str">
        <f>IF(F362=$F$7,$G$4,IF(ROUNDDOWN(F362,0)=$F$4,$H$4,$G$4))</f>
        <v>■レベル　3</v>
      </c>
      <c r="G365" s="580" t="s">
        <v>1284</v>
      </c>
      <c r="H365" s="2521"/>
      <c r="I365" s="1994" t="s">
        <v>1282</v>
      </c>
      <c r="J365" s="2530"/>
      <c r="K365" s="1987" t="str">
        <f>IF(K362=$F$7,$G$4,IF(ROUNDDOWN(K362,0)=$F$4,$H$4,$G$4))</f>
        <v>■レベル　3</v>
      </c>
      <c r="L365" s="1964" t="s">
        <v>1284</v>
      </c>
      <c r="M365" s="1971"/>
      <c r="N365" s="1964" t="s">
        <v>1285</v>
      </c>
      <c r="O365" s="1971"/>
    </row>
    <row r="366" spans="2:15" ht="21" customHeight="1">
      <c r="B366" s="1">
        <v>4</v>
      </c>
      <c r="C366" s="1">
        <v>4</v>
      </c>
      <c r="D366" s="546"/>
      <c r="E366" s="63"/>
      <c r="F366" s="577" t="str">
        <f>IF(F362=$F$7,$G$5,IF(ROUNDDOWN(F362,0)=$F$5,$H$5,$G$5))</f>
        <v>　レベル　4</v>
      </c>
      <c r="G366" s="580" t="s">
        <v>1286</v>
      </c>
      <c r="H366" s="2521"/>
      <c r="I366" s="1994" t="s">
        <v>1284</v>
      </c>
      <c r="J366" s="2530"/>
      <c r="K366" s="1987" t="str">
        <f>IF(K362=$F$7,$G$5,IF(ROUNDDOWN(K362,0)=$F$5,$H$5,$G$5))</f>
        <v>　レベル　4</v>
      </c>
      <c r="L366" s="1964" t="s">
        <v>1510</v>
      </c>
      <c r="M366" s="1971"/>
      <c r="N366" s="1964" t="s">
        <v>1511</v>
      </c>
      <c r="O366" s="1971"/>
    </row>
    <row r="367" spans="2:15" ht="21" customHeight="1">
      <c r="B367" s="1">
        <v>5</v>
      </c>
      <c r="C367" s="1">
        <v>5</v>
      </c>
      <c r="D367" s="546"/>
      <c r="E367" s="63"/>
      <c r="F367" s="587" t="str">
        <f>IF(F362=$F$7,$G$6,IF(ROUNDDOWN(F362,0)=$F$6,$H$6,$G$6))</f>
        <v>　レベル　5</v>
      </c>
      <c r="G367" s="591" t="s">
        <v>1287</v>
      </c>
      <c r="H367" s="2531"/>
      <c r="I367" s="1992" t="s">
        <v>1288</v>
      </c>
      <c r="J367" s="2532"/>
      <c r="K367" s="1989" t="str">
        <f>IF(K362=$F$7,$G$6,IF(ROUNDDOWN(K362,0)=$F$6,$H$6,$G$6))</f>
        <v>　レベル　5</v>
      </c>
      <c r="L367" s="2492" t="s">
        <v>1287</v>
      </c>
      <c r="M367" s="1976"/>
      <c r="N367" s="2492" t="s">
        <v>1289</v>
      </c>
      <c r="O367" s="1972"/>
    </row>
    <row r="368" spans="2:15">
      <c r="B368" s="594">
        <v>0</v>
      </c>
      <c r="C368" s="594">
        <v>0</v>
      </c>
      <c r="D368"/>
      <c r="E368"/>
      <c r="F368" s="887" t="s">
        <v>3402</v>
      </c>
      <c r="G368" s="2423"/>
      <c r="H368" s="2399"/>
      <c r="I368" s="2396"/>
      <c r="J368" s="2397"/>
      <c r="K368" s="2400"/>
      <c r="L368" s="1281"/>
      <c r="M368"/>
      <c r="N368"/>
      <c r="O368"/>
    </row>
    <row r="369" spans="2:15">
      <c r="B369" s="918"/>
      <c r="C369" s="918"/>
      <c r="D369"/>
      <c r="E369"/>
      <c r="F369" s="2459" t="s">
        <v>3734</v>
      </c>
      <c r="G369" s="2424">
        <v>3.4</v>
      </c>
      <c r="H369" s="543"/>
      <c r="I369" s="543"/>
      <c r="J369" s="543"/>
      <c r="K369" s="2400"/>
      <c r="L369" s="1281"/>
      <c r="M369"/>
      <c r="N369"/>
      <c r="O369"/>
    </row>
    <row r="370" spans="2:15">
      <c r="B370" s="918"/>
      <c r="C370" s="918"/>
      <c r="D370"/>
      <c r="E370"/>
      <c r="F370"/>
      <c r="G370"/>
      <c r="H370"/>
      <c r="I370" s="543"/>
      <c r="J370" s="543"/>
      <c r="K370" s="2400"/>
      <c r="L370" s="1281"/>
      <c r="M370"/>
      <c r="N370"/>
      <c r="O370"/>
    </row>
    <row r="371" spans="2:15">
      <c r="D371"/>
      <c r="E371"/>
      <c r="F371" s="554" t="s">
        <v>3731</v>
      </c>
      <c r="G371"/>
      <c r="H371"/>
      <c r="I371"/>
      <c r="J371" t="str">
        <f>IF(OR(F373=0,AND(J372=0,O372=0)),$L$3,"")</f>
        <v/>
      </c>
      <c r="K371"/>
      <c r="L371"/>
      <c r="M371"/>
      <c r="N371"/>
      <c r="O371"/>
    </row>
    <row r="372" spans="2:15" ht="16.5" thickBot="1">
      <c r="D372" s="546"/>
      <c r="E372" s="63"/>
      <c r="F372" s="558" t="s">
        <v>1290</v>
      </c>
      <c r="G372" s="559"/>
      <c r="H372" s="1530"/>
      <c r="I372" s="561" t="s">
        <v>1141</v>
      </c>
      <c r="J372" s="564">
        <f>重み!M103</f>
        <v>0.4</v>
      </c>
      <c r="K372" s="558" t="s">
        <v>1638</v>
      </c>
      <c r="L372" s="559"/>
      <c r="M372" s="1530"/>
      <c r="N372" s="561" t="s">
        <v>1141</v>
      </c>
      <c r="O372" s="564">
        <f>重み!N103</f>
        <v>0</v>
      </c>
    </row>
    <row r="373" spans="2:15" ht="27" customHeight="1" thickBot="1">
      <c r="D373" s="546"/>
      <c r="E373" s="63"/>
      <c r="F373" s="565">
        <v>3</v>
      </c>
      <c r="G373" s="661" t="s">
        <v>1512</v>
      </c>
      <c r="H373" s="570"/>
      <c r="I373" s="570"/>
      <c r="J373" s="571"/>
      <c r="K373" s="565">
        <v>3</v>
      </c>
      <c r="L373" s="569" t="s">
        <v>225</v>
      </c>
      <c r="M373" s="570"/>
      <c r="N373" s="570"/>
      <c r="O373" s="666"/>
    </row>
    <row r="374" spans="2:15" ht="21" customHeight="1">
      <c r="B374" s="1">
        <v>1</v>
      </c>
      <c r="C374" s="1">
        <v>1</v>
      </c>
      <c r="D374" s="546"/>
      <c r="E374" s="63"/>
      <c r="F374" s="572" t="str">
        <f>IF(F373=$F$7,$G$2,IF(ROUNDDOWN(F373,0)=$F$2,$H$2,$G$2))</f>
        <v>　レベル　1</v>
      </c>
      <c r="G374" s="574" t="s">
        <v>1513</v>
      </c>
      <c r="H374" s="763"/>
      <c r="I374" s="763"/>
      <c r="J374" s="776"/>
      <c r="K374" s="572" t="str">
        <f>IF(K373=$F$7,$G$2,IF(ROUNDDOWN(K373,0)=$F$2,$H$2,$G$2))</f>
        <v>　レベル　1</v>
      </c>
      <c r="L374" s="2499" t="s">
        <v>226</v>
      </c>
      <c r="M374" s="1984"/>
      <c r="N374" s="1984"/>
      <c r="O374" s="1970"/>
    </row>
    <row r="375" spans="2:15" ht="21" customHeight="1">
      <c r="B375" s="1">
        <v>2</v>
      </c>
      <c r="C375" s="1">
        <v>2</v>
      </c>
      <c r="D375" s="546"/>
      <c r="E375" s="63"/>
      <c r="F375" s="577" t="str">
        <f>IF(F373=$F$7,$G$3,IF(ROUNDDOWN(F373,0)=$F$3,$H$3,$G$3))</f>
        <v>　レベル　2</v>
      </c>
      <c r="G375" s="580" t="s">
        <v>1514</v>
      </c>
      <c r="H375" s="690"/>
      <c r="I375" s="690"/>
      <c r="J375" s="777"/>
      <c r="K375" s="577" t="str">
        <f>IF(K373=$F$7,$G$3,IF(ROUNDDOWN(K373,0)=$F$3,$H$3,$G$3))</f>
        <v>　レベル　2</v>
      </c>
      <c r="L375" s="1964" t="s">
        <v>227</v>
      </c>
      <c r="M375" s="1986"/>
      <c r="N375" s="1986"/>
      <c r="O375" s="1971"/>
    </row>
    <row r="376" spans="2:15" ht="21" customHeight="1">
      <c r="B376" s="1">
        <v>3</v>
      </c>
      <c r="C376" s="1">
        <v>3</v>
      </c>
      <c r="D376" s="546"/>
      <c r="E376" s="543"/>
      <c r="F376" s="577" t="str">
        <f>IF(F373=$F$7,$G$4,IF(ROUNDDOWN(F373,0)=$F$4,$H$4,$G$4))</f>
        <v>■レベル　3</v>
      </c>
      <c r="G376" s="580" t="s">
        <v>1515</v>
      </c>
      <c r="H376" s="690"/>
      <c r="I376" s="690"/>
      <c r="J376" s="777"/>
      <c r="K376" s="577" t="str">
        <f>IF(K373=$F$7,$G$4,IF(ROUNDDOWN(K373,0)=$F$4,$H$4,$G$4))</f>
        <v>■レベル　3</v>
      </c>
      <c r="L376" s="1964" t="s">
        <v>228</v>
      </c>
      <c r="M376" s="1986"/>
      <c r="N376" s="1986"/>
      <c r="O376" s="1971"/>
    </row>
    <row r="377" spans="2:15" ht="21" customHeight="1">
      <c r="B377" s="1">
        <v>4</v>
      </c>
      <c r="C377" s="1">
        <v>4</v>
      </c>
      <c r="D377" s="546"/>
      <c r="E377" s="63"/>
      <c r="F377" s="577" t="str">
        <f>IF(F373=$F$7,$G$5,IF(ROUNDDOWN(F373,0)=$F$5,$H$5,$G$5))</f>
        <v>　レベル　4</v>
      </c>
      <c r="G377" s="580" t="s">
        <v>1516</v>
      </c>
      <c r="H377" s="690"/>
      <c r="I377" s="690"/>
      <c r="J377" s="777"/>
      <c r="K377" s="577" t="str">
        <f>IF(K373=$F$7,$G$5,IF(ROUNDDOWN(K373,0)=$F$5,$H$5,$G$5))</f>
        <v>　レベル　4</v>
      </c>
      <c r="L377" s="1964" t="s">
        <v>229</v>
      </c>
      <c r="M377" s="1986"/>
      <c r="N377" s="1986"/>
      <c r="O377" s="1971"/>
    </row>
    <row r="378" spans="2:15" ht="21" customHeight="1">
      <c r="B378" s="1">
        <v>5</v>
      </c>
      <c r="C378" s="1">
        <v>5</v>
      </c>
      <c r="D378" s="546"/>
      <c r="E378" s="63"/>
      <c r="F378" s="587" t="str">
        <f>IF(F373=$F$7,$G$6,IF(ROUNDDOWN(F373,0)=$F$6,$H$6,$G$6))</f>
        <v>　レベル　5</v>
      </c>
      <c r="G378" s="591" t="s">
        <v>230</v>
      </c>
      <c r="H378" s="685"/>
      <c r="I378" s="685"/>
      <c r="J378" s="778"/>
      <c r="K378" s="587" t="str">
        <f>IF(K373=$F$7,$G$6,IF(ROUNDDOWN(K373,0)=$F$6,$H$6,$G$6))</f>
        <v>　レベル　5</v>
      </c>
      <c r="L378" s="2492" t="s">
        <v>230</v>
      </c>
      <c r="M378" s="1988"/>
      <c r="N378" s="1988"/>
      <c r="O378" s="1972"/>
    </row>
    <row r="379" spans="2:15" ht="15.75" customHeight="1">
      <c r="B379" s="594">
        <v>0</v>
      </c>
      <c r="C379" s="594">
        <v>0</v>
      </c>
      <c r="D379" s="546"/>
      <c r="E379" s="63"/>
      <c r="F379" s="887" t="s">
        <v>3402</v>
      </c>
      <c r="G379" s="2423"/>
      <c r="H379" s="2399"/>
      <c r="I379" s="2396"/>
      <c r="J379" s="2397"/>
      <c r="K379" s="2400"/>
      <c r="L379" s="1281"/>
      <c r="M379"/>
      <c r="N379"/>
      <c r="O379"/>
    </row>
    <row r="380" spans="2:15" ht="15.75" customHeight="1">
      <c r="B380" s="918"/>
      <c r="C380" s="918"/>
      <c r="D380" s="546"/>
      <c r="E380" s="63"/>
      <c r="F380" s="2459" t="s">
        <v>3384</v>
      </c>
      <c r="G380" s="2704">
        <v>0.3</v>
      </c>
      <c r="H380" s="2558" t="s">
        <v>3566</v>
      </c>
      <c r="I380" s="2554" t="s">
        <v>3733</v>
      </c>
      <c r="J380" s="2554"/>
      <c r="K380" s="2400"/>
      <c r="L380" s="1281"/>
      <c r="M380"/>
      <c r="N380"/>
      <c r="O380"/>
    </row>
    <row r="381" spans="2:15" ht="15.75">
      <c r="D381" s="546"/>
      <c r="E381" s="63"/>
      <c r="F381"/>
      <c r="G381" s="2431"/>
      <c r="H381"/>
      <c r="I381" s="2431" t="s">
        <v>231</v>
      </c>
      <c r="J381" s="2431"/>
      <c r="K381"/>
      <c r="L381"/>
      <c r="M381"/>
      <c r="N381"/>
      <c r="O381"/>
    </row>
    <row r="382" spans="2:15" ht="15.75">
      <c r="D382" s="546"/>
      <c r="E382" s="63"/>
      <c r="F382"/>
      <c r="G382" s="2431"/>
      <c r="H382"/>
      <c r="I382"/>
      <c r="J382" s="2431"/>
      <c r="K382"/>
      <c r="L382"/>
      <c r="M382"/>
      <c r="N382"/>
      <c r="O382"/>
    </row>
    <row r="383" spans="2:15" ht="15.75">
      <c r="D383" s="542">
        <v>3.2</v>
      </c>
      <c r="E383" s="551" t="s">
        <v>1517</v>
      </c>
      <c r="F383"/>
      <c r="G383"/>
      <c r="H383"/>
      <c r="I383"/>
      <c r="J383" t="str">
        <f>IF(OR(F385=0,AND(J384=0,O384=0)),$L$3,"")</f>
        <v/>
      </c>
      <c r="K383"/>
      <c r="L383"/>
      <c r="M383"/>
      <c r="N383"/>
      <c r="O383"/>
    </row>
    <row r="384" spans="2:15" ht="16.5" thickBot="1">
      <c r="D384" s="546"/>
      <c r="E384" s="63"/>
      <c r="F384" s="673" t="s">
        <v>270</v>
      </c>
      <c r="G384" s="559"/>
      <c r="H384" s="1530"/>
      <c r="I384" s="561" t="s">
        <v>1141</v>
      </c>
      <c r="J384" s="562">
        <f>重み!M104</f>
        <v>0.3</v>
      </c>
      <c r="K384" s="674"/>
      <c r="L384" s="676"/>
      <c r="M384" s="1909" t="s">
        <v>1638</v>
      </c>
      <c r="N384" s="561" t="s">
        <v>1141</v>
      </c>
      <c r="O384" s="563">
        <f>重み!N104</f>
        <v>0</v>
      </c>
    </row>
    <row r="385" spans="2:16" ht="27" customHeight="1" thickBot="1">
      <c r="D385" s="546"/>
      <c r="E385" s="63"/>
      <c r="F385" s="565">
        <v>3</v>
      </c>
      <c r="G385" s="3257" t="s">
        <v>1518</v>
      </c>
      <c r="H385" s="3258"/>
      <c r="I385" s="661" t="s">
        <v>1519</v>
      </c>
      <c r="J385" s="571"/>
      <c r="K385" s="661" t="s">
        <v>1678</v>
      </c>
      <c r="L385" s="679"/>
      <c r="M385" s="565">
        <v>3</v>
      </c>
      <c r="N385" s="661" t="s">
        <v>1650</v>
      </c>
      <c r="O385" s="571"/>
    </row>
    <row r="386" spans="2:16" ht="21" customHeight="1">
      <c r="B386" s="1" t="s">
        <v>1817</v>
      </c>
      <c r="C386" s="1" t="s">
        <v>1817</v>
      </c>
      <c r="D386" s="546"/>
      <c r="E386" s="63"/>
      <c r="F386" s="572" t="str">
        <f>IF(F385=$F$7,$G$2,IF(ROUNDDOWN(F385,0)=$F$2,$H$2,$G$2))</f>
        <v>　レベル　1</v>
      </c>
      <c r="G386" s="2499" t="s">
        <v>1520</v>
      </c>
      <c r="H386" s="2478"/>
      <c r="I386" s="2499" t="s">
        <v>1520</v>
      </c>
      <c r="J386" s="2478"/>
      <c r="K386" s="2499" t="s">
        <v>1520</v>
      </c>
      <c r="L386" s="2478"/>
      <c r="M386" s="1985" t="str">
        <f>IF(M385=$F$7,$G$2,IF(ROUNDDOWN(M385,0)=$F$2,$H$2,$G$2))</f>
        <v>　レベル　1</v>
      </c>
      <c r="N386" s="2499" t="s">
        <v>1520</v>
      </c>
      <c r="O386" s="2478"/>
    </row>
    <row r="387" spans="2:16" ht="21" customHeight="1">
      <c r="B387" s="1">
        <v>2</v>
      </c>
      <c r="C387" s="1">
        <v>2</v>
      </c>
      <c r="D387" s="546"/>
      <c r="E387" s="63"/>
      <c r="F387" s="577" t="str">
        <f>IF(F385=$F$7,$G$3,IF(ROUNDDOWN(F385,0)=$F$3,$H$3,$G$3))</f>
        <v>　レベル　2</v>
      </c>
      <c r="G387" s="2479" t="s">
        <v>1521</v>
      </c>
      <c r="H387" s="1971"/>
      <c r="I387" s="2479" t="s">
        <v>1522</v>
      </c>
      <c r="J387" s="1971"/>
      <c r="K387" s="2479" t="s">
        <v>1523</v>
      </c>
      <c r="L387" s="1971"/>
      <c r="M387" s="1987" t="str">
        <f>IF(M385=$F$7,$G$3,IF(ROUNDDOWN(M385,0)=$F$3,$H$3,$G$3))</f>
        <v>　レベル　2</v>
      </c>
      <c r="N387" s="2479" t="s">
        <v>1524</v>
      </c>
      <c r="O387" s="1971"/>
    </row>
    <row r="388" spans="2:16" ht="36" customHeight="1">
      <c r="B388" s="1">
        <v>3</v>
      </c>
      <c r="C388" s="1">
        <v>3</v>
      </c>
      <c r="D388" s="546"/>
      <c r="E388" s="63"/>
      <c r="F388" s="577" t="str">
        <f>IF(F385=$F$7,$G$4,IF(ROUNDDOWN(F385,0)=$F$4,$H$4,$G$4))</f>
        <v>■レベル　3</v>
      </c>
      <c r="G388" s="3238" t="s">
        <v>1525</v>
      </c>
      <c r="H388" s="3244"/>
      <c r="I388" s="3238" t="s">
        <v>1526</v>
      </c>
      <c r="J388" s="3244"/>
      <c r="K388" s="3238" t="s">
        <v>2389</v>
      </c>
      <c r="L388" s="3244"/>
      <c r="M388" s="1987" t="str">
        <f>IF(M385=$F$7,$G$4,IF(ROUNDDOWN(M385,0)=$F$4,$H$4,$G$4))</f>
        <v>■レベル　3</v>
      </c>
      <c r="N388" s="3238" t="s">
        <v>2390</v>
      </c>
      <c r="O388" s="3244"/>
    </row>
    <row r="389" spans="2:16" ht="36" customHeight="1">
      <c r="B389" s="1">
        <v>4</v>
      </c>
      <c r="C389" s="1">
        <v>4</v>
      </c>
      <c r="D389" s="546"/>
      <c r="E389" s="63"/>
      <c r="F389" s="577" t="str">
        <f>IF(F385=$F$7,$G$5,IF(ROUNDDOWN(F385,0)=$F$5,$H$5,$G$5))</f>
        <v>　レベル　4</v>
      </c>
      <c r="G389" s="3238" t="s">
        <v>2391</v>
      </c>
      <c r="H389" s="3244"/>
      <c r="I389" s="3238" t="s">
        <v>2392</v>
      </c>
      <c r="J389" s="3244"/>
      <c r="K389" s="3238" t="s">
        <v>1525</v>
      </c>
      <c r="L389" s="3244"/>
      <c r="M389" s="1987" t="str">
        <f>IF(M385=$F$7,$G$5,IF(ROUNDDOWN(M385,0)=$F$5,$H$5,$G$5))</f>
        <v>　レベル　4</v>
      </c>
      <c r="N389" s="3238" t="s">
        <v>1913</v>
      </c>
      <c r="O389" s="3244"/>
    </row>
    <row r="390" spans="2:16" ht="21" customHeight="1">
      <c r="B390" s="1">
        <v>5</v>
      </c>
      <c r="C390" s="1">
        <v>5</v>
      </c>
      <c r="D390" s="546"/>
      <c r="E390" s="63"/>
      <c r="F390" s="587" t="str">
        <f>IF(F385=$F$7,$G$6,IF(ROUNDDOWN(F385,0)=$F$6,$H$6,$G$6))</f>
        <v>　レベル　5</v>
      </c>
      <c r="G390" s="2492" t="s">
        <v>1764</v>
      </c>
      <c r="H390" s="1972"/>
      <c r="I390" s="2492" t="s">
        <v>1765</v>
      </c>
      <c r="J390" s="1972"/>
      <c r="K390" s="2492" t="s">
        <v>1766</v>
      </c>
      <c r="L390" s="1972"/>
      <c r="M390" s="1989" t="str">
        <f>IF(M385=$F$7,$G$6,IF(ROUNDDOWN(M385,0)=$F$6,$H$6,$G$6))</f>
        <v>　レベル　5</v>
      </c>
      <c r="N390" s="2492" t="s">
        <v>1767</v>
      </c>
      <c r="O390" s="1972"/>
    </row>
    <row r="391" spans="2:16" ht="15.75">
      <c r="B391" s="594">
        <v>0</v>
      </c>
      <c r="C391" s="594">
        <v>0</v>
      </c>
      <c r="D391" s="546"/>
      <c r="E391" s="433"/>
      <c r="F391" s="887" t="s">
        <v>3402</v>
      </c>
      <c r="G391" s="2423"/>
      <c r="H391" s="2399"/>
      <c r="I391" s="2396"/>
      <c r="J391" s="2397"/>
      <c r="K391" s="2400"/>
      <c r="L391" s="1281"/>
      <c r="M391"/>
      <c r="N391"/>
      <c r="O391"/>
    </row>
    <row r="392" spans="2:16" ht="15.75">
      <c r="B392" s="918"/>
      <c r="C392" s="918"/>
      <c r="D392" s="546"/>
      <c r="E392" s="433"/>
      <c r="F392" s="2459" t="s">
        <v>3735</v>
      </c>
      <c r="G392" s="3065">
        <v>4000</v>
      </c>
      <c r="H392" s="2431"/>
      <c r="I392" s="543"/>
      <c r="J392" s="543"/>
      <c r="K392" s="2400"/>
      <c r="L392" s="1281"/>
      <c r="M392"/>
      <c r="N392"/>
      <c r="O392"/>
    </row>
    <row r="393" spans="2:16" ht="15.75">
      <c r="B393" s="918"/>
      <c r="C393" s="918"/>
      <c r="D393" s="546"/>
      <c r="E393" s="433"/>
      <c r="F393" s="433"/>
      <c r="G393" s="433"/>
      <c r="H393" s="433"/>
      <c r="I393" s="433"/>
      <c r="J393" s="433"/>
      <c r="K393" s="433"/>
      <c r="L393" s="433"/>
      <c r="M393" s="433"/>
      <c r="N393" s="433"/>
      <c r="O393" s="433"/>
      <c r="P393" s="433"/>
    </row>
    <row r="394" spans="2:16" ht="15.75">
      <c r="D394" s="542">
        <v>3.3</v>
      </c>
      <c r="E394" s="551" t="s">
        <v>1768</v>
      </c>
      <c r="F394"/>
      <c r="G394"/>
      <c r="H394"/>
      <c r="I394"/>
      <c r="J394"/>
      <c r="K394"/>
      <c r="L394"/>
      <c r="M394"/>
      <c r="N394"/>
      <c r="O394"/>
    </row>
    <row r="395" spans="2:16" ht="15.75">
      <c r="D395" s="542"/>
      <c r="E395" s="551"/>
      <c r="F395" s="554" t="s">
        <v>3732</v>
      </c>
      <c r="G395"/>
      <c r="H395"/>
      <c r="I395"/>
      <c r="J395" t="str">
        <f>IF(OR(F397=0,J396=0),$L$3,"")</f>
        <v/>
      </c>
      <c r="K395" s="554" t="s">
        <v>232</v>
      </c>
      <c r="L395"/>
      <c r="M395"/>
      <c r="N395"/>
      <c r="O395" t="str">
        <f>IF(OR(K397=0,O396=0),$L$3,"")</f>
        <v/>
      </c>
    </row>
    <row r="396" spans="2:16" ht="16.5" thickBot="1">
      <c r="D396" s="546"/>
      <c r="E396" s="63"/>
      <c r="F396" s="558"/>
      <c r="G396" s="559"/>
      <c r="H396" s="1530"/>
      <c r="I396" s="561" t="s">
        <v>1141</v>
      </c>
      <c r="J396" s="564">
        <f>重み!M106</f>
        <v>0.2</v>
      </c>
      <c r="K396" s="558"/>
      <c r="L396" s="559"/>
      <c r="M396" s="1530"/>
      <c r="N396" s="561" t="s">
        <v>1141</v>
      </c>
      <c r="O396" s="564">
        <f>重み!M107</f>
        <v>0.2</v>
      </c>
    </row>
    <row r="397" spans="2:16" ht="27" customHeight="1" thickBot="1">
      <c r="D397" s="546"/>
      <c r="E397" s="63"/>
      <c r="F397" s="565">
        <v>3</v>
      </c>
      <c r="G397" s="661" t="s">
        <v>78</v>
      </c>
      <c r="H397" s="570"/>
      <c r="I397" s="570"/>
      <c r="J397" s="571"/>
      <c r="K397" s="565">
        <v>3</v>
      </c>
      <c r="L397" s="661" t="s">
        <v>1225</v>
      </c>
      <c r="M397" s="570"/>
      <c r="N397" s="570"/>
      <c r="O397" s="666"/>
    </row>
    <row r="398" spans="2:16" ht="21" customHeight="1">
      <c r="B398" s="1">
        <v>1</v>
      </c>
      <c r="C398" s="1">
        <v>1</v>
      </c>
      <c r="D398" s="546"/>
      <c r="E398" s="63"/>
      <c r="F398" s="572" t="str">
        <f>IF(F397=$F$7,$G$2,IF(ROUNDDOWN(F397,0)=$F$2,$H$2,$G$2))</f>
        <v>　レベル　1</v>
      </c>
      <c r="G398" s="2499" t="s">
        <v>1769</v>
      </c>
      <c r="H398" s="2477"/>
      <c r="I398" s="2477"/>
      <c r="J398" s="2478"/>
      <c r="K398" s="1985" t="str">
        <f>IF(K397=$F$7,$G$2,IF(ROUNDDOWN(K397,0)=$F$2,$H$2,$G$2))</f>
        <v>　レベル　1</v>
      </c>
      <c r="L398" s="2499" t="s">
        <v>1770</v>
      </c>
      <c r="M398" s="2500"/>
      <c r="N398" s="2500"/>
      <c r="O398" s="2501"/>
    </row>
    <row r="399" spans="2:16" ht="38.25" customHeight="1">
      <c r="B399" s="1">
        <v>2</v>
      </c>
      <c r="C399" s="1">
        <v>2</v>
      </c>
      <c r="D399" s="546"/>
      <c r="E399" s="63"/>
      <c r="F399" s="577" t="str">
        <f>IF(F397=$F$7,$G$3,IF(ROUNDDOWN(F397,0)=$F$3,$H$3,$G$3))</f>
        <v>　レベル　2</v>
      </c>
      <c r="G399" s="3238" t="s">
        <v>1248</v>
      </c>
      <c r="H399" s="3245"/>
      <c r="I399" s="3245"/>
      <c r="J399" s="3244"/>
      <c r="K399" s="1987" t="str">
        <f>IF(K397=$F$7,$G$3,IF(ROUNDDOWN(K397,0)=$F$3,$H$3,$G$3))</f>
        <v>　レベル　2</v>
      </c>
      <c r="L399" s="1964" t="s">
        <v>1249</v>
      </c>
      <c r="M399" s="2496"/>
      <c r="N399" s="2496"/>
      <c r="O399" s="2497"/>
    </row>
    <row r="400" spans="2:16" ht="43.5" customHeight="1">
      <c r="B400" s="1">
        <v>3</v>
      </c>
      <c r="C400" s="1">
        <v>3</v>
      </c>
      <c r="D400" s="546"/>
      <c r="E400" s="63"/>
      <c r="F400" s="577" t="str">
        <f>IF(F397=$F$7,$G$4,IF(ROUNDDOWN(F397,0)=$F$4,$H$4,$G$4))</f>
        <v>■レベル　3</v>
      </c>
      <c r="G400" s="3238" t="s">
        <v>233</v>
      </c>
      <c r="H400" s="3245"/>
      <c r="I400" s="3245"/>
      <c r="J400" s="3244"/>
      <c r="K400" s="1987" t="str">
        <f>IF(K397=$F$7,$G$4,IF(ROUNDDOWN(K397,0)=$F$4,$H$4,$G$4))</f>
        <v>■レベル　3</v>
      </c>
      <c r="L400" s="3238" t="s">
        <v>1250</v>
      </c>
      <c r="M400" s="3239"/>
      <c r="N400" s="3239"/>
      <c r="O400" s="3240"/>
    </row>
    <row r="401" spans="2:20" ht="38.25" customHeight="1">
      <c r="B401" s="1">
        <v>4</v>
      </c>
      <c r="C401" s="1">
        <v>4</v>
      </c>
      <c r="D401" s="546"/>
      <c r="E401" s="63"/>
      <c r="F401" s="577" t="str">
        <f>IF(F397=$F$7,$G$5,IF(ROUNDDOWN(F397,0)=$F$5,$H$5,$G$5))</f>
        <v>　レベル　4</v>
      </c>
      <c r="G401" s="3238" t="s">
        <v>1251</v>
      </c>
      <c r="H401" s="3245"/>
      <c r="I401" s="3245"/>
      <c r="J401" s="3244"/>
      <c r="K401" s="1987" t="str">
        <f>IF(K397=$F$7,$G$5,IF(ROUNDDOWN(K397,0)=$F$5,$H$5,$G$5))</f>
        <v>　レベル　4</v>
      </c>
      <c r="L401" s="1964" t="s">
        <v>1252</v>
      </c>
      <c r="M401" s="2496"/>
      <c r="N401" s="2496"/>
      <c r="O401" s="2497"/>
    </row>
    <row r="402" spans="2:20" ht="34.5" customHeight="1">
      <c r="B402" s="1">
        <v>5</v>
      </c>
      <c r="C402" s="1">
        <v>5</v>
      </c>
      <c r="D402" s="546"/>
      <c r="E402" s="63"/>
      <c r="F402" s="587" t="str">
        <f>IF(F397=$F$7,$G$6,IF(ROUNDDOWN(F397,0)=$F$6,$H$6,$G$6))</f>
        <v>　レベル　5</v>
      </c>
      <c r="G402" s="3241" t="s">
        <v>1123</v>
      </c>
      <c r="H402" s="3242"/>
      <c r="I402" s="3242"/>
      <c r="J402" s="3243"/>
      <c r="K402" s="1989" t="str">
        <f>IF(K397=$F$7,$G$6,IF(ROUNDDOWN(K397,0)=$F$6,$H$6,$G$6))</f>
        <v>　レベル　5</v>
      </c>
      <c r="L402" s="2492" t="s">
        <v>1124</v>
      </c>
      <c r="M402" s="2493"/>
      <c r="N402" s="2493"/>
      <c r="O402" s="2494"/>
    </row>
    <row r="403" spans="2:20" ht="15.75">
      <c r="B403" s="594">
        <v>0</v>
      </c>
      <c r="C403" s="594">
        <v>0</v>
      </c>
      <c r="D403" s="546"/>
      <c r="E403" s="671"/>
      <c r="F403" s="887" t="s">
        <v>3402</v>
      </c>
      <c r="G403" s="2423"/>
      <c r="H403" s="2399"/>
      <c r="I403" s="2396"/>
      <c r="J403" s="2397"/>
      <c r="K403" s="887" t="s">
        <v>3402</v>
      </c>
      <c r="L403" s="2423"/>
      <c r="M403" s="2399"/>
      <c r="N403" s="2396"/>
      <c r="O403" s="2397"/>
      <c r="P403" s="2459"/>
      <c r="Q403" s="1281"/>
    </row>
    <row r="404" spans="2:20" ht="15.75">
      <c r="B404" s="918"/>
      <c r="C404" s="918"/>
      <c r="D404" s="546"/>
      <c r="E404" s="671"/>
      <c r="F404"/>
      <c r="G404"/>
      <c r="H404"/>
      <c r="I404"/>
      <c r="J404"/>
      <c r="K404"/>
      <c r="L404"/>
      <c r="M404"/>
      <c r="N404"/>
      <c r="O404"/>
      <c r="P404" s="2400"/>
      <c r="Q404" s="1281"/>
    </row>
    <row r="405" spans="2:20" ht="15.75">
      <c r="D405" s="546"/>
      <c r="E405" s="671"/>
      <c r="F405" s="554" t="s">
        <v>1253</v>
      </c>
      <c r="G405"/>
      <c r="H405"/>
      <c r="I405"/>
      <c r="J405" t="str">
        <f>IF(OR(F407=0,J406=0),$L$3,"")</f>
        <v/>
      </c>
      <c r="K405" s="554" t="s">
        <v>85</v>
      </c>
      <c r="L405"/>
      <c r="M405"/>
      <c r="N405"/>
      <c r="O405" t="str">
        <f>IF(OR(K407=0,O406=0),$L$3,"")</f>
        <v/>
      </c>
    </row>
    <row r="406" spans="2:20" ht="16.5" thickBot="1">
      <c r="D406" s="546"/>
      <c r="E406" s="671"/>
      <c r="F406" s="558"/>
      <c r="G406" s="559"/>
      <c r="H406" s="1530"/>
      <c r="I406" s="561" t="s">
        <v>1141</v>
      </c>
      <c r="J406" s="564">
        <f>重み!M108</f>
        <v>0.1</v>
      </c>
      <c r="K406" s="558"/>
      <c r="L406" s="559"/>
      <c r="M406" s="1530"/>
      <c r="N406" s="561" t="s">
        <v>1141</v>
      </c>
      <c r="O406" s="564">
        <f>重み!M109</f>
        <v>0.1</v>
      </c>
    </row>
    <row r="407" spans="2:20" ht="27" customHeight="1" thickBot="1">
      <c r="D407" s="546"/>
      <c r="E407" s="671"/>
      <c r="F407" s="565">
        <v>3</v>
      </c>
      <c r="G407" s="661" t="s">
        <v>78</v>
      </c>
      <c r="H407" s="570"/>
      <c r="I407" s="570"/>
      <c r="J407" s="571"/>
      <c r="K407" s="565">
        <v>3</v>
      </c>
      <c r="L407" s="661" t="s">
        <v>78</v>
      </c>
      <c r="M407" s="570"/>
      <c r="N407" s="570"/>
      <c r="O407" s="666"/>
    </row>
    <row r="408" spans="2:20" ht="21" customHeight="1">
      <c r="B408" s="1">
        <v>1</v>
      </c>
      <c r="C408" s="1">
        <v>1</v>
      </c>
      <c r="D408" s="546"/>
      <c r="E408" s="671"/>
      <c r="F408" s="572" t="str">
        <f>IF(F407=$F$7,$G$2,IF(ROUNDDOWN(F407,0)=$F$2,$H$2,$G$2))</f>
        <v>　レベル　1</v>
      </c>
      <c r="G408" s="2499" t="s">
        <v>1254</v>
      </c>
      <c r="H408" s="2477"/>
      <c r="I408" s="2477"/>
      <c r="J408" s="2478"/>
      <c r="K408" s="1985" t="str">
        <f>IF(K407=$F$7,$G$2,IF(ROUNDDOWN(K407,0)=$F$2,$H$2,$G$2))</f>
        <v>　レベル　1</v>
      </c>
      <c r="L408" s="2499" t="s">
        <v>1255</v>
      </c>
      <c r="M408" s="2477"/>
      <c r="N408" s="2477"/>
      <c r="O408" s="2478"/>
    </row>
    <row r="409" spans="2:20" ht="21" customHeight="1">
      <c r="B409" s="1" t="s">
        <v>1229</v>
      </c>
      <c r="C409" s="1" t="s">
        <v>1229</v>
      </c>
      <c r="D409" s="546"/>
      <c r="E409" s="671"/>
      <c r="F409" s="577" t="str">
        <f>IF(F407=$F$7,$G$3,IF(ROUNDDOWN(F407,0)=$F$3,$H$3,$G$3))</f>
        <v>　レベル　2</v>
      </c>
      <c r="G409" s="1964" t="s">
        <v>1818</v>
      </c>
      <c r="H409" s="1986"/>
      <c r="I409" s="1986"/>
      <c r="J409" s="1971"/>
      <c r="K409" s="1987" t="str">
        <f>IF(K407=$F$7,$G$3,IF(ROUNDDOWN(K407,0)=$F$3,$H$3,$G$3))</f>
        <v>　レベル　2</v>
      </c>
      <c r="L409" s="1964" t="s">
        <v>1818</v>
      </c>
      <c r="M409" s="1986"/>
      <c r="N409" s="1986"/>
      <c r="O409" s="1971"/>
    </row>
    <row r="410" spans="2:20" ht="21" customHeight="1">
      <c r="B410" s="1">
        <v>3</v>
      </c>
      <c r="C410" s="1">
        <v>3</v>
      </c>
      <c r="D410" s="546"/>
      <c r="E410" s="671"/>
      <c r="F410" s="577" t="str">
        <f>IF(F407=$F$7,$G$4,IF(ROUNDDOWN(F407,0)=$F$4,$H$4,$G$4))</f>
        <v>■レベル　3</v>
      </c>
      <c r="G410" s="1964" t="s">
        <v>86</v>
      </c>
      <c r="H410" s="1986"/>
      <c r="I410" s="1986"/>
      <c r="J410" s="1971"/>
      <c r="K410" s="1987" t="str">
        <f>IF(K407=$F$7,$G$4,IF(ROUNDDOWN(K407,0)=$F$4,$H$4,$G$4))</f>
        <v>■レベル　3</v>
      </c>
      <c r="L410" s="1964" t="s">
        <v>87</v>
      </c>
      <c r="M410" s="1986"/>
      <c r="N410" s="1986"/>
      <c r="O410" s="1971"/>
    </row>
    <row r="411" spans="2:20" ht="21" customHeight="1">
      <c r="B411" s="1" t="s">
        <v>1229</v>
      </c>
      <c r="C411" s="1" t="s">
        <v>1229</v>
      </c>
      <c r="D411" s="546"/>
      <c r="E411" s="671" t="s">
        <v>88</v>
      </c>
      <c r="F411" s="577" t="str">
        <f>IF(F407=$F$7,$G$5,IF(ROUNDDOWN(F407,0)=$F$5,$H$5,$G$5))</f>
        <v>　レベル　4</v>
      </c>
      <c r="G411" s="1964" t="s">
        <v>1818</v>
      </c>
      <c r="H411" s="1986"/>
      <c r="I411" s="1986"/>
      <c r="J411" s="1971"/>
      <c r="K411" s="1987" t="str">
        <f>IF(K407=$F$7,$G$5,IF(ROUNDDOWN(K407,0)=$F$5,$H$5,$G$5))</f>
        <v>　レベル　4</v>
      </c>
      <c r="L411" s="1964" t="s">
        <v>1818</v>
      </c>
      <c r="M411" s="1986"/>
      <c r="N411" s="1986"/>
      <c r="O411" s="1971"/>
    </row>
    <row r="412" spans="2:20" ht="32.25" customHeight="1">
      <c r="B412" s="1">
        <v>5</v>
      </c>
      <c r="C412" s="1">
        <v>5</v>
      </c>
      <c r="D412" s="546"/>
      <c r="E412" s="671"/>
      <c r="F412" s="587" t="str">
        <f>IF(F407=$F$7,$G$6,IF(ROUNDDOWN(F407,0)=$F$6,$H$6,$G$6))</f>
        <v>　レベル　5</v>
      </c>
      <c r="G412" s="3241" t="s">
        <v>1256</v>
      </c>
      <c r="H412" s="3242"/>
      <c r="I412" s="3242"/>
      <c r="J412" s="3243"/>
      <c r="K412" s="1989" t="str">
        <f>IF(K407=$F$7,$G$6,IF(ROUNDDOWN(K407,0)=$F$6,$H$6,$G$6))</f>
        <v>　レベル　5</v>
      </c>
      <c r="L412" s="2492" t="s">
        <v>1257</v>
      </c>
      <c r="M412" s="1988"/>
      <c r="N412" s="1988"/>
      <c r="O412" s="1972"/>
    </row>
    <row r="413" spans="2:20" ht="15.75">
      <c r="B413" s="594">
        <v>0</v>
      </c>
      <c r="C413" s="594">
        <v>0</v>
      </c>
      <c r="D413" s="546"/>
      <c r="E413" s="671"/>
      <c r="F413" s="887" t="s">
        <v>3402</v>
      </c>
      <c r="G413" s="2423"/>
      <c r="H413" s="2399"/>
      <c r="I413" s="2396"/>
      <c r="J413" s="2397"/>
      <c r="K413" s="887" t="s">
        <v>3402</v>
      </c>
      <c r="L413" s="2423"/>
      <c r="M413" s="2399"/>
      <c r="N413" s="2396"/>
      <c r="O413" s="2397"/>
      <c r="P413" s="2459"/>
      <c r="Q413" s="1281"/>
    </row>
    <row r="414" spans="2:20" ht="15.75">
      <c r="B414" s="918"/>
      <c r="C414" s="918"/>
      <c r="D414" s="546"/>
      <c r="E414" s="546"/>
      <c r="F414" s="546"/>
      <c r="G414" s="546"/>
      <c r="H414" s="546"/>
      <c r="I414" s="546"/>
      <c r="J414" s="546"/>
      <c r="K414" s="546"/>
      <c r="L414" s="546"/>
      <c r="M414" s="546"/>
      <c r="N414" s="546"/>
      <c r="O414" s="546"/>
      <c r="P414" s="546"/>
      <c r="Q414" s="546"/>
      <c r="R414" s="546"/>
      <c r="S414" s="546"/>
      <c r="T414" s="546"/>
    </row>
    <row r="415" spans="2:20" ht="15.75">
      <c r="D415" s="546"/>
      <c r="E415" s="671"/>
      <c r="F415" s="554" t="s">
        <v>1258</v>
      </c>
      <c r="G415"/>
      <c r="H415"/>
      <c r="I415"/>
      <c r="J415" t="str">
        <f>IF(OR(F417=0,J416=0),$L$3,"")</f>
        <v/>
      </c>
      <c r="K415" s="554" t="s">
        <v>1259</v>
      </c>
      <c r="L415"/>
      <c r="M415"/>
      <c r="N415"/>
      <c r="O415" t="str">
        <f>IF(OR(K417=0,O416=0),$L$3,"")</f>
        <v/>
      </c>
    </row>
    <row r="416" spans="2:20" ht="16.5" thickBot="1">
      <c r="D416" s="546"/>
      <c r="E416" s="671"/>
      <c r="F416" s="558"/>
      <c r="G416" s="559"/>
      <c r="H416" s="1530"/>
      <c r="I416" s="561" t="s">
        <v>1141</v>
      </c>
      <c r="J416" s="564">
        <f>重み!M110</f>
        <v>0.2</v>
      </c>
      <c r="K416" s="558"/>
      <c r="L416" s="559"/>
      <c r="M416" s="1530"/>
      <c r="N416" s="561" t="s">
        <v>1141</v>
      </c>
      <c r="O416" s="564">
        <f>重み!M111</f>
        <v>0.2</v>
      </c>
    </row>
    <row r="417" spans="2:17" ht="27" customHeight="1" thickBot="1">
      <c r="D417" s="546"/>
      <c r="E417" s="671"/>
      <c r="F417" s="565">
        <v>3</v>
      </c>
      <c r="G417" s="661" t="s">
        <v>3552</v>
      </c>
      <c r="H417" s="570"/>
      <c r="I417" s="570"/>
      <c r="J417" s="571"/>
      <c r="K417" s="565">
        <v>3</v>
      </c>
      <c r="L417" s="661" t="s">
        <v>3553</v>
      </c>
      <c r="M417" s="570"/>
      <c r="N417" s="570"/>
      <c r="O417" s="666"/>
    </row>
    <row r="418" spans="2:17" ht="43.5" customHeight="1">
      <c r="B418" s="1">
        <v>1</v>
      </c>
      <c r="C418" s="1" t="s">
        <v>1229</v>
      </c>
      <c r="D418" s="546"/>
      <c r="E418" s="243" t="str">
        <f>IF(AND(D420="対象外",H419&gt;0.001),"★入力エラー：レベル１～５を選択し直してください！","")</f>
        <v/>
      </c>
      <c r="F418" s="572" t="str">
        <f>IF(F417=$F$7,$G$2,IF(ROUNDDOWN(F417,0)=$F$2,$H$2,$G$2))</f>
        <v>　レベル　1</v>
      </c>
      <c r="G418" s="3266" t="s">
        <v>44</v>
      </c>
      <c r="H418" s="3253"/>
      <c r="I418" s="3253"/>
      <c r="J418" s="3254"/>
      <c r="K418" s="1985" t="str">
        <f>IF(K417=$F$7,$G$2,IF(ROUNDDOWN(K417,0)=$F$2,$H$2,$G$2))</f>
        <v>　レベル　1</v>
      </c>
      <c r="L418" s="2499" t="s">
        <v>1818</v>
      </c>
      <c r="M418" s="2477"/>
      <c r="N418" s="2477"/>
      <c r="O418" s="2478"/>
    </row>
    <row r="419" spans="2:17" ht="21" customHeight="1">
      <c r="B419" s="1" t="s">
        <v>1229</v>
      </c>
      <c r="C419" s="1" t="s">
        <v>1229</v>
      </c>
      <c r="D419" s="546"/>
      <c r="E419" s="671"/>
      <c r="F419" s="577" t="str">
        <f>IF(F417=$F$7,$G$3,IF(ROUNDDOWN(F417,0)=$F$3,$H$3,$G$3))</f>
        <v>　レベル　2</v>
      </c>
      <c r="G419" s="1964" t="s">
        <v>1818</v>
      </c>
      <c r="H419" s="1986"/>
      <c r="I419" s="1986"/>
      <c r="J419" s="1971"/>
      <c r="K419" s="1987" t="str">
        <f>IF(K417=$F$7,$G$3,IF(ROUNDDOWN(K417,0)=$F$3,$H$3,$G$3))</f>
        <v>　レベル　2</v>
      </c>
      <c r="L419" s="1964" t="s">
        <v>1818</v>
      </c>
      <c r="M419" s="1986"/>
      <c r="N419" s="1986"/>
      <c r="O419" s="1971"/>
    </row>
    <row r="420" spans="2:17" ht="40.5" customHeight="1">
      <c r="B420" s="1">
        <v>3</v>
      </c>
      <c r="C420" s="1">
        <v>3</v>
      </c>
      <c r="D420" s="546"/>
      <c r="E420" s="671"/>
      <c r="F420" s="577" t="str">
        <f>IF(F417=$F$7,$G$4,IF(ROUNDDOWN(F417,0)=$F$4,$H$4,$G$4))</f>
        <v>■レベル　3</v>
      </c>
      <c r="G420" s="3238" t="s">
        <v>45</v>
      </c>
      <c r="H420" s="3239"/>
      <c r="I420" s="3239"/>
      <c r="J420" s="3240"/>
      <c r="K420" s="1987" t="str">
        <f>IF(K417=$F$7,$G$4,IF(ROUNDDOWN(K417,0)=$F$4,$H$4,$G$4))</f>
        <v>■レベル　3</v>
      </c>
      <c r="L420" s="3238" t="s">
        <v>1260</v>
      </c>
      <c r="M420" s="3245"/>
      <c r="N420" s="3245"/>
      <c r="O420" s="3244"/>
    </row>
    <row r="421" spans="2:17" ht="40.5" customHeight="1">
      <c r="B421" s="1">
        <v>4</v>
      </c>
      <c r="C421" s="1">
        <v>4</v>
      </c>
      <c r="D421" s="546"/>
      <c r="E421" s="671"/>
      <c r="F421" s="577" t="str">
        <f>IF(F417=$F$7,$G$5,IF(ROUNDDOWN(F417,0)=$F$5,$H$5,$G$5))</f>
        <v>　レベル　4</v>
      </c>
      <c r="G421" s="3238" t="s">
        <v>47</v>
      </c>
      <c r="H421" s="3245"/>
      <c r="I421" s="3245"/>
      <c r="J421" s="3244"/>
      <c r="K421" s="1987" t="str">
        <f>IF(K417=$F$7,$G$5,IF(ROUNDDOWN(K417,0)=$F$5,$H$5,$G$5))</f>
        <v>　レベル　4</v>
      </c>
      <c r="L421" s="3238" t="s">
        <v>405</v>
      </c>
      <c r="M421" s="3239"/>
      <c r="N421" s="3239"/>
      <c r="O421" s="3240"/>
    </row>
    <row r="422" spans="2:17" ht="40.5" customHeight="1">
      <c r="B422" s="1">
        <v>5</v>
      </c>
      <c r="C422" s="1" t="s">
        <v>1229</v>
      </c>
      <c r="D422" s="546"/>
      <c r="E422" s="671"/>
      <c r="F422" s="587" t="str">
        <f>IF(F417=$F$7,$G$6,IF(ROUNDDOWN(F417,0)=$F$6,$H$6,$G$6))</f>
        <v>　レベル　5</v>
      </c>
      <c r="G422" s="3241" t="s">
        <v>46</v>
      </c>
      <c r="H422" s="3242"/>
      <c r="I422" s="3242"/>
      <c r="J422" s="3243"/>
      <c r="K422" s="1989" t="str">
        <f>IF(K417=$F$7,$G$6,IF(ROUNDDOWN(K417,0)=$F$6,$H$6,$G$6))</f>
        <v>　レベル　5</v>
      </c>
      <c r="L422" s="2492" t="s">
        <v>1818</v>
      </c>
      <c r="M422" s="1988"/>
      <c r="N422" s="1988"/>
      <c r="O422" s="1972"/>
    </row>
    <row r="423" spans="2:17">
      <c r="B423" s="594">
        <v>0</v>
      </c>
      <c r="C423" s="594">
        <v>0</v>
      </c>
      <c r="F423" s="887" t="s">
        <v>3402</v>
      </c>
      <c r="G423" s="2423"/>
      <c r="H423" s="2399"/>
      <c r="I423" s="2396"/>
      <c r="J423" s="2397"/>
      <c r="K423" s="887" t="s">
        <v>3402</v>
      </c>
      <c r="L423" s="2423"/>
      <c r="M423" s="2399"/>
      <c r="N423" s="2396"/>
      <c r="O423" s="2397"/>
      <c r="P423" s="2459"/>
      <c r="Q423" s="1281"/>
    </row>
    <row r="424" spans="2:17" ht="13.5" hidden="1" customHeight="1">
      <c r="F424"/>
      <c r="G424"/>
      <c r="H424"/>
      <c r="I424"/>
      <c r="J424"/>
      <c r="K424"/>
      <c r="L424"/>
      <c r="M424"/>
      <c r="N424"/>
      <c r="O424"/>
    </row>
    <row r="425" spans="2:17" ht="13.5" hidden="1" customHeight="1">
      <c r="F425"/>
      <c r="G425"/>
      <c r="H425"/>
      <c r="I425"/>
      <c r="J425"/>
      <c r="K425"/>
      <c r="L425"/>
      <c r="M425"/>
      <c r="N425"/>
      <c r="O425"/>
    </row>
    <row r="426" spans="2:17" ht="13.5" hidden="1" customHeight="1">
      <c r="F426"/>
      <c r="G426"/>
      <c r="H426"/>
      <c r="I426"/>
      <c r="J426"/>
      <c r="K426"/>
      <c r="L426"/>
      <c r="M426"/>
      <c r="N426"/>
      <c r="O426"/>
    </row>
    <row r="427" spans="2:17">
      <c r="F427"/>
      <c r="G427"/>
      <c r="H427"/>
      <c r="I427"/>
      <c r="J427"/>
      <c r="K427"/>
      <c r="L427"/>
      <c r="M427"/>
      <c r="N427"/>
      <c r="O427"/>
    </row>
    <row r="428" spans="2:17">
      <c r="F428"/>
      <c r="G428"/>
      <c r="H428"/>
      <c r="I428"/>
      <c r="J428"/>
      <c r="K428"/>
      <c r="L428"/>
      <c r="M428"/>
      <c r="N428"/>
      <c r="O428"/>
    </row>
  </sheetData>
  <sheetProtection algorithmName="SHA-512" hashValue="lvvYpNqhovtR8y3C43c1Y2QcKPz39mO3SK/X+lApLRPgLtm2pOMDOrtYome3y0Ly6OGlTqzqU+YTDo1G2AhXgA==" saltValue="glotINBxbR6guD6s8g09uQ==" spinCount="100000" sheet="1" objects="1" scenarios="1"/>
  <mergeCells count="104">
    <mergeCell ref="G412:J412"/>
    <mergeCell ref="G420:J420"/>
    <mergeCell ref="L420:O420"/>
    <mergeCell ref="G421:J421"/>
    <mergeCell ref="G422:J422"/>
    <mergeCell ref="G418:J418"/>
    <mergeCell ref="I102:O102"/>
    <mergeCell ref="N133:O137"/>
    <mergeCell ref="H141:K141"/>
    <mergeCell ref="H142:K142"/>
    <mergeCell ref="H143:K143"/>
    <mergeCell ref="G211:H211"/>
    <mergeCell ref="L143:O143"/>
    <mergeCell ref="L144:O144"/>
    <mergeCell ref="L145:O145"/>
    <mergeCell ref="L147:O147"/>
    <mergeCell ref="L148:O148"/>
    <mergeCell ref="H147:K147"/>
    <mergeCell ref="H148:K148"/>
    <mergeCell ref="H150:K150"/>
    <mergeCell ref="H152:K152"/>
    <mergeCell ref="H153:K153"/>
    <mergeCell ref="H144:K144"/>
    <mergeCell ref="H145:K145"/>
    <mergeCell ref="H77:J77"/>
    <mergeCell ref="H78:J78"/>
    <mergeCell ref="H79:J79"/>
    <mergeCell ref="H80:J80"/>
    <mergeCell ref="M77:O77"/>
    <mergeCell ref="M78:O78"/>
    <mergeCell ref="M79:O79"/>
    <mergeCell ref="M80:O80"/>
    <mergeCell ref="N18:O18"/>
    <mergeCell ref="N19:O19"/>
    <mergeCell ref="N20:O20"/>
    <mergeCell ref="G28:J28"/>
    <mergeCell ref="G29:J29"/>
    <mergeCell ref="G18:H18"/>
    <mergeCell ref="G19:H19"/>
    <mergeCell ref="G20:H20"/>
    <mergeCell ref="L18:M18"/>
    <mergeCell ref="L20:M20"/>
    <mergeCell ref="G30:J30"/>
    <mergeCell ref="G31:J31"/>
    <mergeCell ref="L28:O28"/>
    <mergeCell ref="L29:O29"/>
    <mergeCell ref="L30:O30"/>
    <mergeCell ref="L31:O31"/>
    <mergeCell ref="G40:J40"/>
    <mergeCell ref="G41:J41"/>
    <mergeCell ref="G42:J42"/>
    <mergeCell ref="K40:N40"/>
    <mergeCell ref="K41:N41"/>
    <mergeCell ref="K42:N42"/>
    <mergeCell ref="G51:H51"/>
    <mergeCell ref="G52:H52"/>
    <mergeCell ref="G53:H53"/>
    <mergeCell ref="N51:O51"/>
    <mergeCell ref="N52:O52"/>
    <mergeCell ref="N53:O53"/>
    <mergeCell ref="I210:J210"/>
    <mergeCell ref="I211:J211"/>
    <mergeCell ref="I213:J213"/>
    <mergeCell ref="L149:O149"/>
    <mergeCell ref="L150:O150"/>
    <mergeCell ref="L152:O152"/>
    <mergeCell ref="L153:O153"/>
    <mergeCell ref="L212:O212"/>
    <mergeCell ref="L213:O213"/>
    <mergeCell ref="G336:O336"/>
    <mergeCell ref="L234:O234"/>
    <mergeCell ref="L235:O235"/>
    <mergeCell ref="H284:O284"/>
    <mergeCell ref="H287:O287"/>
    <mergeCell ref="H301:O301"/>
    <mergeCell ref="H352:O352"/>
    <mergeCell ref="H324:O324"/>
    <mergeCell ref="G385:H385"/>
    <mergeCell ref="G277:I277"/>
    <mergeCell ref="J277:L277"/>
    <mergeCell ref="I99:O99"/>
    <mergeCell ref="L421:O421"/>
    <mergeCell ref="G137:M137"/>
    <mergeCell ref="G208:H208"/>
    <mergeCell ref="G402:J402"/>
    <mergeCell ref="L400:O400"/>
    <mergeCell ref="N388:O388"/>
    <mergeCell ref="N389:O389"/>
    <mergeCell ref="G399:J399"/>
    <mergeCell ref="G400:J400"/>
    <mergeCell ref="G401:J401"/>
    <mergeCell ref="G388:H388"/>
    <mergeCell ref="G389:H389"/>
    <mergeCell ref="I388:J388"/>
    <mergeCell ref="I389:J389"/>
    <mergeCell ref="K388:L388"/>
    <mergeCell ref="G222:J222"/>
    <mergeCell ref="G223:J223"/>
    <mergeCell ref="G224:J224"/>
    <mergeCell ref="G212:H212"/>
    <mergeCell ref="G213:H213"/>
    <mergeCell ref="K389:L389"/>
    <mergeCell ref="G334:O334"/>
    <mergeCell ref="G335:O335"/>
  </mergeCells>
  <phoneticPr fontId="22"/>
  <conditionalFormatting sqref="F15 F26 F37 F48 F58 F208 F230 F241 F253 F263 F331 F362 F373 F385 F397 F407 F417">
    <cfRule type="expression" dxfId="66" priority="80" stopIfTrue="1">
      <formula>AND(OR(F15&lt;1,F15&gt;5),F15&lt;&gt;0)</formula>
    </cfRule>
    <cfRule type="expression" dxfId="65" priority="81" stopIfTrue="1">
      <formula>$J14&gt;0</formula>
    </cfRule>
  </conditionalFormatting>
  <conditionalFormatting sqref="F219">
    <cfRule type="expression" dxfId="64" priority="382" stopIfTrue="1">
      <formula>AND(OR(F219&lt;1,F219&gt;5),F219&lt;&gt;0)</formula>
    </cfRule>
    <cfRule type="expression" dxfId="63" priority="383" stopIfTrue="1">
      <formula>$J218&gt;0</formula>
    </cfRule>
  </conditionalFormatting>
  <conditionalFormatting sqref="G77:G80">
    <cfRule type="expression" dxfId="62" priority="416" stopIfTrue="1">
      <formula>$J$67&gt;0</formula>
    </cfRule>
  </conditionalFormatting>
  <conditionalFormatting sqref="G95:G107">
    <cfRule type="expression" dxfId="61" priority="62">
      <formula>$J$85&gt;0</formula>
    </cfRule>
  </conditionalFormatting>
  <conditionalFormatting sqref="G301:G305 G307">
    <cfRule type="expression" dxfId="60" priority="474" stopIfTrue="1">
      <formula>AND($J$291&gt;0,$N$292&gt;0)</formula>
    </cfRule>
  </conditionalFormatting>
  <conditionalFormatting sqref="G301:G307">
    <cfRule type="expression" dxfId="59" priority="472" stopIfTrue="1">
      <formula>AND($J$291&gt;0,$J$292&gt;0)</formula>
    </cfRule>
  </conditionalFormatting>
  <conditionalFormatting sqref="K15 K26 M48 K208 K219 K230 K241 K253 K362 K373 M385 K397">
    <cfRule type="expression" dxfId="58" priority="74" stopIfTrue="1">
      <formula>AND(OR(K15&lt;1,K15&gt;5),K15&lt;&gt;0)</formula>
    </cfRule>
    <cfRule type="expression" dxfId="57" priority="75" stopIfTrue="1">
      <formula>$O14&gt;0</formula>
    </cfRule>
  </conditionalFormatting>
  <conditionalFormatting sqref="K407">
    <cfRule type="expression" dxfId="56" priority="3" stopIfTrue="1">
      <formula>AND(OR(K407&lt;1,K407&gt;5),K407&lt;&gt;0)</formula>
    </cfRule>
    <cfRule type="expression" dxfId="55" priority="4" stopIfTrue="1">
      <formula>$O406&gt;0</formula>
    </cfRule>
  </conditionalFormatting>
  <conditionalFormatting sqref="K417">
    <cfRule type="expression" dxfId="54" priority="1" stopIfTrue="1">
      <formula>AND(OR(K417&lt;1,K417&gt;5),K417&lt;&gt;0)</formula>
    </cfRule>
    <cfRule type="expression" dxfId="53" priority="2" stopIfTrue="1">
      <formula>$O416&gt;0</formula>
    </cfRule>
  </conditionalFormatting>
  <conditionalFormatting sqref="L77:L80">
    <cfRule type="expression" dxfId="52" priority="189" stopIfTrue="1">
      <formula>$O$67&gt;0</formula>
    </cfRule>
  </conditionalFormatting>
  <dataValidations count="10">
    <dataValidation type="list" allowBlank="1" showInputMessage="1" sqref="K15 K26 M48 K208 K219 K230 K241 K253 K362 K373 M385 K397 K407 K417" xr:uid="{00000000-0002-0000-0900-000000000000}">
      <formula1>$C16:$C21</formula1>
    </dataValidation>
    <dataValidation type="list" allowBlank="1" showInputMessage="1" sqref="F15 F26 F37 F48 F58 F230 F208 F241 F362 F373 F385 F397 F407 F417 F331 F263 F253 F219" xr:uid="{00000000-0002-0000-0900-000001000000}">
      <formula1>$B16:$B21</formula1>
    </dataValidation>
    <dataValidation type="list" allowBlank="1" showInputMessage="1" showErrorMessage="1" sqref="G193 G199 G196" xr:uid="{00000000-0002-0000-0900-000002000000}">
      <formula1>"0,-1"</formula1>
    </dataValidation>
    <dataValidation type="list" allowBlank="1" showInputMessage="1" showErrorMessage="1" sqref="G168:G170 G116 G118 G165:G166 G161 G126:G127 G113 G200 G197 G194:G195" xr:uid="{00000000-0002-0000-0900-000003000000}">
      <formula1>"0,1"</formula1>
    </dataValidation>
    <dataValidation type="list" allowBlank="1" showInputMessage="1" showErrorMessage="1" sqref="G114 G122:G124 G112 G162:G163" xr:uid="{00000000-0002-0000-0900-000004000000}">
      <formula1>"0,3"</formula1>
    </dataValidation>
    <dataValidation type="list" allowBlank="1" showInputMessage="1" showErrorMessage="1" sqref="G125 G115 G117 G167 G164 G171" xr:uid="{00000000-0002-0000-0900-000005000000}">
      <formula1>"0,2"</formula1>
    </dataValidation>
    <dataValidation type="list" allowBlank="1" showInputMessage="1" showErrorMessage="1" sqref="G95" xr:uid="{00000000-0002-0000-0900-000006000000}">
      <formula1>"○, "</formula1>
    </dataValidation>
    <dataValidation type="list" allowBlank="1" showInputMessage="1" showErrorMessage="1" sqref="G141:G153 G96:G107 G77:G80 L77:L80" xr:uid="{00000000-0002-0000-0900-000007000000}">
      <formula1>"○,　"</formula1>
    </dataValidation>
    <dataValidation type="list" allowBlank="1" showInputMessage="1" showErrorMessage="1" sqref="G321:G326 G283:G287 G301:G307 G350:G355" xr:uid="{00000000-0002-0000-0900-000008000000}">
      <formula1>$M$3:$M$4</formula1>
    </dataValidation>
    <dataValidation type="list" allowBlank="1" showInputMessage="1" showErrorMessage="1" sqref="I159:K159" xr:uid="{00000000-0002-0000-0900-000009000000}">
      <formula1>$V$9:$V$10</formula1>
    </dataValidation>
  </dataValidations>
  <printOptions horizontalCentered="1"/>
  <pageMargins left="0.59055118110236227" right="0.59055118110236227" top="0.78740157480314965" bottom="0.59055118110236227" header="0.51181102362204722" footer="0.51181102362204722"/>
  <pageSetup paperSize="9" scale="79" fitToHeight="0" orientation="portrait" verticalDpi="4294967293" r:id="rId1"/>
  <headerFooter alignWithMargins="0">
    <oddHeader>&amp;L&amp;F&amp;R&amp;A</oddHeader>
    <oddFooter>&amp;C&amp;P/&amp;N</oddFooter>
  </headerFooter>
  <rowBreaks count="8" manualBreakCount="8">
    <brk id="44" min="2" max="15" man="1"/>
    <brk id="82" min="2" max="15" man="1"/>
    <brk id="129" min="2" max="15" man="1"/>
    <brk id="215" min="2" max="15" man="1"/>
    <brk id="270" min="2" max="15" man="1"/>
    <brk id="309" min="2" max="15" man="1"/>
    <brk id="357" min="2" max="15" man="1"/>
    <brk id="393" min="2"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結果_IS</vt:lpstr>
      <vt:lpstr>メイン</vt:lpstr>
      <vt:lpstr>結果</vt:lpstr>
      <vt:lpstr>配慮</vt:lpstr>
      <vt:lpstr>係数</vt:lpstr>
      <vt:lpstr>複合用途</vt:lpstr>
      <vt:lpstr>スコア</vt:lpstr>
      <vt:lpstr>採点Q1</vt:lpstr>
      <vt:lpstr>採点Q2</vt:lpstr>
      <vt:lpstr>採点Q3</vt:lpstr>
      <vt:lpstr>採点LR1</vt:lpstr>
      <vt:lpstr>計画書</vt:lpstr>
      <vt:lpstr>採点LR2</vt:lpstr>
      <vt:lpstr>採点LR3</vt:lpstr>
      <vt:lpstr>CO2計算</vt:lpstr>
      <vt:lpstr>条件(標準)</vt:lpstr>
      <vt:lpstr>条件(個別)</vt:lpstr>
      <vt:lpstr>重み</vt:lpstr>
      <vt:lpstr>CO2データ</vt:lpstr>
      <vt:lpstr>クレジット</vt:lpstr>
      <vt:lpstr>CO2データ!Print_Area</vt:lpstr>
      <vt:lpstr>CO2計算!Print_Area</vt:lpstr>
      <vt:lpstr>クレジット!Print_Area</vt:lpstr>
      <vt:lpstr>メイン!Print_Area</vt:lpstr>
      <vt:lpstr>係数!Print_Area</vt:lpstr>
      <vt:lpstr>計画書!Print_Area</vt:lpstr>
      <vt:lpstr>結果!Print_Area</vt:lpstr>
      <vt:lpstr>結果_IS!Print_Area</vt:lpstr>
      <vt:lpstr>採点LR1!Print_Area</vt:lpstr>
      <vt:lpstr>採点LR2!Print_Area</vt:lpstr>
      <vt:lpstr>採点LR3!Print_Area</vt:lpstr>
      <vt:lpstr>採点Q1!Print_Area</vt:lpstr>
      <vt:lpstr>採点Q2!Print_Area</vt:lpstr>
      <vt:lpstr>採点Q3!Print_Area</vt:lpstr>
      <vt:lpstr>重み!Print_Area</vt:lpstr>
      <vt:lpstr>'条件(個別)'!Print_Area</vt:lpstr>
      <vt:lpstr>複合用途!Print_Area</vt:lpstr>
      <vt:lpstr>重み!Print_Titles</vt:lpstr>
      <vt:lpstr>複合用途!Print_Titles</vt:lpstr>
    </vt:vector>
  </TitlesOfParts>
  <Company>株式会社日建設計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IBEC</dc:creator>
  <cp:lastModifiedBy>NaokiKAWATSU</cp:lastModifiedBy>
  <cp:lastPrinted>2020-04-28T06:04:24Z</cp:lastPrinted>
  <dcterms:created xsi:type="dcterms:W3CDTF">2010-08-30T05:31:56Z</dcterms:created>
  <dcterms:modified xsi:type="dcterms:W3CDTF">2023-07-04T00:49:23Z</dcterms:modified>
</cp:coreProperties>
</file>